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_galeazzi\Desktop\"/>
    </mc:Choice>
  </mc:AlternateContent>
  <xr:revisionPtr revIDLastSave="0" documentId="13_ncr:40009_{D43F0E2B-083F-40BD-95B7-D5982D385ED7}" xr6:coauthVersionLast="47" xr6:coauthVersionMax="47" xr10:uidLastSave="{00000000-0000-0000-0000-000000000000}"/>
  <bookViews>
    <workbookView xWindow="2295" yWindow="1950" windowWidth="26190" windowHeight="12165"/>
  </bookViews>
  <sheets>
    <sheet name="DOMANDE_PAGATE_REGI_PSP_Decreto" sheetId="1" r:id="rId1"/>
  </sheets>
  <definedNames>
    <definedName name="_xlnm._FilterDatabase" localSheetId="0" hidden="1">DOMANDE_PAGATE_REGI_PSP_Decreto!$A$3:$Y$325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325" i="1" l="1"/>
  <c r="J325" i="1"/>
  <c r="N324" i="1"/>
  <c r="J324" i="1"/>
  <c r="N323" i="1"/>
  <c r="J323" i="1"/>
  <c r="N322" i="1"/>
  <c r="J322" i="1"/>
  <c r="N321" i="1"/>
  <c r="J321" i="1"/>
  <c r="N320" i="1"/>
  <c r="J320" i="1"/>
  <c r="N319" i="1"/>
  <c r="J319" i="1"/>
  <c r="N318" i="1"/>
  <c r="J318" i="1"/>
  <c r="N317" i="1"/>
  <c r="J317" i="1"/>
  <c r="N316" i="1"/>
  <c r="J316" i="1"/>
  <c r="N315" i="1"/>
  <c r="J315" i="1"/>
  <c r="N314" i="1"/>
  <c r="J314" i="1"/>
  <c r="N313" i="1"/>
  <c r="J313" i="1"/>
  <c r="N312" i="1"/>
  <c r="J312" i="1"/>
  <c r="N311" i="1"/>
  <c r="J311" i="1"/>
  <c r="N310" i="1"/>
  <c r="J310" i="1"/>
  <c r="N309" i="1"/>
  <c r="J309" i="1"/>
  <c r="N308" i="1"/>
  <c r="J308" i="1"/>
  <c r="N307" i="1"/>
  <c r="J307" i="1"/>
  <c r="N306" i="1"/>
  <c r="J306" i="1"/>
  <c r="N305" i="1"/>
  <c r="J305" i="1"/>
  <c r="N304" i="1"/>
  <c r="J304" i="1"/>
  <c r="N303" i="1"/>
  <c r="J303" i="1"/>
  <c r="N302" i="1"/>
  <c r="J302" i="1"/>
  <c r="N301" i="1"/>
  <c r="J301" i="1"/>
  <c r="N300" i="1"/>
  <c r="J300" i="1"/>
  <c r="N299" i="1"/>
  <c r="J299" i="1"/>
  <c r="N298" i="1"/>
  <c r="J298" i="1"/>
  <c r="N297" i="1"/>
  <c r="J297" i="1"/>
  <c r="N296" i="1"/>
  <c r="J296" i="1"/>
  <c r="N295" i="1"/>
  <c r="J295" i="1"/>
  <c r="N294" i="1"/>
  <c r="J294" i="1"/>
  <c r="N293" i="1"/>
  <c r="J293" i="1"/>
  <c r="N292" i="1"/>
  <c r="J292" i="1"/>
  <c r="N291" i="1"/>
  <c r="J291" i="1"/>
  <c r="N290" i="1"/>
  <c r="J290" i="1"/>
  <c r="N289" i="1"/>
  <c r="J289" i="1"/>
  <c r="N288" i="1"/>
  <c r="J288" i="1"/>
  <c r="N287" i="1"/>
  <c r="J287" i="1"/>
  <c r="N286" i="1"/>
  <c r="J286" i="1"/>
  <c r="N285" i="1"/>
  <c r="J285" i="1"/>
  <c r="N284" i="1"/>
  <c r="J284" i="1"/>
  <c r="N283" i="1"/>
  <c r="J283" i="1"/>
  <c r="N282" i="1"/>
  <c r="J282" i="1"/>
  <c r="N281" i="1"/>
  <c r="J281" i="1"/>
  <c r="N280" i="1"/>
  <c r="J280" i="1"/>
  <c r="N279" i="1"/>
  <c r="J279" i="1"/>
  <c r="N278" i="1"/>
  <c r="J278" i="1"/>
  <c r="N277" i="1"/>
  <c r="J277" i="1"/>
  <c r="N276" i="1"/>
  <c r="J276" i="1"/>
  <c r="N275" i="1"/>
  <c r="J275" i="1"/>
  <c r="N274" i="1"/>
  <c r="J274" i="1"/>
  <c r="N273" i="1"/>
  <c r="J273" i="1"/>
  <c r="N272" i="1"/>
  <c r="J272" i="1"/>
  <c r="N271" i="1"/>
  <c r="J271" i="1"/>
  <c r="N270" i="1"/>
  <c r="J270" i="1"/>
  <c r="N269" i="1"/>
  <c r="J269" i="1"/>
  <c r="N268" i="1"/>
  <c r="J268" i="1"/>
  <c r="N267" i="1"/>
  <c r="J267" i="1"/>
  <c r="N266" i="1"/>
  <c r="J266" i="1"/>
  <c r="N265" i="1"/>
  <c r="J265" i="1"/>
  <c r="N264" i="1"/>
  <c r="J264" i="1"/>
  <c r="N263" i="1"/>
  <c r="J263" i="1"/>
  <c r="N262" i="1"/>
  <c r="J262" i="1"/>
  <c r="N261" i="1"/>
  <c r="J261" i="1"/>
  <c r="N260" i="1"/>
  <c r="J260" i="1"/>
  <c r="N259" i="1"/>
  <c r="J259" i="1"/>
  <c r="N258" i="1"/>
  <c r="J258" i="1"/>
  <c r="N257" i="1"/>
  <c r="J257" i="1"/>
  <c r="N256" i="1"/>
  <c r="J256" i="1"/>
  <c r="N255" i="1"/>
  <c r="J255" i="1"/>
  <c r="N254" i="1"/>
  <c r="J254" i="1"/>
  <c r="N253" i="1"/>
  <c r="J253" i="1"/>
  <c r="N252" i="1"/>
  <c r="J252" i="1"/>
  <c r="N251" i="1"/>
  <c r="J251" i="1"/>
  <c r="N250" i="1"/>
  <c r="J250" i="1"/>
  <c r="N249" i="1"/>
  <c r="J249" i="1"/>
  <c r="N248" i="1"/>
  <c r="J248" i="1"/>
  <c r="N247" i="1"/>
  <c r="J247" i="1"/>
  <c r="N246" i="1"/>
  <c r="J246" i="1"/>
  <c r="N245" i="1"/>
  <c r="J245" i="1"/>
  <c r="N244" i="1"/>
  <c r="J244" i="1"/>
  <c r="N243" i="1"/>
  <c r="J243" i="1"/>
  <c r="N242" i="1"/>
  <c r="J242" i="1"/>
  <c r="N241" i="1"/>
  <c r="J241" i="1"/>
  <c r="N240" i="1"/>
  <c r="J240" i="1"/>
  <c r="N239" i="1"/>
  <c r="J239" i="1"/>
  <c r="N238" i="1"/>
  <c r="J238" i="1"/>
  <c r="N237" i="1"/>
  <c r="J237" i="1"/>
  <c r="N236" i="1"/>
  <c r="J236" i="1"/>
  <c r="N235" i="1"/>
  <c r="J235" i="1"/>
  <c r="N234" i="1"/>
  <c r="J234" i="1"/>
  <c r="N233" i="1"/>
  <c r="J233" i="1"/>
  <c r="N232" i="1"/>
  <c r="J232" i="1"/>
  <c r="N231" i="1"/>
  <c r="J231" i="1"/>
  <c r="N230" i="1"/>
  <c r="J230" i="1"/>
  <c r="N229" i="1"/>
  <c r="J229" i="1"/>
  <c r="N228" i="1"/>
  <c r="J228" i="1"/>
  <c r="N227" i="1"/>
  <c r="J227" i="1"/>
  <c r="N226" i="1"/>
  <c r="J226" i="1"/>
  <c r="N225" i="1"/>
  <c r="J225" i="1"/>
  <c r="N224" i="1"/>
  <c r="J224" i="1"/>
  <c r="N223" i="1"/>
  <c r="J223" i="1"/>
  <c r="N222" i="1"/>
  <c r="J222" i="1"/>
  <c r="N221" i="1"/>
  <c r="J221" i="1"/>
  <c r="N220" i="1"/>
  <c r="J220" i="1"/>
  <c r="N219" i="1"/>
  <c r="J219" i="1"/>
  <c r="N218" i="1"/>
  <c r="J218" i="1"/>
  <c r="N217" i="1"/>
  <c r="J217" i="1"/>
  <c r="N216" i="1"/>
  <c r="J216" i="1"/>
  <c r="N215" i="1"/>
  <c r="J215" i="1"/>
  <c r="N214" i="1"/>
  <c r="J214" i="1"/>
  <c r="N213" i="1"/>
  <c r="J213" i="1"/>
  <c r="N212" i="1"/>
  <c r="J212" i="1"/>
  <c r="N211" i="1"/>
  <c r="J211" i="1"/>
  <c r="N210" i="1"/>
  <c r="J210" i="1"/>
  <c r="N209" i="1"/>
  <c r="J209" i="1"/>
  <c r="N208" i="1"/>
  <c r="J208" i="1"/>
  <c r="N207" i="1"/>
  <c r="J207" i="1"/>
  <c r="N206" i="1"/>
  <c r="J206" i="1"/>
  <c r="N205" i="1"/>
  <c r="J205" i="1"/>
  <c r="N204" i="1"/>
  <c r="J204" i="1"/>
  <c r="N203" i="1"/>
  <c r="J203" i="1"/>
  <c r="N202" i="1"/>
  <c r="J202" i="1"/>
  <c r="N201" i="1"/>
  <c r="J201" i="1"/>
  <c r="N200" i="1"/>
  <c r="J200" i="1"/>
  <c r="N199" i="1"/>
  <c r="J199" i="1"/>
  <c r="N198" i="1"/>
  <c r="J198" i="1"/>
  <c r="N197" i="1"/>
  <c r="J197" i="1"/>
  <c r="N196" i="1"/>
  <c r="J196" i="1"/>
  <c r="N195" i="1"/>
  <c r="J195" i="1"/>
  <c r="N194" i="1"/>
  <c r="J194" i="1"/>
  <c r="N193" i="1"/>
  <c r="J193" i="1"/>
  <c r="N192" i="1"/>
  <c r="J192" i="1"/>
  <c r="N191" i="1"/>
  <c r="J191" i="1"/>
  <c r="N190" i="1"/>
  <c r="J190" i="1"/>
  <c r="N189" i="1"/>
  <c r="J189" i="1"/>
  <c r="N188" i="1"/>
  <c r="J188" i="1"/>
  <c r="N187" i="1"/>
  <c r="J187" i="1"/>
  <c r="N186" i="1"/>
  <c r="J186" i="1"/>
  <c r="N185" i="1"/>
  <c r="J185" i="1"/>
  <c r="N184" i="1"/>
  <c r="J184" i="1"/>
  <c r="N183" i="1"/>
  <c r="J183" i="1"/>
  <c r="N182" i="1"/>
  <c r="J182" i="1"/>
  <c r="N181" i="1"/>
  <c r="J181" i="1"/>
  <c r="N180" i="1"/>
  <c r="J180" i="1"/>
  <c r="N179" i="1"/>
  <c r="J179" i="1"/>
  <c r="N178" i="1"/>
  <c r="J178" i="1"/>
  <c r="N177" i="1"/>
  <c r="J177" i="1"/>
  <c r="N176" i="1"/>
  <c r="J176" i="1"/>
  <c r="N175" i="1"/>
  <c r="J175" i="1"/>
  <c r="N174" i="1"/>
  <c r="J174" i="1"/>
  <c r="N173" i="1"/>
  <c r="J173" i="1"/>
  <c r="N172" i="1"/>
  <c r="J172" i="1"/>
  <c r="N171" i="1"/>
  <c r="J171" i="1"/>
  <c r="N170" i="1"/>
  <c r="J170" i="1"/>
  <c r="N169" i="1"/>
  <c r="J169" i="1"/>
  <c r="N168" i="1"/>
  <c r="J168" i="1"/>
  <c r="N167" i="1"/>
  <c r="J167" i="1"/>
  <c r="N166" i="1"/>
  <c r="J166" i="1"/>
  <c r="N165" i="1"/>
  <c r="J165" i="1"/>
  <c r="N164" i="1"/>
  <c r="J164" i="1"/>
  <c r="N163" i="1"/>
  <c r="J163" i="1"/>
  <c r="N162" i="1"/>
  <c r="J162" i="1"/>
  <c r="N161" i="1"/>
  <c r="J161" i="1"/>
  <c r="N160" i="1"/>
  <c r="J160" i="1"/>
  <c r="N159" i="1"/>
  <c r="J159" i="1"/>
  <c r="N158" i="1"/>
  <c r="J158" i="1"/>
  <c r="N157" i="1"/>
  <c r="J157" i="1"/>
  <c r="N156" i="1"/>
  <c r="J156" i="1"/>
  <c r="N155" i="1"/>
  <c r="J155" i="1"/>
  <c r="N154" i="1"/>
  <c r="J154" i="1"/>
  <c r="N153" i="1"/>
  <c r="J153" i="1"/>
  <c r="N152" i="1"/>
  <c r="J152" i="1"/>
  <c r="N151" i="1"/>
  <c r="J151" i="1"/>
  <c r="N150" i="1"/>
  <c r="J150" i="1"/>
  <c r="N149" i="1"/>
  <c r="J149" i="1"/>
  <c r="N148" i="1"/>
  <c r="J148" i="1"/>
  <c r="N147" i="1"/>
  <c r="J147" i="1"/>
  <c r="N146" i="1"/>
  <c r="J146" i="1"/>
  <c r="N145" i="1"/>
  <c r="J145" i="1"/>
  <c r="N144" i="1"/>
  <c r="J144" i="1"/>
  <c r="N143" i="1"/>
  <c r="J143" i="1"/>
  <c r="N142" i="1"/>
  <c r="J142" i="1"/>
  <c r="N141" i="1"/>
  <c r="J141" i="1"/>
  <c r="N140" i="1"/>
  <c r="J140" i="1"/>
  <c r="N139" i="1"/>
  <c r="J139" i="1"/>
  <c r="N138" i="1"/>
  <c r="J138" i="1"/>
  <c r="N137" i="1"/>
  <c r="J137" i="1"/>
  <c r="N136" i="1"/>
  <c r="J136" i="1"/>
  <c r="N135" i="1"/>
  <c r="J135" i="1"/>
  <c r="N134" i="1"/>
  <c r="J134" i="1"/>
  <c r="N133" i="1"/>
  <c r="J133" i="1"/>
  <c r="N132" i="1"/>
  <c r="J132" i="1"/>
  <c r="N131" i="1"/>
  <c r="J131" i="1"/>
  <c r="N130" i="1"/>
  <c r="J130" i="1"/>
  <c r="N129" i="1"/>
  <c r="J129" i="1"/>
  <c r="N128" i="1"/>
  <c r="J128" i="1"/>
  <c r="N127" i="1"/>
  <c r="J127" i="1"/>
  <c r="N126" i="1"/>
  <c r="J126" i="1"/>
  <c r="N125" i="1"/>
  <c r="J125" i="1"/>
  <c r="N124" i="1"/>
  <c r="J124" i="1"/>
  <c r="N123" i="1"/>
  <c r="J123" i="1"/>
  <c r="N122" i="1"/>
  <c r="J122" i="1"/>
  <c r="N121" i="1"/>
  <c r="J121" i="1"/>
  <c r="N120" i="1"/>
  <c r="J120" i="1"/>
  <c r="N119" i="1"/>
  <c r="J119" i="1"/>
  <c r="N118" i="1"/>
  <c r="J118" i="1"/>
  <c r="N117" i="1"/>
  <c r="J117" i="1"/>
  <c r="N116" i="1"/>
  <c r="J116" i="1"/>
  <c r="N115" i="1"/>
  <c r="J115" i="1"/>
  <c r="N114" i="1"/>
  <c r="J114" i="1"/>
  <c r="N113" i="1"/>
  <c r="J113" i="1"/>
  <c r="N112" i="1"/>
  <c r="J112" i="1"/>
  <c r="N111" i="1"/>
  <c r="J111" i="1"/>
  <c r="N110" i="1"/>
  <c r="J110" i="1"/>
  <c r="N109" i="1"/>
  <c r="J109" i="1"/>
  <c r="N108" i="1"/>
  <c r="J108" i="1"/>
  <c r="N107" i="1"/>
  <c r="J107" i="1"/>
  <c r="N106" i="1"/>
  <c r="J106" i="1"/>
  <c r="N105" i="1"/>
  <c r="J105" i="1"/>
  <c r="N104" i="1"/>
  <c r="J104" i="1"/>
  <c r="N103" i="1"/>
  <c r="J103" i="1"/>
  <c r="N102" i="1"/>
  <c r="J102" i="1"/>
  <c r="N101" i="1"/>
  <c r="J101" i="1"/>
  <c r="N100" i="1"/>
  <c r="J100" i="1"/>
  <c r="N99" i="1"/>
  <c r="J99" i="1"/>
  <c r="N98" i="1"/>
  <c r="J98" i="1"/>
  <c r="N97" i="1"/>
  <c r="J97" i="1"/>
  <c r="N96" i="1"/>
  <c r="J96" i="1"/>
  <c r="N95" i="1"/>
  <c r="J95" i="1"/>
  <c r="N94" i="1"/>
  <c r="J94" i="1"/>
  <c r="N93" i="1"/>
  <c r="J93" i="1"/>
  <c r="N92" i="1"/>
  <c r="J92" i="1"/>
  <c r="N91" i="1"/>
  <c r="J91" i="1"/>
  <c r="N90" i="1"/>
  <c r="J90" i="1"/>
  <c r="N89" i="1"/>
  <c r="J89" i="1"/>
  <c r="N88" i="1"/>
  <c r="J88" i="1"/>
  <c r="N87" i="1"/>
  <c r="J87" i="1"/>
  <c r="N86" i="1"/>
  <c r="J86" i="1"/>
  <c r="N85" i="1"/>
  <c r="J85" i="1"/>
  <c r="N84" i="1"/>
  <c r="J84" i="1"/>
  <c r="N83" i="1"/>
  <c r="J83" i="1"/>
  <c r="N82" i="1"/>
  <c r="J82" i="1"/>
  <c r="N81" i="1"/>
  <c r="J81" i="1"/>
  <c r="N80" i="1"/>
  <c r="J80" i="1"/>
  <c r="N79" i="1"/>
  <c r="J79" i="1"/>
  <c r="N78" i="1"/>
  <c r="J78" i="1"/>
  <c r="N77" i="1"/>
  <c r="J77" i="1"/>
  <c r="N76" i="1"/>
  <c r="J76" i="1"/>
  <c r="N75" i="1"/>
  <c r="J75" i="1"/>
  <c r="N74" i="1"/>
  <c r="J74" i="1"/>
  <c r="N73" i="1"/>
  <c r="J73" i="1"/>
  <c r="N72" i="1"/>
  <c r="J72" i="1"/>
  <c r="N71" i="1"/>
  <c r="J71" i="1"/>
  <c r="N70" i="1"/>
  <c r="J70" i="1"/>
  <c r="N69" i="1"/>
  <c r="J69" i="1"/>
  <c r="N68" i="1"/>
  <c r="J68" i="1"/>
  <c r="N67" i="1"/>
  <c r="J67" i="1"/>
  <c r="N66" i="1"/>
  <c r="J66" i="1"/>
  <c r="N65" i="1"/>
  <c r="J65" i="1"/>
  <c r="N64" i="1"/>
  <c r="J64" i="1"/>
  <c r="N63" i="1"/>
  <c r="J63" i="1"/>
  <c r="N62" i="1"/>
  <c r="J62" i="1"/>
  <c r="N61" i="1"/>
  <c r="J61" i="1"/>
  <c r="N60" i="1"/>
  <c r="J60" i="1"/>
  <c r="N59" i="1"/>
  <c r="J59" i="1"/>
  <c r="N58" i="1"/>
  <c r="J58" i="1"/>
  <c r="N57" i="1"/>
  <c r="J57" i="1"/>
  <c r="N56" i="1"/>
  <c r="J56" i="1"/>
  <c r="N55" i="1"/>
  <c r="J55" i="1"/>
  <c r="N54" i="1"/>
  <c r="J54" i="1"/>
  <c r="N53" i="1"/>
  <c r="J53" i="1"/>
  <c r="N52" i="1"/>
  <c r="J52" i="1"/>
  <c r="N51" i="1"/>
  <c r="J51" i="1"/>
  <c r="N50" i="1"/>
  <c r="J50" i="1"/>
  <c r="N49" i="1"/>
  <c r="J49" i="1"/>
  <c r="N48" i="1"/>
  <c r="J48" i="1"/>
  <c r="N47" i="1"/>
  <c r="J47" i="1"/>
  <c r="N46" i="1"/>
  <c r="J46" i="1"/>
  <c r="N45" i="1"/>
  <c r="J45" i="1"/>
  <c r="N44" i="1"/>
  <c r="J44" i="1"/>
  <c r="N43" i="1"/>
  <c r="J43" i="1"/>
  <c r="N42" i="1"/>
  <c r="J42" i="1"/>
  <c r="N41" i="1"/>
  <c r="J41" i="1"/>
  <c r="N40" i="1"/>
  <c r="J40" i="1"/>
  <c r="N39" i="1"/>
  <c r="J39" i="1"/>
  <c r="N38" i="1"/>
  <c r="J38" i="1"/>
  <c r="N37" i="1"/>
  <c r="J37" i="1"/>
  <c r="N36" i="1"/>
  <c r="J36" i="1"/>
  <c r="N35" i="1"/>
  <c r="J35" i="1"/>
  <c r="N34" i="1"/>
  <c r="J34" i="1"/>
  <c r="N33" i="1"/>
  <c r="J33" i="1"/>
  <c r="N32" i="1"/>
  <c r="J32" i="1"/>
  <c r="N31" i="1"/>
  <c r="J31" i="1"/>
  <c r="N30" i="1"/>
  <c r="J30" i="1"/>
  <c r="N29" i="1"/>
  <c r="J29" i="1"/>
  <c r="N28" i="1"/>
  <c r="J28" i="1"/>
  <c r="N27" i="1"/>
  <c r="J27" i="1"/>
  <c r="N26" i="1"/>
  <c r="J26" i="1"/>
  <c r="N25" i="1"/>
  <c r="J25" i="1"/>
  <c r="N24" i="1"/>
  <c r="J24" i="1"/>
  <c r="N23" i="1"/>
  <c r="J23" i="1"/>
  <c r="N22" i="1"/>
  <c r="J22" i="1"/>
  <c r="N21" i="1"/>
  <c r="J21" i="1"/>
  <c r="N20" i="1"/>
  <c r="J20" i="1"/>
  <c r="N19" i="1"/>
  <c r="J19" i="1"/>
  <c r="N18" i="1"/>
  <c r="J18" i="1"/>
  <c r="N17" i="1"/>
  <c r="J17" i="1"/>
  <c r="N16" i="1"/>
  <c r="J16" i="1"/>
  <c r="N15" i="1"/>
  <c r="J15" i="1"/>
  <c r="N14" i="1"/>
  <c r="J14" i="1"/>
  <c r="N13" i="1"/>
  <c r="J13" i="1"/>
  <c r="N12" i="1"/>
  <c r="J12" i="1"/>
  <c r="N11" i="1"/>
  <c r="J11" i="1"/>
  <c r="N10" i="1"/>
  <c r="J10" i="1"/>
  <c r="N9" i="1"/>
  <c r="J9" i="1"/>
  <c r="N8" i="1"/>
  <c r="J8" i="1"/>
  <c r="N7" i="1"/>
  <c r="J7" i="1"/>
  <c r="N6" i="1"/>
  <c r="J6" i="1"/>
  <c r="N5" i="1"/>
  <c r="J5" i="1"/>
  <c r="N4" i="1"/>
  <c r="J4" i="1"/>
</calcChain>
</file>

<file path=xl/sharedStrings.xml><?xml version="1.0" encoding="utf-8"?>
<sst xmlns="http://schemas.openxmlformats.org/spreadsheetml/2006/main" count="5178" uniqueCount="417">
  <si>
    <t>Domande Pagate Decreto 68</t>
  </si>
  <si>
    <t>Organismo Pagatore</t>
  </si>
  <si>
    <t>Gruppo Misura</t>
  </si>
  <si>
    <t>Regione</t>
  </si>
  <si>
    <t>Caa Nazionale Presentazione Domanda</t>
  </si>
  <si>
    <t>Ufficio Caa Presentazione Domanda</t>
  </si>
  <si>
    <t>Caa Nazionale detentore del fascicolo dell'azienda</t>
  </si>
  <si>
    <t>Ufficio Caa detentore del fascicolo dell'azienda</t>
  </si>
  <si>
    <t>Ente</t>
  </si>
  <si>
    <t>Campagna</t>
  </si>
  <si>
    <t>Codice Domanda</t>
  </si>
  <si>
    <t>Tipologia Programmazione</t>
  </si>
  <si>
    <t>Misura PSR 2014-2020</t>
  </si>
  <si>
    <t>Intervento</t>
  </si>
  <si>
    <t>Cuaa</t>
  </si>
  <si>
    <t>Denominazione</t>
  </si>
  <si>
    <t>Tipologia Elenco</t>
  </si>
  <si>
    <t>Protocollo Elenco</t>
  </si>
  <si>
    <t>Data Autorizzazione OP Elenco</t>
  </si>
  <si>
    <t>Stato Della Domanda</t>
  </si>
  <si>
    <t>Tipologia di Pagamento</t>
  </si>
  <si>
    <t>Tipologia di Finanziamento</t>
  </si>
  <si>
    <t>Importo Totale in Elenco</t>
  </si>
  <si>
    <t>Importo in Elenco (Quota FEASR)</t>
  </si>
  <si>
    <t>Importo in Elenco (Quota Nazionale)</t>
  </si>
  <si>
    <t>Importo in Elenco (Quota Regionale)</t>
  </si>
  <si>
    <t>AGEA</t>
  </si>
  <si>
    <t>Interventi FEASR SIGC</t>
  </si>
  <si>
    <t>MARCHE</t>
  </si>
  <si>
    <t>CAA LiberiAgricoltori srl già CAA AGCI srl</t>
  </si>
  <si>
    <t>CAA LiberiAgricoltori - MACERATA - 001</t>
  </si>
  <si>
    <t>CAA LIBERIAGRICOLTORI S.R.L</t>
  </si>
  <si>
    <t>SERV. DEC. AGRICOLTURA E ALIM. - MACERATA</t>
  </si>
  <si>
    <t>PSP Programmazione 2023/2027</t>
  </si>
  <si>
    <t>SRA15</t>
  </si>
  <si>
    <t>GATTARI DOMENICO</t>
  </si>
  <si>
    <t>Ordinario</t>
  </si>
  <si>
    <t>AGEA.ASR.2026.0253532</t>
  </si>
  <si>
    <t>Erogata</t>
  </si>
  <si>
    <t>Saldo</t>
  </si>
  <si>
    <t>Co-Finanziato</t>
  </si>
  <si>
    <t>CAA-CAF AGRI S.R.L.</t>
  </si>
  <si>
    <t>CAA CAF AGRI - MACERATA - 224</t>
  </si>
  <si>
    <t>GIOSUE' LINO</t>
  </si>
  <si>
    <t>CAA Coldiretti srl</t>
  </si>
  <si>
    <t>CAA Coldiretti - ANCONA - 003</t>
  </si>
  <si>
    <t>CAA COLDIRETTI S.R.L.</t>
  </si>
  <si>
    <t>SERV. DEC. AGRICOLTURA E ALIMENTAZIONE - ANCONA</t>
  </si>
  <si>
    <t>GUERRI GIORGIO</t>
  </si>
  <si>
    <t>CAA Coldiretti - ANCONA - 005</t>
  </si>
  <si>
    <t>MAGINI LUCIANA</t>
  </si>
  <si>
    <t>ILARI GIULIANO</t>
  </si>
  <si>
    <t>CAA CAF AGRI - ANCONA - 224</t>
  </si>
  <si>
    <t>MANCINI GABRIELE</t>
  </si>
  <si>
    <t>CAA Coldiretti - FERMO - 001</t>
  </si>
  <si>
    <t>SERV. DEC. AGRICOLTURA E ALIM. -ASCOLI PICENO</t>
  </si>
  <si>
    <t>MAZZONI STEFANO</t>
  </si>
  <si>
    <t>CAA AGRISERVIZI s.r.l.</t>
  </si>
  <si>
    <t>CAA AGRISERVIZI - LATINA - 001</t>
  </si>
  <si>
    <t>CAA AGRISERVIZI S.R.L.</t>
  </si>
  <si>
    <t>PASCALI GIACOMO</t>
  </si>
  <si>
    <t>CAA CIA srl</t>
  </si>
  <si>
    <t>CAA CIA - ANCONA - 005</t>
  </si>
  <si>
    <t>CAA CIA</t>
  </si>
  <si>
    <t>PETRELLINI MARCO</t>
  </si>
  <si>
    <t>CAA CIA - ANCONA - 002</t>
  </si>
  <si>
    <t>PIERELLI ROMINA</t>
  </si>
  <si>
    <t>PONTE PIO SRL</t>
  </si>
  <si>
    <t>POLIMENO MAURO</t>
  </si>
  <si>
    <t>CAA Coldiretti - ANCONA - 006</t>
  </si>
  <si>
    <t>SABBATINI ROSSETTI LUCA</t>
  </si>
  <si>
    <t>CAA Coldiretti - ASCOLI PICENO - 030</t>
  </si>
  <si>
    <t>SOCIETA' AGRICOLA ALEANDRI PAOLA &amp; TIZIANO SOCIETA' SEMPLICE</t>
  </si>
  <si>
    <t>SOCIETA' AGRICOLA CASTELROSINO DI PREMARINI E CANTALUPO SOCIETA' SEMPL</t>
  </si>
  <si>
    <t>SOCIETA' AGRICOLA LA ZAPPA SUI PIEDI S.S.</t>
  </si>
  <si>
    <t>CAA Confagricoltura srl</t>
  </si>
  <si>
    <t>CAA Confagricoltura - PESARO E URBINO - 001</t>
  </si>
  <si>
    <t>CAA CONFAGRICOLTURA S.R.L.</t>
  </si>
  <si>
    <t>SERV. DEC. AGRICOLTURA E ALIMENTAZIONE - PESARO</t>
  </si>
  <si>
    <t>SOCIETA' AGRICOLA LA.CRI.MA. VERDE S.S.</t>
  </si>
  <si>
    <t>SOCIETA' AGRICOLA LE STAGIONI DI BOLOGNINI LORENZO &amp; C. SAS</t>
  </si>
  <si>
    <t>VICARI SOCIETA' SEMPLICE AGRICOLA DI VICARI NAZZARENO, VICO E VALENTIN</t>
  </si>
  <si>
    <t>ZACCAGNINI ROSELLA</t>
  </si>
  <si>
    <t>SRA14</t>
  </si>
  <si>
    <t>BERTINAT PIERLUIGI</t>
  </si>
  <si>
    <t>AGEA.ASR.2026.0253529</t>
  </si>
  <si>
    <t>CAA CIA - PESARO E URBINO - 005</t>
  </si>
  <si>
    <t>FERONE FRANCESCO</t>
  </si>
  <si>
    <t>CAA Coldiretti - PESARO E URBINO - 013</t>
  </si>
  <si>
    <t>GUERRA DIEGO</t>
  </si>
  <si>
    <t>CAA Coldiretti - PESARO E URBINO - 001</t>
  </si>
  <si>
    <t>MARTINELLI ELISA</t>
  </si>
  <si>
    <t>CAA Confagricoltura - MACERATA - 001</t>
  </si>
  <si>
    <t>MAURIZI ORELIA</t>
  </si>
  <si>
    <t>CAA LiberiAgricoltori - PESARO E URBINO - 001</t>
  </si>
  <si>
    <t>SOCIETA' AGRICOLA IL PIANO S.S.</t>
  </si>
  <si>
    <t>CAA CIA - ASCOLI PICENO - 004</t>
  </si>
  <si>
    <t>ACCIARRI GIOVANNA</t>
  </si>
  <si>
    <t>AZIENDA AGRICOLA AGOSTINI DI AGOSTINI MATTEO &amp; C. S.N.C.</t>
  </si>
  <si>
    <t>CAA CIA - ANCONA - 004</t>
  </si>
  <si>
    <t>BATTESTINI SIMONE</t>
  </si>
  <si>
    <t>SOCIETA AGRICOLA BIOLOGICA FILENI S.R.L.</t>
  </si>
  <si>
    <t>CAA CAF AGRI - ANCONA - 225</t>
  </si>
  <si>
    <t>CESARONI GIULIANO</t>
  </si>
  <si>
    <t>COLLAMATI DONATELLA</t>
  </si>
  <si>
    <t>CAA CIA - ANCONA - 001</t>
  </si>
  <si>
    <t>DOPPIERI CRISTIANA</t>
  </si>
  <si>
    <t>CAA Coldiretti - ANCONA - 004</t>
  </si>
  <si>
    <t>SOCIETA' AGRICOLA MONTEBIANCO120 S.S.</t>
  </si>
  <si>
    <t>GIACANI FILIPPO</t>
  </si>
  <si>
    <t>SABBATINI ROSSETTI FRANCESCO</t>
  </si>
  <si>
    <t>MARCHESINI MONIA</t>
  </si>
  <si>
    <t>SANTARELLI ROBERTA</t>
  </si>
  <si>
    <t>SOCIETA' AGRICOLA IL CANTO DEL GALLO DI DEMETRIO RUFFINI E C. SOCIETA'</t>
  </si>
  <si>
    <t>SOCIETA' AGRICOLA MOROBIANCO S.R.L.</t>
  </si>
  <si>
    <t>CAA Coldiretti - PESARO E URBINO - 006</t>
  </si>
  <si>
    <t>VENTURINI VIRGINIA</t>
  </si>
  <si>
    <t>CAA CIA - ASCOLI PICENO - 001</t>
  </si>
  <si>
    <t>CASTELLI MARINO</t>
  </si>
  <si>
    <t>AGEA.ASR.2025.1580955</t>
  </si>
  <si>
    <t>CAA Coldiretti - ASCOLI PICENO - 025</t>
  </si>
  <si>
    <t>CAA CAF AGRI - ASCOLI PICENO - 223</t>
  </si>
  <si>
    <t>SRA06</t>
  </si>
  <si>
    <t>MORETTI DOMENICA</t>
  </si>
  <si>
    <t>AGEA.ASR.2026.0191052</t>
  </si>
  <si>
    <t>CAA Confagricoltura - ASCOLI PICENO - 001</t>
  </si>
  <si>
    <t>SOCIETA' AGRICOLA OFFICINA DEL SOLE SRL</t>
  </si>
  <si>
    <t>CAA CIA - PESARO E URBINO - 002</t>
  </si>
  <si>
    <t>SRB01</t>
  </si>
  <si>
    <t>MORELLI NOVELLA</t>
  </si>
  <si>
    <t>AGEA.ASR.2026.0255189</t>
  </si>
  <si>
    <t>MUCCIOLI GIANFRANCO</t>
  </si>
  <si>
    <t>PIERONI FRANCESCO</t>
  </si>
  <si>
    <t>SOCCI ANDREA</t>
  </si>
  <si>
    <t>SOCIETA' AGRICOLA VECCHI MANUEL E VALEDO S.S.</t>
  </si>
  <si>
    <t>ROSSINI LORETTA</t>
  </si>
  <si>
    <t>ACCIARRI SOCIETA' AGRICOLA SRL</t>
  </si>
  <si>
    <t>CALAMANTE MIRKO</t>
  </si>
  <si>
    <t>CAA Confagricoltura - ANCONA - 001</t>
  </si>
  <si>
    <t>COLORI YLENIA</t>
  </si>
  <si>
    <t>ORGANI MAURO</t>
  </si>
  <si>
    <t>RONCONI DONATELLA</t>
  </si>
  <si>
    <t>SOCIETA' AGRICOLA MASTROCOLA DI RIZ L. E C. SNC</t>
  </si>
  <si>
    <t>AGR.ESTE SOC.AGRICOLA SRLS</t>
  </si>
  <si>
    <t>CAA LiberiAgricoltori - MACERATA - 005</t>
  </si>
  <si>
    <t>ANCILLANI ALESSIO</t>
  </si>
  <si>
    <t>MONDOMINI SOCIETA' AGRICOLA SEMPLICE</t>
  </si>
  <si>
    <t>BEFANUCCI EMANUELE</t>
  </si>
  <si>
    <t>BORA FRANCESCO</t>
  </si>
  <si>
    <t>CIRIACHI ALESSANDRA</t>
  </si>
  <si>
    <t>BRANDONI ALESSIO</t>
  </si>
  <si>
    <t>CARBINI PATRIZIA</t>
  </si>
  <si>
    <t>BUGATTI ROBERTO</t>
  </si>
  <si>
    <t>CANDELARESI CARLO</t>
  </si>
  <si>
    <t>CANESTRARI VALERIO</t>
  </si>
  <si>
    <t>CARBONI DONNINO</t>
  </si>
  <si>
    <t>CASAMURATA SOCIETA' AGRICOLA</t>
  </si>
  <si>
    <t>CIMARELLI MARCO</t>
  </si>
  <si>
    <t>SOCIETA' AGRICOLA LA COLLINA DEI CAVALIERI DI ROCCHI LUANA &amp; C. S.S.</t>
  </si>
  <si>
    <t>CURI MAURIZIO</t>
  </si>
  <si>
    <t>DACI HYSEN</t>
  </si>
  <si>
    <t>FATTORINI PAOLA</t>
  </si>
  <si>
    <t>FEDERICI BERNARDO</t>
  </si>
  <si>
    <t>CAA UNICAA srl</t>
  </si>
  <si>
    <t>CAA UNICAA - ASCOLI PICENO - 004</t>
  </si>
  <si>
    <t>CAA UNICAA</t>
  </si>
  <si>
    <t>"OLIVE GREGORI" SOCIETA' AGRICOLA SEMPLICE</t>
  </si>
  <si>
    <t>FILIPPONI GIORGIO</t>
  </si>
  <si>
    <t>SRA01</t>
  </si>
  <si>
    <t>ANGELINI CLAUDIO</t>
  </si>
  <si>
    <t>AGEA.ASR.2026.0253508</t>
  </si>
  <si>
    <t>AZ. AGR. PENNESI MARIANO &amp; C. S.S.</t>
  </si>
  <si>
    <t>CAA Coldiretti - MACERATA - 010</t>
  </si>
  <si>
    <t>SOCIETA' AGRICOLA GUZZINI E FRANCIONI DI GUZZINI FRANCESCO &amp; C.S.S.</t>
  </si>
  <si>
    <t>ANTOGNOZZI MARIANNINA</t>
  </si>
  <si>
    <t>CAA CAF AGRI - FERMO - 222</t>
  </si>
  <si>
    <t>"AZIENDA AGRICOLA CRUCIANO" DI VILLA PATRIZIO E NORIS S.S.</t>
  </si>
  <si>
    <t>CAA CIA - PESARO E URBINO - 001</t>
  </si>
  <si>
    <t>BARTOLINI FABIO</t>
  </si>
  <si>
    <t>CAA Liberi Prof.</t>
  </si>
  <si>
    <t>CAA Liberi Prof. - PESARO E URBINO - 001</t>
  </si>
  <si>
    <t>CAA LIBERI PROFESSIONISTI S.R.L.</t>
  </si>
  <si>
    <t>CAPECCI ALESSANDRO</t>
  </si>
  <si>
    <t>CATALINI MATTEO</t>
  </si>
  <si>
    <t>PIRANI LORENZO</t>
  </si>
  <si>
    <t>GEMINIANI PIERO</t>
  </si>
  <si>
    <t>CAA Coldiretti - ANCONA - 001</t>
  </si>
  <si>
    <t>MARTINANGELI MASSIMO</t>
  </si>
  <si>
    <t>MASTROSANI CHIARA</t>
  </si>
  <si>
    <t>CAA Coldiretti - MACERATA - 007</t>
  </si>
  <si>
    <t>SOCIETA' AGRICOLA PAZZELLI S.S.</t>
  </si>
  <si>
    <t>CAA CIA - ASCOLI PICENO - 006</t>
  </si>
  <si>
    <t>CARBONI MATTEO</t>
  </si>
  <si>
    <t>CARLINI DANILO</t>
  </si>
  <si>
    <t>DEL GOBBO VITTORIA</t>
  </si>
  <si>
    <t>FEDERICI LAURA</t>
  </si>
  <si>
    <t>EUSEBI MASSIMILIANO</t>
  </si>
  <si>
    <t>GEMINIANI PIO</t>
  </si>
  <si>
    <t>EUSEBI ROBERTO</t>
  </si>
  <si>
    <t>VAGNARELLI ENRICO - GABRIELLI VINCENZA</t>
  </si>
  <si>
    <t>CAA Coldiretti - PESARO E URBINO - 007</t>
  </si>
  <si>
    <t>LIGI MARCO</t>
  </si>
  <si>
    <t>CAA LiberiAgricoltori - MACERATA - 007</t>
  </si>
  <si>
    <t>AGRIFORAGGI SOC.AGRICOLA DI CARESTIA DANIELE &amp; C. S.S.</t>
  </si>
  <si>
    <t>AGEA.ASR.2026.0250836</t>
  </si>
  <si>
    <t>CAA Coldiretti - MACERATA - 017</t>
  </si>
  <si>
    <t>MONTEDORO CESARE</t>
  </si>
  <si>
    <t>CAA CIA - PESARO E URBINO - 003</t>
  </si>
  <si>
    <t>CESARINI ROSANNA</t>
  </si>
  <si>
    <t>MARZI IDILLIO</t>
  </si>
  <si>
    <t>PALA GIUSEPPE</t>
  </si>
  <si>
    <t>FERNANDEZ SORIA LIDIA DE LOS ANGELES</t>
  </si>
  <si>
    <t>FOSSI ALBERTO</t>
  </si>
  <si>
    <t>FOSSI DAVIDE</t>
  </si>
  <si>
    <t>FRATTINI CLAUDINA</t>
  </si>
  <si>
    <t>GORGOLINI LUISA</t>
  </si>
  <si>
    <t>LAZZARINI SEVERINO</t>
  </si>
  <si>
    <t>LE STONGHE SOCIETA SEMPLICE AGRICOLA S.S.</t>
  </si>
  <si>
    <t>LIBANORE ENRICO</t>
  </si>
  <si>
    <t>LONGHI TOMMASO</t>
  </si>
  <si>
    <t>MARTELLINI ANTONIO</t>
  </si>
  <si>
    <t>MEDICI RICCARDO</t>
  </si>
  <si>
    <t>SRA03</t>
  </si>
  <si>
    <t>AGEA.ASR.2026.0227295</t>
  </si>
  <si>
    <t>RAZZETTI MONICA</t>
  </si>
  <si>
    <t>AGEA.ASR.2026.0253539</t>
  </si>
  <si>
    <t>UBALDI LEONARDO</t>
  </si>
  <si>
    <t>SANTINI MARCO</t>
  </si>
  <si>
    <t>IMPECORA ALESSANDRO</t>
  </si>
  <si>
    <t>LORI SERGIO</t>
  </si>
  <si>
    <t>CAA CIA - PESARO E URBINO - 007</t>
  </si>
  <si>
    <t>LUCARINI GIACOMO</t>
  </si>
  <si>
    <t>CAA LiberiAgricoltori - MACERATA - 003</t>
  </si>
  <si>
    <t>MASSIMI LUCA</t>
  </si>
  <si>
    <t>MOGETTA FILIPPO</t>
  </si>
  <si>
    <t>MONTESI PAOLO - CIBIN SABRINA</t>
  </si>
  <si>
    <t>PARIS MICHELA</t>
  </si>
  <si>
    <t>PAZZAGLINI PAOLO</t>
  </si>
  <si>
    <t>CAA LiberiAgricoltori - PESARO E URBINO - 002</t>
  </si>
  <si>
    <t>PICCARI MASSIMILIANO</t>
  </si>
  <si>
    <t>PICIOTTI PIETRO</t>
  </si>
  <si>
    <t>PIERMATTEI MANUELA</t>
  </si>
  <si>
    <t>PROCACCINI ANTONIO</t>
  </si>
  <si>
    <t>PUPITA ROSANGELA</t>
  </si>
  <si>
    <t>CAA Coldiretti - PESARO E URBINO - 008</t>
  </si>
  <si>
    <t>RENZI TERZO</t>
  </si>
  <si>
    <t>SACCHI NAZZARENO</t>
  </si>
  <si>
    <t>SOCIETA' AGRICOLA BRAMATA S.S.</t>
  </si>
  <si>
    <t>SOCIETA' AGRICOLA F.LLI SPINACI S.S.</t>
  </si>
  <si>
    <t>CAA LiberiAgricoltori - MACERATA - 002</t>
  </si>
  <si>
    <t>SOCIETA' AGRICOLA LA ROCCA DI TROVARELLI ALESSIA E C. S.S.</t>
  </si>
  <si>
    <t>SOCIETA' ME.TA. DI MENCAGLI PASQUALE PIETRO E MENCAGLI LUCIANO</t>
  </si>
  <si>
    <t>TASSI GIULIO</t>
  </si>
  <si>
    <t>CAA Coldiretti - PESARO E URBINO - 004</t>
  </si>
  <si>
    <t>TOPI STEFANO</t>
  </si>
  <si>
    <t>TREGGIARI GERMANO</t>
  </si>
  <si>
    <t>CAA Coldiretti - ASCOLI PICENO - 010</t>
  </si>
  <si>
    <t>TROIANI GRAZIANO</t>
  </si>
  <si>
    <t>PRANZETTI MARIA LUISA</t>
  </si>
  <si>
    <t>ROMITI JONATHAN</t>
  </si>
  <si>
    <t>SEBASTIANI DAMIANO</t>
  </si>
  <si>
    <t>SEBASTIANI MARCO</t>
  </si>
  <si>
    <t>SENSOLI EMILIA</t>
  </si>
  <si>
    <t>SILIQUINI LINA</t>
  </si>
  <si>
    <t>SOC.AGRICOLA CA' QUATTROCCHI S.S</t>
  </si>
  <si>
    <t>CAA LiberiAgricoltori - MACERATA - 004</t>
  </si>
  <si>
    <t>SOCIETA AGRICOLA I TRE MONTI SRL</t>
  </si>
  <si>
    <t>SOCIETA AGRICOLA RE DOMENICO E C SS</t>
  </si>
  <si>
    <t>SOCIETA' AGRICOLA AGRITURISTICA 'TERRA DI MAGIE' S.S.</t>
  </si>
  <si>
    <t>SOCIETA' AGRICOLA BELLEFONTI SRL</t>
  </si>
  <si>
    <t>SOCIETA' AGRICOLA F.LLI TOMMASINI DI TOMMASINI ANDREA &amp; C. S.N.C.</t>
  </si>
  <si>
    <t>SOCIETA' AGRICOLA PANICHI SOCIETA' SEMPLICE</t>
  </si>
  <si>
    <t>SOCIETA' AGRICOLA SILVESTRI GIANCARLO &amp; C. S.S.</t>
  </si>
  <si>
    <t>STAZI MARIA TERESA</t>
  </si>
  <si>
    <t>TITTARELLI CHRISTIAN</t>
  </si>
  <si>
    <t>SOCIETA' AGRICOLA PRONTO CAMPI S.S.</t>
  </si>
  <si>
    <t>TAMBURINI GIANCARLO E VALENTINO SOCIETA' SEMPLICE</t>
  </si>
  <si>
    <t>TANGANELLI FRANCA</t>
  </si>
  <si>
    <t>TASCA GIUSEPPINA</t>
  </si>
  <si>
    <t>TIBERI SCILLA</t>
  </si>
  <si>
    <t>VALIBONA S.N.C. DI COLLESI ANTONIO &amp; PIEROTTI PIERANGELO - SOCIET A' A</t>
  </si>
  <si>
    <t>VECCHIETTI ALESSANDRO</t>
  </si>
  <si>
    <t>VENAROTTA ROSELLA</t>
  </si>
  <si>
    <t>VOLPONI GIANNI</t>
  </si>
  <si>
    <t>ZAFFERENATI ELVEZIO</t>
  </si>
  <si>
    <t>CAA Confagricoltura - PERUGIA - 002</t>
  </si>
  <si>
    <t>ZUCCHINI GIOVANNI ANTONIO</t>
  </si>
  <si>
    <t>SILVI SANTA</t>
  </si>
  <si>
    <t>SOCIETA' AGRICOLA VALLE SONIA S.S.</t>
  </si>
  <si>
    <t>SPITONI ENRICO</t>
  </si>
  <si>
    <t>VOLPONI PEPPINO</t>
  </si>
  <si>
    <t>B.P. SOLAR SOCIETA' AGRICOLA A RESPONSABILITA' LIMITATA</t>
  </si>
  <si>
    <t>CONTI GIANCARLO</t>
  </si>
  <si>
    <t>CORBELLI MANUELA</t>
  </si>
  <si>
    <t>DE ANGELI GIANCARLO</t>
  </si>
  <si>
    <t>DE LUCA VITTORIO GIACINTO</t>
  </si>
  <si>
    <t>DESIDERI ANNAMARIA</t>
  </si>
  <si>
    <t>DI CARLO DANIELE</t>
  </si>
  <si>
    <t>DIAMANTI PAOLO</t>
  </si>
  <si>
    <t>FALCIONI ANNA MARIA</t>
  </si>
  <si>
    <t>FEDELI GIANDOMENICO</t>
  </si>
  <si>
    <t>FOSSI MATILDE</t>
  </si>
  <si>
    <t>FRATTA ANDREA</t>
  </si>
  <si>
    <t>GELSOMINI MATTEO</t>
  </si>
  <si>
    <t>GIORGETTI DAVIDE</t>
  </si>
  <si>
    <t>GIUNCHETTI PAOLA</t>
  </si>
  <si>
    <t>LARGHETTI GIOVANNI</t>
  </si>
  <si>
    <t>MANCIA FLAVIANO</t>
  </si>
  <si>
    <t>MANCINI MAURO</t>
  </si>
  <si>
    <t>MASSI MARZIO</t>
  </si>
  <si>
    <t>MICOZZI FRANCESCO</t>
  </si>
  <si>
    <t>NONNI DANIELE</t>
  </si>
  <si>
    <t>OCCHIALINI ANTONELLA</t>
  </si>
  <si>
    <t>POLITI SERGIO</t>
  </si>
  <si>
    <t>CAMACCI MASSIMILIANO</t>
  </si>
  <si>
    <t>CARAFFA POMPONIO</t>
  </si>
  <si>
    <t>CAA Coldiretti - PESARO E URBINO - 010</t>
  </si>
  <si>
    <t>CECCHINI PASQUALE</t>
  </si>
  <si>
    <t>CERTELLI GABRIELLA</t>
  </si>
  <si>
    <t>DEVOTELLI ANDREA</t>
  </si>
  <si>
    <t>DI MASCIO VINCENZA</t>
  </si>
  <si>
    <t>CIACCI GIORGINA</t>
  </si>
  <si>
    <t>CIANDRINI PAOLO</t>
  </si>
  <si>
    <t>CIARROCCHI MARIA</t>
  </si>
  <si>
    <t>COSMI ITALIA</t>
  </si>
  <si>
    <t>FALCONI GIORGIA</t>
  </si>
  <si>
    <t>FERRI STEFANO</t>
  </si>
  <si>
    <t>GABANNINI GIORGIO</t>
  </si>
  <si>
    <t>GALLETI LUIGI</t>
  </si>
  <si>
    <t>GAROSI MANUELA</t>
  </si>
  <si>
    <t>GOSTOLI ADRIANO</t>
  </si>
  <si>
    <t>ILARI GIACOMO</t>
  </si>
  <si>
    <t>LA CONSOLIDA SOCIETA AGRICOLA SEMPLICE DI MARCO LUCA ALBERTO BREGLIA E</t>
  </si>
  <si>
    <t>POMPA DONATELLA</t>
  </si>
  <si>
    <t>LATTANZI IRENE</t>
  </si>
  <si>
    <t>LAZZERINI RENATO</t>
  </si>
  <si>
    <t>LOCCIONI RENATO</t>
  </si>
  <si>
    <t>MAGI DAVIDE</t>
  </si>
  <si>
    <t>MAGNANI LUCIANO</t>
  </si>
  <si>
    <t>MARINI LORENZO</t>
  </si>
  <si>
    <t>MENCARINI FERNANDO</t>
  </si>
  <si>
    <t>CAA LiberiAgricoltori - MACERATA - 006</t>
  </si>
  <si>
    <t>MORICONI FABIO</t>
  </si>
  <si>
    <t>NATALIZI ROBERTO</t>
  </si>
  <si>
    <t>PAGANELLI UMBERTO</t>
  </si>
  <si>
    <t>PALA GIORGIO</t>
  </si>
  <si>
    <t>PAZZAGLIA GIAMPIERO</t>
  </si>
  <si>
    <t>PIEROZZI ROBERTO</t>
  </si>
  <si>
    <t>PISCINI CARLO</t>
  </si>
  <si>
    <t>SOCIETA' AGRICOLA F.LLI MULAS S.S.</t>
  </si>
  <si>
    <t>AGEA.ASR.2026.0244362</t>
  </si>
  <si>
    <t>ULDERICI DELFA</t>
  </si>
  <si>
    <t>CAA CIA - PESARO E URBINO - 008</t>
  </si>
  <si>
    <t>PAVANI LAURA</t>
  </si>
  <si>
    <t>AGOSTINI FEDERICO</t>
  </si>
  <si>
    <t>ANTONIUCCI GRAZIANO</t>
  </si>
  <si>
    <t>AZ. AGR. CIANDRINI BENITO &amp; C. SOCIETA' SEMPLICE</t>
  </si>
  <si>
    <t>ALEANDRI SIMONA</t>
  </si>
  <si>
    <t>CAA CAF AGRI - ANCONA - 223</t>
  </si>
  <si>
    <t>AMATI GIANCARLO</t>
  </si>
  <si>
    <t>ALFONSI QUINTO</t>
  </si>
  <si>
    <t>AMICI MARIA GIUSEPPINA</t>
  </si>
  <si>
    <t>AMOROSI ANTONIO</t>
  </si>
  <si>
    <t>ANGELICI ANGELO</t>
  </si>
  <si>
    <t>ANGELINI ANTONIETTA</t>
  </si>
  <si>
    <t>ANIBALLI FRANCO</t>
  </si>
  <si>
    <t>ANTOGNOLI ANTONELLA</t>
  </si>
  <si>
    <t>AZ. AGRICOLA I.L.A. DI LIBORI E GARULLI S.S. SOCIETA' AGRICOLA</t>
  </si>
  <si>
    <t>BALDASSARRI MARIA</t>
  </si>
  <si>
    <t>BALDELLI ANDREA</t>
  </si>
  <si>
    <t>BANNINI ANTONIO</t>
  </si>
  <si>
    <t>BARTOLUCCI ANGELO E ZAMPONI SANTINA SOCIETA' SEMPLICE</t>
  </si>
  <si>
    <t>BARTOLUCCI ERCOLE</t>
  </si>
  <si>
    <t>BENIGNI ALESSIA</t>
  </si>
  <si>
    <t>BERNARDINI ATTILIO</t>
  </si>
  <si>
    <t>BETTI GIAMPIERO</t>
  </si>
  <si>
    <t>BIANCHINI GIULIANA</t>
  </si>
  <si>
    <t>CAA Coldiretti - ANCONA - 002</t>
  </si>
  <si>
    <t>BOCCI JONATHAN</t>
  </si>
  <si>
    <t>BRAVI GIORGIO</t>
  </si>
  <si>
    <t>BRANCHINI LEONARDO</t>
  </si>
  <si>
    <t>BURATTI ELISEO</t>
  </si>
  <si>
    <t>CALAMANTE GIORGIO</t>
  </si>
  <si>
    <t>CALCAPRETTO SOCIETA' AGRICOLA S.S.</t>
  </si>
  <si>
    <t>CECCHINI VERONICA</t>
  </si>
  <si>
    <t>CIACCI GIULIANO</t>
  </si>
  <si>
    <t>DOMINICI ROBERTINO</t>
  </si>
  <si>
    <t>DURINZI DELIO</t>
  </si>
  <si>
    <t>ARECHE ANDREA</t>
  </si>
  <si>
    <t>BARTOLUCCI ALFIO</t>
  </si>
  <si>
    <t>ALESSANDRONI MARIA-PAOLA</t>
  </si>
  <si>
    <t>ASCARI ACHILLE</t>
  </si>
  <si>
    <t>BALDACCI FRANCESCO</t>
  </si>
  <si>
    <t>BARBIERI ALDO</t>
  </si>
  <si>
    <t>BARTOLOMEI MARCO</t>
  </si>
  <si>
    <t>BERTOLONE NICOLO'</t>
  </si>
  <si>
    <t>BUSCO ALDO</t>
  </si>
  <si>
    <t>BIANCHELLA MARCELLO</t>
  </si>
  <si>
    <t>BLAGA CLAUDIU</t>
  </si>
  <si>
    <t>BRANCHINI EZIO E ORAZIO S.S.</t>
  </si>
  <si>
    <t>BOLDRINI SANDRA</t>
  </si>
  <si>
    <t>BONCI ALBERICO</t>
  </si>
  <si>
    <t>BRESCINI MASSIMO</t>
  </si>
  <si>
    <t>BONOMI SILVIA</t>
  </si>
  <si>
    <t>BRANCHINI STEFANO</t>
  </si>
  <si>
    <t>BRESCINI MICHELE</t>
  </si>
  <si>
    <t>BRUNI SAMUELE</t>
  </si>
  <si>
    <t>CALVANI LAURA</t>
  </si>
  <si>
    <t>CANDIRACCI SIMONA</t>
  </si>
  <si>
    <t>CANGHIARI LUCA</t>
  </si>
  <si>
    <t>CANNELLI GINO</t>
  </si>
  <si>
    <t>CAPITANI FERNANDO</t>
  </si>
  <si>
    <t>CASELLA MAURO</t>
  </si>
  <si>
    <t>CAVERNI MARCO</t>
  </si>
  <si>
    <t>CIABATTONI ALFREDO</t>
  </si>
  <si>
    <t>CIANDRINI SILVANA</t>
  </si>
  <si>
    <t>CINTI DANIELA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</si>
</sst>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Font="1"/>
    <xf numFmtId="0" fontId="18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wrapText="1"/>
    </xf>
    <xf numFmtId="14" fontId="19" fillId="0" borderId="10" xfId="0" applyNumberFormat="1" applyFont="1" applyBorder="1" applyAlignment="1">
      <alignment wrapText="1"/>
    </xf>
    <xf numFmtId="4" fontId="19" fillId="0" borderId="10" xfId="0" applyNumberFormat="1" applyFont="1" applyBorder="1" applyAlignment="1">
      <alignment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25"/>
  <sheetViews>
    <sheetView showGridLines="0" tabSelected="1" topLeftCell="I1" workbookViewId="0">
      <selection activeCell="A3" sqref="A3"/>
    </sheetView>
  </sheetViews>
  <sheetFormatPr defaultRowHeight="15" x14ac:dyDescent="0.25"/>
  <cols>
    <col min="1" max="1" width="15.5703125" style="1" bestFit="1" customWidth="1"/>
    <col min="2" max="2" width="17.7109375" style="1" bestFit="1" customWidth="1"/>
    <col min="3" max="3" width="7.28515625" style="1" bestFit="1" customWidth="1"/>
    <col min="4" max="4" width="32.42578125" style="1" bestFit="1" customWidth="1"/>
    <col min="5" max="5" width="36.42578125" style="1" bestFit="1" customWidth="1"/>
    <col min="6" max="6" width="36.5703125" style="1" bestFit="1" customWidth="1"/>
    <col min="7" max="7" width="36.42578125" style="1" bestFit="1" customWidth="1"/>
    <col min="8" max="8" width="36.5703125" style="1" bestFit="1" customWidth="1"/>
    <col min="9" max="9" width="8.42578125" style="1" bestFit="1" customWidth="1"/>
    <col min="10" max="10" width="12.85546875" style="1" bestFit="1" customWidth="1"/>
    <col min="11" max="11" width="25.5703125" style="1" bestFit="1" customWidth="1"/>
    <col min="12" max="12" width="17" style="1" bestFit="1" customWidth="1"/>
    <col min="13" max="13" width="8.28515625" style="1" bestFit="1" customWidth="1"/>
    <col min="14" max="14" width="4.42578125" style="1" bestFit="1" customWidth="1"/>
    <col min="15" max="15" width="36.5703125" style="1" bestFit="1" customWidth="1"/>
    <col min="16" max="16" width="12.42578125" style="1" bestFit="1" customWidth="1"/>
    <col min="17" max="17" width="18.85546875" style="1" bestFit="1" customWidth="1"/>
    <col min="18" max="18" width="23" style="1" bestFit="1" customWidth="1"/>
    <col min="19" max="19" width="16.28515625" style="1" bestFit="1" customWidth="1"/>
    <col min="20" max="20" width="17.85546875" style="1" bestFit="1" customWidth="1"/>
    <col min="21" max="21" width="20.28515625" style="1" bestFit="1" customWidth="1"/>
    <col min="22" max="22" width="18.42578125" style="1" bestFit="1" customWidth="1"/>
    <col min="23" max="23" width="24.5703125" style="1" bestFit="1" customWidth="1"/>
    <col min="24" max="25" width="27.140625" style="1" bestFit="1" customWidth="1"/>
    <col min="26" max="16384" width="9.140625" style="1"/>
  </cols>
  <sheetData>
    <row r="1" spans="1:25" x14ac:dyDescent="0.2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8"/>
    </row>
    <row r="2" spans="1:25" x14ac:dyDescent="0.2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8"/>
    </row>
    <row r="3" spans="1:25" ht="24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14</v>
      </c>
      <c r="O3" s="2" t="s">
        <v>15</v>
      </c>
      <c r="P3" s="2" t="s">
        <v>16</v>
      </c>
      <c r="Q3" s="2" t="s">
        <v>17</v>
      </c>
      <c r="R3" s="2" t="s">
        <v>18</v>
      </c>
      <c r="S3" s="2" t="s">
        <v>19</v>
      </c>
      <c r="T3" s="2" t="s">
        <v>20</v>
      </c>
      <c r="U3" s="2" t="s">
        <v>21</v>
      </c>
      <c r="V3" s="2" t="s">
        <v>22</v>
      </c>
      <c r="W3" s="2" t="s">
        <v>23</v>
      </c>
      <c r="X3" s="2" t="s">
        <v>24</v>
      </c>
      <c r="Y3" s="2" t="s">
        <v>25</v>
      </c>
    </row>
    <row r="4" spans="1:25" x14ac:dyDescent="0.25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  <c r="G4" s="3" t="s">
        <v>30</v>
      </c>
      <c r="H4" s="3" t="s">
        <v>32</v>
      </c>
      <c r="I4" s="3">
        <v>2025</v>
      </c>
      <c r="J4" s="3" t="str">
        <f>CONCATENATE("54810369030")</f>
        <v>54810369030</v>
      </c>
      <c r="K4" s="3" t="s">
        <v>33</v>
      </c>
      <c r="L4" s="3"/>
      <c r="M4" s="3" t="s">
        <v>34</v>
      </c>
      <c r="N4" s="3" t="str">
        <f>CONCATENATE("GTTDNC48H24B398Y")</f>
        <v>GTTDNC48H24B398Y</v>
      </c>
      <c r="O4" s="3" t="s">
        <v>35</v>
      </c>
      <c r="P4" s="3" t="s">
        <v>36</v>
      </c>
      <c r="Q4" s="3" t="s">
        <v>37</v>
      </c>
      <c r="R4" s="4">
        <v>46080</v>
      </c>
      <c r="S4" s="3" t="s">
        <v>38</v>
      </c>
      <c r="T4" s="3" t="s">
        <v>39</v>
      </c>
      <c r="U4" s="3" t="s">
        <v>40</v>
      </c>
      <c r="V4" s="5">
        <v>1997.4</v>
      </c>
      <c r="W4" s="3">
        <v>848.9</v>
      </c>
      <c r="X4" s="3">
        <v>803.95</v>
      </c>
      <c r="Y4" s="3">
        <v>344.55</v>
      </c>
    </row>
    <row r="5" spans="1:25" x14ac:dyDescent="0.25">
      <c r="A5" s="3" t="s">
        <v>26</v>
      </c>
      <c r="B5" s="3" t="s">
        <v>27</v>
      </c>
      <c r="C5" s="3" t="s">
        <v>28</v>
      </c>
      <c r="D5" s="3" t="s">
        <v>41</v>
      </c>
      <c r="E5" s="3" t="s">
        <v>42</v>
      </c>
      <c r="F5" s="3" t="s">
        <v>41</v>
      </c>
      <c r="G5" s="3" t="s">
        <v>42</v>
      </c>
      <c r="H5" s="3" t="s">
        <v>32</v>
      </c>
      <c r="I5" s="3">
        <v>2024</v>
      </c>
      <c r="J5" s="3" t="str">
        <f>CONCATENATE("44810944981")</f>
        <v>44810944981</v>
      </c>
      <c r="K5" s="3" t="s">
        <v>33</v>
      </c>
      <c r="L5" s="3"/>
      <c r="M5" s="3" t="s">
        <v>34</v>
      </c>
      <c r="N5" s="3" t="str">
        <f>CONCATENATE("GSILNI38M30F749T")</f>
        <v>GSILNI38M30F749T</v>
      </c>
      <c r="O5" s="3" t="s">
        <v>43</v>
      </c>
      <c r="P5" s="3" t="s">
        <v>36</v>
      </c>
      <c r="Q5" s="3" t="s">
        <v>37</v>
      </c>
      <c r="R5" s="4">
        <v>46080</v>
      </c>
      <c r="S5" s="3" t="s">
        <v>38</v>
      </c>
      <c r="T5" s="3" t="s">
        <v>39</v>
      </c>
      <c r="U5" s="3" t="s">
        <v>40</v>
      </c>
      <c r="V5" s="3">
        <v>572</v>
      </c>
      <c r="W5" s="3">
        <v>243.1</v>
      </c>
      <c r="X5" s="3">
        <v>230.23</v>
      </c>
      <c r="Y5" s="3">
        <v>98.67</v>
      </c>
    </row>
    <row r="6" spans="1:25" ht="24.75" x14ac:dyDescent="0.25">
      <c r="A6" s="3" t="s">
        <v>26</v>
      </c>
      <c r="B6" s="3" t="s">
        <v>27</v>
      </c>
      <c r="C6" s="3" t="s">
        <v>28</v>
      </c>
      <c r="D6" s="3" t="s">
        <v>44</v>
      </c>
      <c r="E6" s="3" t="s">
        <v>45</v>
      </c>
      <c r="F6" s="3" t="s">
        <v>46</v>
      </c>
      <c r="G6" s="3" t="s">
        <v>45</v>
      </c>
      <c r="H6" s="3" t="s">
        <v>47</v>
      </c>
      <c r="I6" s="3">
        <v>2024</v>
      </c>
      <c r="J6" s="3" t="str">
        <f>CONCATENATE("44810548683")</f>
        <v>44810548683</v>
      </c>
      <c r="K6" s="3" t="s">
        <v>33</v>
      </c>
      <c r="L6" s="3"/>
      <c r="M6" s="3" t="s">
        <v>34</v>
      </c>
      <c r="N6" s="3" t="str">
        <f>CONCATENATE("GRRGRG67C13H979V")</f>
        <v>GRRGRG67C13H979V</v>
      </c>
      <c r="O6" s="3" t="s">
        <v>48</v>
      </c>
      <c r="P6" s="3" t="s">
        <v>36</v>
      </c>
      <c r="Q6" s="3" t="s">
        <v>37</v>
      </c>
      <c r="R6" s="4">
        <v>46080</v>
      </c>
      <c r="S6" s="3" t="s">
        <v>38</v>
      </c>
      <c r="T6" s="3" t="s">
        <v>39</v>
      </c>
      <c r="U6" s="3" t="s">
        <v>40</v>
      </c>
      <c r="V6" s="3">
        <v>219.81</v>
      </c>
      <c r="W6" s="3">
        <v>93.42</v>
      </c>
      <c r="X6" s="3">
        <v>88.47</v>
      </c>
      <c r="Y6" s="3">
        <v>37.92</v>
      </c>
    </row>
    <row r="7" spans="1:25" ht="24.75" x14ac:dyDescent="0.25">
      <c r="A7" s="3" t="s">
        <v>26</v>
      </c>
      <c r="B7" s="3" t="s">
        <v>27</v>
      </c>
      <c r="C7" s="3" t="s">
        <v>28</v>
      </c>
      <c r="D7" s="3" t="s">
        <v>44</v>
      </c>
      <c r="E7" s="3" t="s">
        <v>49</v>
      </c>
      <c r="F7" s="3" t="s">
        <v>46</v>
      </c>
      <c r="G7" s="3" t="s">
        <v>49</v>
      </c>
      <c r="H7" s="3" t="s">
        <v>47</v>
      </c>
      <c r="I7" s="3">
        <v>2025</v>
      </c>
      <c r="J7" s="3" t="str">
        <f>CONCATENATE("54810900172")</f>
        <v>54810900172</v>
      </c>
      <c r="K7" s="3" t="s">
        <v>33</v>
      </c>
      <c r="L7" s="3"/>
      <c r="M7" s="3" t="s">
        <v>34</v>
      </c>
      <c r="N7" s="3" t="str">
        <f>CONCATENATE("MGNLCN47P60A366X")</f>
        <v>MGNLCN47P60A366X</v>
      </c>
      <c r="O7" s="3" t="s">
        <v>50</v>
      </c>
      <c r="P7" s="3" t="s">
        <v>36</v>
      </c>
      <c r="Q7" s="3" t="s">
        <v>37</v>
      </c>
      <c r="R7" s="4">
        <v>46080</v>
      </c>
      <c r="S7" s="3" t="s">
        <v>38</v>
      </c>
      <c r="T7" s="3" t="s">
        <v>39</v>
      </c>
      <c r="U7" s="3" t="s">
        <v>40</v>
      </c>
      <c r="V7" s="3">
        <v>163.12</v>
      </c>
      <c r="W7" s="3">
        <v>69.33</v>
      </c>
      <c r="X7" s="3">
        <v>65.66</v>
      </c>
      <c r="Y7" s="3">
        <v>28.13</v>
      </c>
    </row>
    <row r="8" spans="1:25" ht="24.75" x14ac:dyDescent="0.25">
      <c r="A8" s="3" t="s">
        <v>26</v>
      </c>
      <c r="B8" s="3" t="s">
        <v>27</v>
      </c>
      <c r="C8" s="3" t="s">
        <v>28</v>
      </c>
      <c r="D8" s="3" t="s">
        <v>44</v>
      </c>
      <c r="E8" s="3" t="s">
        <v>49</v>
      </c>
      <c r="F8" s="3" t="s">
        <v>46</v>
      </c>
      <c r="G8" s="3" t="s">
        <v>49</v>
      </c>
      <c r="H8" s="3" t="s">
        <v>47</v>
      </c>
      <c r="I8" s="3">
        <v>2024</v>
      </c>
      <c r="J8" s="3" t="str">
        <f>CONCATENATE("44810477917")</f>
        <v>44810477917</v>
      </c>
      <c r="K8" s="3" t="s">
        <v>33</v>
      </c>
      <c r="L8" s="3"/>
      <c r="M8" s="3" t="s">
        <v>34</v>
      </c>
      <c r="N8" s="3" t="str">
        <f>CONCATENATE("MGNLCN47P60A366X")</f>
        <v>MGNLCN47P60A366X</v>
      </c>
      <c r="O8" s="3" t="s">
        <v>50</v>
      </c>
      <c r="P8" s="3" t="s">
        <v>36</v>
      </c>
      <c r="Q8" s="3" t="s">
        <v>37</v>
      </c>
      <c r="R8" s="4">
        <v>46080</v>
      </c>
      <c r="S8" s="3" t="s">
        <v>38</v>
      </c>
      <c r="T8" s="3" t="s">
        <v>39</v>
      </c>
      <c r="U8" s="3" t="s">
        <v>40</v>
      </c>
      <c r="V8" s="3">
        <v>105.85</v>
      </c>
      <c r="W8" s="3">
        <v>44.99</v>
      </c>
      <c r="X8" s="3">
        <v>42.6</v>
      </c>
      <c r="Y8" s="3">
        <v>18.260000000000002</v>
      </c>
    </row>
    <row r="9" spans="1:25" x14ac:dyDescent="0.25">
      <c r="A9" s="3" t="s">
        <v>26</v>
      </c>
      <c r="B9" s="3" t="s">
        <v>27</v>
      </c>
      <c r="C9" s="3" t="s">
        <v>28</v>
      </c>
      <c r="D9" s="3" t="s">
        <v>29</v>
      </c>
      <c r="E9" s="3" t="s">
        <v>30</v>
      </c>
      <c r="F9" s="3" t="s">
        <v>31</v>
      </c>
      <c r="G9" s="3" t="s">
        <v>30</v>
      </c>
      <c r="H9" s="3" t="s">
        <v>32</v>
      </c>
      <c r="I9" s="3">
        <v>2024</v>
      </c>
      <c r="J9" s="3" t="str">
        <f>CONCATENATE("44811087624")</f>
        <v>44811087624</v>
      </c>
      <c r="K9" s="3" t="s">
        <v>33</v>
      </c>
      <c r="L9" s="3"/>
      <c r="M9" s="3" t="s">
        <v>34</v>
      </c>
      <c r="N9" s="3" t="str">
        <f>CONCATENATE("LRIGLN74E07L366T")</f>
        <v>LRIGLN74E07L366T</v>
      </c>
      <c r="O9" s="3" t="s">
        <v>51</v>
      </c>
      <c r="P9" s="3" t="s">
        <v>36</v>
      </c>
      <c r="Q9" s="3" t="s">
        <v>37</v>
      </c>
      <c r="R9" s="4">
        <v>46080</v>
      </c>
      <c r="S9" s="3" t="s">
        <v>38</v>
      </c>
      <c r="T9" s="3" t="s">
        <v>39</v>
      </c>
      <c r="U9" s="3" t="s">
        <v>40</v>
      </c>
      <c r="V9" s="3">
        <v>697.45</v>
      </c>
      <c r="W9" s="3">
        <v>296.42</v>
      </c>
      <c r="X9" s="3">
        <v>280.72000000000003</v>
      </c>
      <c r="Y9" s="3">
        <v>120.31</v>
      </c>
    </row>
    <row r="10" spans="1:25" ht="24.75" x14ac:dyDescent="0.25">
      <c r="A10" s="3" t="s">
        <v>26</v>
      </c>
      <c r="B10" s="3" t="s">
        <v>27</v>
      </c>
      <c r="C10" s="3" t="s">
        <v>28</v>
      </c>
      <c r="D10" s="3" t="s">
        <v>41</v>
      </c>
      <c r="E10" s="3" t="s">
        <v>52</v>
      </c>
      <c r="F10" s="3" t="s">
        <v>41</v>
      </c>
      <c r="G10" s="3" t="s">
        <v>52</v>
      </c>
      <c r="H10" s="3" t="s">
        <v>47</v>
      </c>
      <c r="I10" s="3">
        <v>2025</v>
      </c>
      <c r="J10" s="3" t="str">
        <f>CONCATENATE("54810499324")</f>
        <v>54810499324</v>
      </c>
      <c r="K10" s="3" t="s">
        <v>33</v>
      </c>
      <c r="L10" s="3"/>
      <c r="M10" s="3" t="s">
        <v>34</v>
      </c>
      <c r="N10" s="3" t="str">
        <f>CONCATENATE("MNCGRL80S30E388E")</f>
        <v>MNCGRL80S30E388E</v>
      </c>
      <c r="O10" s="3" t="s">
        <v>53</v>
      </c>
      <c r="P10" s="3" t="s">
        <v>36</v>
      </c>
      <c r="Q10" s="3" t="s">
        <v>37</v>
      </c>
      <c r="R10" s="4">
        <v>46080</v>
      </c>
      <c r="S10" s="3" t="s">
        <v>38</v>
      </c>
      <c r="T10" s="3" t="s">
        <v>39</v>
      </c>
      <c r="U10" s="3" t="s">
        <v>40</v>
      </c>
      <c r="V10" s="3">
        <v>771.32</v>
      </c>
      <c r="W10" s="3">
        <v>327.81</v>
      </c>
      <c r="X10" s="3">
        <v>310.45999999999998</v>
      </c>
      <c r="Y10" s="3">
        <v>133.05000000000001</v>
      </c>
    </row>
    <row r="11" spans="1:25" ht="24.75" x14ac:dyDescent="0.25">
      <c r="A11" s="3" t="s">
        <v>26</v>
      </c>
      <c r="B11" s="3" t="s">
        <v>27</v>
      </c>
      <c r="C11" s="3" t="s">
        <v>28</v>
      </c>
      <c r="D11" s="3" t="s">
        <v>41</v>
      </c>
      <c r="E11" s="3" t="s">
        <v>52</v>
      </c>
      <c r="F11" s="3" t="s">
        <v>41</v>
      </c>
      <c r="G11" s="3" t="s">
        <v>52</v>
      </c>
      <c r="H11" s="3" t="s">
        <v>47</v>
      </c>
      <c r="I11" s="3">
        <v>2024</v>
      </c>
      <c r="J11" s="3" t="str">
        <f>CONCATENATE("44810320596")</f>
        <v>44810320596</v>
      </c>
      <c r="K11" s="3" t="s">
        <v>33</v>
      </c>
      <c r="L11" s="3"/>
      <c r="M11" s="3" t="s">
        <v>34</v>
      </c>
      <c r="N11" s="3" t="str">
        <f>CONCATENATE("MNCGRL80S30E388E")</f>
        <v>MNCGRL80S30E388E</v>
      </c>
      <c r="O11" s="3" t="s">
        <v>53</v>
      </c>
      <c r="P11" s="3" t="s">
        <v>36</v>
      </c>
      <c r="Q11" s="3" t="s">
        <v>37</v>
      </c>
      <c r="R11" s="4">
        <v>46080</v>
      </c>
      <c r="S11" s="3" t="s">
        <v>38</v>
      </c>
      <c r="T11" s="3" t="s">
        <v>39</v>
      </c>
      <c r="U11" s="3" t="s">
        <v>40</v>
      </c>
      <c r="V11" s="3">
        <v>771.32</v>
      </c>
      <c r="W11" s="3">
        <v>327.81</v>
      </c>
      <c r="X11" s="3">
        <v>310.45999999999998</v>
      </c>
      <c r="Y11" s="3">
        <v>133.05000000000001</v>
      </c>
    </row>
    <row r="12" spans="1:25" ht="24.75" x14ac:dyDescent="0.25">
      <c r="A12" s="3" t="s">
        <v>26</v>
      </c>
      <c r="B12" s="3" t="s">
        <v>27</v>
      </c>
      <c r="C12" s="3" t="s">
        <v>28</v>
      </c>
      <c r="D12" s="3" t="s">
        <v>44</v>
      </c>
      <c r="E12" s="3" t="s">
        <v>54</v>
      </c>
      <c r="F12" s="3" t="s">
        <v>46</v>
      </c>
      <c r="G12" s="3" t="s">
        <v>54</v>
      </c>
      <c r="H12" s="3" t="s">
        <v>55</v>
      </c>
      <c r="I12" s="3">
        <v>2025</v>
      </c>
      <c r="J12" s="3" t="str">
        <f>CONCATENATE("54810282118")</f>
        <v>54810282118</v>
      </c>
      <c r="K12" s="3" t="s">
        <v>33</v>
      </c>
      <c r="L12" s="3"/>
      <c r="M12" s="3" t="s">
        <v>34</v>
      </c>
      <c r="N12" s="3" t="str">
        <f>CONCATENATE("MZZSFN89D15H769C")</f>
        <v>MZZSFN89D15H769C</v>
      </c>
      <c r="O12" s="3" t="s">
        <v>56</v>
      </c>
      <c r="P12" s="3" t="s">
        <v>36</v>
      </c>
      <c r="Q12" s="3" t="s">
        <v>37</v>
      </c>
      <c r="R12" s="4">
        <v>46080</v>
      </c>
      <c r="S12" s="3" t="s">
        <v>38</v>
      </c>
      <c r="T12" s="3" t="s">
        <v>39</v>
      </c>
      <c r="U12" s="3" t="s">
        <v>40</v>
      </c>
      <c r="V12" s="3">
        <v>851.02</v>
      </c>
      <c r="W12" s="3">
        <v>361.68</v>
      </c>
      <c r="X12" s="3">
        <v>342.54</v>
      </c>
      <c r="Y12" s="3">
        <v>146.80000000000001</v>
      </c>
    </row>
    <row r="13" spans="1:25" ht="24.75" x14ac:dyDescent="0.25">
      <c r="A13" s="3" t="s">
        <v>26</v>
      </c>
      <c r="B13" s="3" t="s">
        <v>27</v>
      </c>
      <c r="C13" s="3" t="s">
        <v>28</v>
      </c>
      <c r="D13" s="3" t="s">
        <v>57</v>
      </c>
      <c r="E13" s="3" t="s">
        <v>58</v>
      </c>
      <c r="F13" s="3" t="s">
        <v>59</v>
      </c>
      <c r="G13" s="3" t="s">
        <v>58</v>
      </c>
      <c r="H13" s="3" t="s">
        <v>55</v>
      </c>
      <c r="I13" s="3">
        <v>2024</v>
      </c>
      <c r="J13" s="3" t="str">
        <f>CONCATENATE("44810607034")</f>
        <v>44810607034</v>
      </c>
      <c r="K13" s="3" t="s">
        <v>33</v>
      </c>
      <c r="L13" s="3"/>
      <c r="M13" s="3" t="s">
        <v>34</v>
      </c>
      <c r="N13" s="3" t="str">
        <f>CONCATENATE("PSCGCM86S10A462E")</f>
        <v>PSCGCM86S10A462E</v>
      </c>
      <c r="O13" s="3" t="s">
        <v>60</v>
      </c>
      <c r="P13" s="3" t="s">
        <v>36</v>
      </c>
      <c r="Q13" s="3" t="s">
        <v>37</v>
      </c>
      <c r="R13" s="4">
        <v>46080</v>
      </c>
      <c r="S13" s="3" t="s">
        <v>38</v>
      </c>
      <c r="T13" s="3" t="s">
        <v>39</v>
      </c>
      <c r="U13" s="3" t="s">
        <v>40</v>
      </c>
      <c r="V13" s="3">
        <v>543.45000000000005</v>
      </c>
      <c r="W13" s="3">
        <v>230.97</v>
      </c>
      <c r="X13" s="3">
        <v>218.74</v>
      </c>
      <c r="Y13" s="3">
        <v>93.74</v>
      </c>
    </row>
    <row r="14" spans="1:25" ht="24.75" x14ac:dyDescent="0.25">
      <c r="A14" s="3" t="s">
        <v>26</v>
      </c>
      <c r="B14" s="3" t="s">
        <v>27</v>
      </c>
      <c r="C14" s="3" t="s">
        <v>28</v>
      </c>
      <c r="D14" s="3" t="s">
        <v>61</v>
      </c>
      <c r="E14" s="3" t="s">
        <v>62</v>
      </c>
      <c r="F14" s="3" t="s">
        <v>63</v>
      </c>
      <c r="G14" s="3" t="s">
        <v>62</v>
      </c>
      <c r="H14" s="3" t="s">
        <v>47</v>
      </c>
      <c r="I14" s="3">
        <v>2024</v>
      </c>
      <c r="J14" s="3" t="str">
        <f>CONCATENATE("44810712503")</f>
        <v>44810712503</v>
      </c>
      <c r="K14" s="3" t="s">
        <v>33</v>
      </c>
      <c r="L14" s="3"/>
      <c r="M14" s="3" t="s">
        <v>34</v>
      </c>
      <c r="N14" s="3" t="str">
        <f>CONCATENATE("PTRMRC80A21E388I")</f>
        <v>PTRMRC80A21E388I</v>
      </c>
      <c r="O14" s="3" t="s">
        <v>64</v>
      </c>
      <c r="P14" s="3" t="s">
        <v>36</v>
      </c>
      <c r="Q14" s="3" t="s">
        <v>37</v>
      </c>
      <c r="R14" s="4">
        <v>46080</v>
      </c>
      <c r="S14" s="3" t="s">
        <v>38</v>
      </c>
      <c r="T14" s="3" t="s">
        <v>39</v>
      </c>
      <c r="U14" s="3" t="s">
        <v>40</v>
      </c>
      <c r="V14" s="3">
        <v>651.28</v>
      </c>
      <c r="W14" s="3">
        <v>276.79000000000002</v>
      </c>
      <c r="X14" s="3">
        <v>262.14</v>
      </c>
      <c r="Y14" s="3">
        <v>112.35</v>
      </c>
    </row>
    <row r="15" spans="1:25" ht="24.75" x14ac:dyDescent="0.25">
      <c r="A15" s="3" t="s">
        <v>26</v>
      </c>
      <c r="B15" s="3" t="s">
        <v>27</v>
      </c>
      <c r="C15" s="3" t="s">
        <v>28</v>
      </c>
      <c r="D15" s="3" t="s">
        <v>61</v>
      </c>
      <c r="E15" s="3" t="s">
        <v>62</v>
      </c>
      <c r="F15" s="3" t="s">
        <v>63</v>
      </c>
      <c r="G15" s="3" t="s">
        <v>62</v>
      </c>
      <c r="H15" s="3" t="s">
        <v>47</v>
      </c>
      <c r="I15" s="3">
        <v>2025</v>
      </c>
      <c r="J15" s="3" t="str">
        <f>CONCATENATE("54810630217")</f>
        <v>54810630217</v>
      </c>
      <c r="K15" s="3" t="s">
        <v>33</v>
      </c>
      <c r="L15" s="3"/>
      <c r="M15" s="3" t="s">
        <v>34</v>
      </c>
      <c r="N15" s="3" t="str">
        <f>CONCATENATE("PTRMRC80A21E388I")</f>
        <v>PTRMRC80A21E388I</v>
      </c>
      <c r="O15" s="3" t="s">
        <v>64</v>
      </c>
      <c r="P15" s="3" t="s">
        <v>36</v>
      </c>
      <c r="Q15" s="3" t="s">
        <v>37</v>
      </c>
      <c r="R15" s="4">
        <v>46080</v>
      </c>
      <c r="S15" s="3" t="s">
        <v>38</v>
      </c>
      <c r="T15" s="3" t="s">
        <v>39</v>
      </c>
      <c r="U15" s="3" t="s">
        <v>40</v>
      </c>
      <c r="V15" s="3">
        <v>651.28</v>
      </c>
      <c r="W15" s="3">
        <v>276.79000000000002</v>
      </c>
      <c r="X15" s="3">
        <v>262.14</v>
      </c>
      <c r="Y15" s="3">
        <v>112.35</v>
      </c>
    </row>
    <row r="16" spans="1:25" ht="24.75" x14ac:dyDescent="0.25">
      <c r="A16" s="3" t="s">
        <v>26</v>
      </c>
      <c r="B16" s="3" t="s">
        <v>27</v>
      </c>
      <c r="C16" s="3" t="s">
        <v>28</v>
      </c>
      <c r="D16" s="3" t="s">
        <v>61</v>
      </c>
      <c r="E16" s="3" t="s">
        <v>65</v>
      </c>
      <c r="F16" s="3" t="s">
        <v>63</v>
      </c>
      <c r="G16" s="3" t="s">
        <v>65</v>
      </c>
      <c r="H16" s="3" t="s">
        <v>47</v>
      </c>
      <c r="I16" s="3">
        <v>2024</v>
      </c>
      <c r="J16" s="3" t="str">
        <f>CONCATENATE("44810346401")</f>
        <v>44810346401</v>
      </c>
      <c r="K16" s="3" t="s">
        <v>33</v>
      </c>
      <c r="L16" s="3"/>
      <c r="M16" s="3" t="s">
        <v>34</v>
      </c>
      <c r="N16" s="3" t="str">
        <f>CONCATENATE("PRLRMN73B44E388N")</f>
        <v>PRLRMN73B44E388N</v>
      </c>
      <c r="O16" s="3" t="s">
        <v>66</v>
      </c>
      <c r="P16" s="3" t="s">
        <v>36</v>
      </c>
      <c r="Q16" s="3" t="s">
        <v>37</v>
      </c>
      <c r="R16" s="4">
        <v>46080</v>
      </c>
      <c r="S16" s="3" t="s">
        <v>38</v>
      </c>
      <c r="T16" s="3" t="s">
        <v>39</v>
      </c>
      <c r="U16" s="3" t="s">
        <v>40</v>
      </c>
      <c r="V16" s="5">
        <v>4899.05</v>
      </c>
      <c r="W16" s="5">
        <v>2082.1</v>
      </c>
      <c r="X16" s="5">
        <v>1971.87</v>
      </c>
      <c r="Y16" s="3">
        <v>845.08</v>
      </c>
    </row>
    <row r="17" spans="1:25" ht="24.75" x14ac:dyDescent="0.25">
      <c r="A17" s="3" t="s">
        <v>26</v>
      </c>
      <c r="B17" s="3" t="s">
        <v>27</v>
      </c>
      <c r="C17" s="3" t="s">
        <v>28</v>
      </c>
      <c r="D17" s="3" t="s">
        <v>41</v>
      </c>
      <c r="E17" s="3" t="s">
        <v>52</v>
      </c>
      <c r="F17" s="3" t="s">
        <v>41</v>
      </c>
      <c r="G17" s="3" t="s">
        <v>52</v>
      </c>
      <c r="H17" s="3" t="s">
        <v>47</v>
      </c>
      <c r="I17" s="3">
        <v>2024</v>
      </c>
      <c r="J17" s="3" t="str">
        <f>CONCATENATE("44811002250")</f>
        <v>44811002250</v>
      </c>
      <c r="K17" s="3" t="s">
        <v>33</v>
      </c>
      <c r="L17" s="3"/>
      <c r="M17" s="3" t="s">
        <v>34</v>
      </c>
      <c r="N17" s="3" t="str">
        <f>CONCATENATE("02077760425")</f>
        <v>02077760425</v>
      </c>
      <c r="O17" s="3" t="s">
        <v>67</v>
      </c>
      <c r="P17" s="3" t="s">
        <v>36</v>
      </c>
      <c r="Q17" s="3" t="s">
        <v>37</v>
      </c>
      <c r="R17" s="4">
        <v>46080</v>
      </c>
      <c r="S17" s="3" t="s">
        <v>38</v>
      </c>
      <c r="T17" s="3" t="s">
        <v>39</v>
      </c>
      <c r="U17" s="3" t="s">
        <v>40</v>
      </c>
      <c r="V17" s="3">
        <v>152.44</v>
      </c>
      <c r="W17" s="3">
        <v>64.790000000000006</v>
      </c>
      <c r="X17" s="3">
        <v>61.36</v>
      </c>
      <c r="Y17" s="3">
        <v>26.29</v>
      </c>
    </row>
    <row r="18" spans="1:25" ht="24.75" x14ac:dyDescent="0.25">
      <c r="A18" s="3" t="s">
        <v>26</v>
      </c>
      <c r="B18" s="3" t="s">
        <v>27</v>
      </c>
      <c r="C18" s="3" t="s">
        <v>28</v>
      </c>
      <c r="D18" s="3" t="s">
        <v>44</v>
      </c>
      <c r="E18" s="3" t="s">
        <v>45</v>
      </c>
      <c r="F18" s="3" t="s">
        <v>46</v>
      </c>
      <c r="G18" s="3" t="s">
        <v>45</v>
      </c>
      <c r="H18" s="3" t="s">
        <v>47</v>
      </c>
      <c r="I18" s="3">
        <v>2025</v>
      </c>
      <c r="J18" s="3" t="str">
        <f>CONCATENATE("54810097631")</f>
        <v>54810097631</v>
      </c>
      <c r="K18" s="3" t="s">
        <v>33</v>
      </c>
      <c r="L18" s="3"/>
      <c r="M18" s="3" t="s">
        <v>34</v>
      </c>
      <c r="N18" s="3" t="str">
        <f>CONCATENATE("PLMMRA74H23F205S")</f>
        <v>PLMMRA74H23F205S</v>
      </c>
      <c r="O18" s="3" t="s">
        <v>68</v>
      </c>
      <c r="P18" s="3" t="s">
        <v>36</v>
      </c>
      <c r="Q18" s="3" t="s">
        <v>37</v>
      </c>
      <c r="R18" s="4">
        <v>46080</v>
      </c>
      <c r="S18" s="3" t="s">
        <v>38</v>
      </c>
      <c r="T18" s="3" t="s">
        <v>39</v>
      </c>
      <c r="U18" s="3" t="s">
        <v>40</v>
      </c>
      <c r="V18" s="3">
        <v>231.88</v>
      </c>
      <c r="W18" s="3">
        <v>98.55</v>
      </c>
      <c r="X18" s="3">
        <v>93.33</v>
      </c>
      <c r="Y18" s="3">
        <v>40</v>
      </c>
    </row>
    <row r="19" spans="1:25" ht="24.75" x14ac:dyDescent="0.25">
      <c r="A19" s="3" t="s">
        <v>26</v>
      </c>
      <c r="B19" s="3" t="s">
        <v>27</v>
      </c>
      <c r="C19" s="3" t="s">
        <v>28</v>
      </c>
      <c r="D19" s="3" t="s">
        <v>44</v>
      </c>
      <c r="E19" s="3" t="s">
        <v>45</v>
      </c>
      <c r="F19" s="3" t="s">
        <v>46</v>
      </c>
      <c r="G19" s="3" t="s">
        <v>45</v>
      </c>
      <c r="H19" s="3" t="s">
        <v>47</v>
      </c>
      <c r="I19" s="3">
        <v>2024</v>
      </c>
      <c r="J19" s="3" t="str">
        <f>CONCATENATE("44810021046")</f>
        <v>44810021046</v>
      </c>
      <c r="K19" s="3" t="s">
        <v>33</v>
      </c>
      <c r="L19" s="3"/>
      <c r="M19" s="3" t="s">
        <v>34</v>
      </c>
      <c r="N19" s="3" t="str">
        <f>CONCATENATE("PLMMRA74H23F205S")</f>
        <v>PLMMRA74H23F205S</v>
      </c>
      <c r="O19" s="3" t="s">
        <v>68</v>
      </c>
      <c r="P19" s="3" t="s">
        <v>36</v>
      </c>
      <c r="Q19" s="3" t="s">
        <v>37</v>
      </c>
      <c r="R19" s="4">
        <v>46080</v>
      </c>
      <c r="S19" s="3" t="s">
        <v>38</v>
      </c>
      <c r="T19" s="3" t="s">
        <v>39</v>
      </c>
      <c r="U19" s="3" t="s">
        <v>40</v>
      </c>
      <c r="V19" s="3">
        <v>144.93</v>
      </c>
      <c r="W19" s="3">
        <v>61.6</v>
      </c>
      <c r="X19" s="3">
        <v>58.33</v>
      </c>
      <c r="Y19" s="3">
        <v>25</v>
      </c>
    </row>
    <row r="20" spans="1:25" ht="24.75" x14ac:dyDescent="0.25">
      <c r="A20" s="3" t="s">
        <v>26</v>
      </c>
      <c r="B20" s="3" t="s">
        <v>27</v>
      </c>
      <c r="C20" s="3" t="s">
        <v>28</v>
      </c>
      <c r="D20" s="3" t="s">
        <v>44</v>
      </c>
      <c r="E20" s="3" t="s">
        <v>69</v>
      </c>
      <c r="F20" s="3" t="s">
        <v>46</v>
      </c>
      <c r="G20" s="3" t="s">
        <v>69</v>
      </c>
      <c r="H20" s="3" t="s">
        <v>47</v>
      </c>
      <c r="I20" s="3">
        <v>2024</v>
      </c>
      <c r="J20" s="3" t="str">
        <f>CONCATENATE("44810459394")</f>
        <v>44810459394</v>
      </c>
      <c r="K20" s="3" t="s">
        <v>33</v>
      </c>
      <c r="L20" s="3"/>
      <c r="M20" s="3" t="s">
        <v>34</v>
      </c>
      <c r="N20" s="3" t="str">
        <f>CONCATENATE("SBBLCU79L21E388P")</f>
        <v>SBBLCU79L21E388P</v>
      </c>
      <c r="O20" s="3" t="s">
        <v>70</v>
      </c>
      <c r="P20" s="3" t="s">
        <v>36</v>
      </c>
      <c r="Q20" s="3" t="s">
        <v>37</v>
      </c>
      <c r="R20" s="4">
        <v>46080</v>
      </c>
      <c r="S20" s="3" t="s">
        <v>38</v>
      </c>
      <c r="T20" s="3" t="s">
        <v>39</v>
      </c>
      <c r="U20" s="3" t="s">
        <v>40</v>
      </c>
      <c r="V20" s="5">
        <v>7478.29</v>
      </c>
      <c r="W20" s="5">
        <v>3178.27</v>
      </c>
      <c r="X20" s="5">
        <v>3010.01</v>
      </c>
      <c r="Y20" s="5">
        <v>1290.01</v>
      </c>
    </row>
    <row r="21" spans="1:25" ht="24.75" x14ac:dyDescent="0.25">
      <c r="A21" s="3" t="s">
        <v>26</v>
      </c>
      <c r="B21" s="3" t="s">
        <v>27</v>
      </c>
      <c r="C21" s="3" t="s">
        <v>28</v>
      </c>
      <c r="D21" s="3" t="s">
        <v>44</v>
      </c>
      <c r="E21" s="3" t="s">
        <v>71</v>
      </c>
      <c r="F21" s="3" t="s">
        <v>46</v>
      </c>
      <c r="G21" s="3" t="s">
        <v>71</v>
      </c>
      <c r="H21" s="3" t="s">
        <v>55</v>
      </c>
      <c r="I21" s="3">
        <v>2024</v>
      </c>
      <c r="J21" s="3" t="str">
        <f>CONCATENATE("44811517992")</f>
        <v>44811517992</v>
      </c>
      <c r="K21" s="3" t="s">
        <v>33</v>
      </c>
      <c r="L21" s="3"/>
      <c r="M21" s="3" t="s">
        <v>34</v>
      </c>
      <c r="N21" s="3" t="str">
        <f>CONCATENATE("02367360449")</f>
        <v>02367360449</v>
      </c>
      <c r="O21" s="3" t="s">
        <v>72</v>
      </c>
      <c r="P21" s="3" t="s">
        <v>36</v>
      </c>
      <c r="Q21" s="3" t="s">
        <v>37</v>
      </c>
      <c r="R21" s="4">
        <v>46080</v>
      </c>
      <c r="S21" s="3" t="s">
        <v>38</v>
      </c>
      <c r="T21" s="3" t="s">
        <v>39</v>
      </c>
      <c r="U21" s="3" t="s">
        <v>40</v>
      </c>
      <c r="V21" s="3">
        <v>630.83000000000004</v>
      </c>
      <c r="W21" s="3">
        <v>268.10000000000002</v>
      </c>
      <c r="X21" s="3">
        <v>253.91</v>
      </c>
      <c r="Y21" s="3">
        <v>108.82</v>
      </c>
    </row>
    <row r="22" spans="1:25" ht="24.75" x14ac:dyDescent="0.25">
      <c r="A22" s="3" t="s">
        <v>26</v>
      </c>
      <c r="B22" s="3" t="s">
        <v>27</v>
      </c>
      <c r="C22" s="3" t="s">
        <v>28</v>
      </c>
      <c r="D22" s="3" t="s">
        <v>44</v>
      </c>
      <c r="E22" s="3" t="s">
        <v>45</v>
      </c>
      <c r="F22" s="3" t="s">
        <v>46</v>
      </c>
      <c r="G22" s="3" t="s">
        <v>45</v>
      </c>
      <c r="H22" s="3" t="s">
        <v>47</v>
      </c>
      <c r="I22" s="3">
        <v>2024</v>
      </c>
      <c r="J22" s="3" t="str">
        <f>CONCATENATE("44810508836")</f>
        <v>44810508836</v>
      </c>
      <c r="K22" s="3" t="s">
        <v>33</v>
      </c>
      <c r="L22" s="3"/>
      <c r="M22" s="3" t="s">
        <v>34</v>
      </c>
      <c r="N22" s="3" t="str">
        <f>CONCATENATE("02705020424")</f>
        <v>02705020424</v>
      </c>
      <c r="O22" s="3" t="s">
        <v>73</v>
      </c>
      <c r="P22" s="3" t="s">
        <v>36</v>
      </c>
      <c r="Q22" s="3" t="s">
        <v>37</v>
      </c>
      <c r="R22" s="4">
        <v>46080</v>
      </c>
      <c r="S22" s="3" t="s">
        <v>38</v>
      </c>
      <c r="T22" s="3" t="s">
        <v>39</v>
      </c>
      <c r="U22" s="3" t="s">
        <v>40</v>
      </c>
      <c r="V22" s="3">
        <v>460.15</v>
      </c>
      <c r="W22" s="3">
        <v>195.56</v>
      </c>
      <c r="X22" s="3">
        <v>185.21</v>
      </c>
      <c r="Y22" s="3">
        <v>79.38</v>
      </c>
    </row>
    <row r="23" spans="1:25" ht="24.75" x14ac:dyDescent="0.25">
      <c r="A23" s="3" t="s">
        <v>26</v>
      </c>
      <c r="B23" s="3" t="s">
        <v>27</v>
      </c>
      <c r="C23" s="3" t="s">
        <v>28</v>
      </c>
      <c r="D23" s="3" t="s">
        <v>41</v>
      </c>
      <c r="E23" s="3" t="s">
        <v>52</v>
      </c>
      <c r="F23" s="3" t="s">
        <v>41</v>
      </c>
      <c r="G23" s="3" t="s">
        <v>52</v>
      </c>
      <c r="H23" s="3" t="s">
        <v>47</v>
      </c>
      <c r="I23" s="3">
        <v>2024</v>
      </c>
      <c r="J23" s="3" t="str">
        <f>CONCATENATE("44810014082")</f>
        <v>44810014082</v>
      </c>
      <c r="K23" s="3" t="s">
        <v>33</v>
      </c>
      <c r="L23" s="3"/>
      <c r="M23" s="3" t="s">
        <v>34</v>
      </c>
      <c r="N23" s="3" t="str">
        <f>CONCATENATE("02701950426")</f>
        <v>02701950426</v>
      </c>
      <c r="O23" s="3" t="s">
        <v>74</v>
      </c>
      <c r="P23" s="3" t="s">
        <v>36</v>
      </c>
      <c r="Q23" s="3" t="s">
        <v>37</v>
      </c>
      <c r="R23" s="4">
        <v>46080</v>
      </c>
      <c r="S23" s="3" t="s">
        <v>38</v>
      </c>
      <c r="T23" s="3" t="s">
        <v>39</v>
      </c>
      <c r="U23" s="3" t="s">
        <v>40</v>
      </c>
      <c r="V23" s="3">
        <v>148.08000000000001</v>
      </c>
      <c r="W23" s="3">
        <v>62.93</v>
      </c>
      <c r="X23" s="3">
        <v>59.6</v>
      </c>
      <c r="Y23" s="3">
        <v>25.55</v>
      </c>
    </row>
    <row r="24" spans="1:25" ht="24.75" x14ac:dyDescent="0.25">
      <c r="A24" s="3" t="s">
        <v>26</v>
      </c>
      <c r="B24" s="3" t="s">
        <v>27</v>
      </c>
      <c r="C24" s="3" t="s">
        <v>28</v>
      </c>
      <c r="D24" s="3" t="s">
        <v>75</v>
      </c>
      <c r="E24" s="3" t="s">
        <v>76</v>
      </c>
      <c r="F24" s="3" t="s">
        <v>77</v>
      </c>
      <c r="G24" s="3" t="s">
        <v>76</v>
      </c>
      <c r="H24" s="3" t="s">
        <v>78</v>
      </c>
      <c r="I24" s="3">
        <v>2025</v>
      </c>
      <c r="J24" s="3" t="str">
        <f>CONCATENATE("54811120994")</f>
        <v>54811120994</v>
      </c>
      <c r="K24" s="3" t="s">
        <v>33</v>
      </c>
      <c r="L24" s="3"/>
      <c r="M24" s="3" t="s">
        <v>34</v>
      </c>
      <c r="N24" s="3" t="str">
        <f>CONCATENATE("02632660417")</f>
        <v>02632660417</v>
      </c>
      <c r="O24" s="3" t="s">
        <v>79</v>
      </c>
      <c r="P24" s="3" t="s">
        <v>36</v>
      </c>
      <c r="Q24" s="3" t="s">
        <v>37</v>
      </c>
      <c r="R24" s="4">
        <v>46080</v>
      </c>
      <c r="S24" s="3" t="s">
        <v>38</v>
      </c>
      <c r="T24" s="3" t="s">
        <v>39</v>
      </c>
      <c r="U24" s="3" t="s">
        <v>40</v>
      </c>
      <c r="V24" s="3">
        <v>274.33</v>
      </c>
      <c r="W24" s="3">
        <v>116.59</v>
      </c>
      <c r="X24" s="3">
        <v>110.42</v>
      </c>
      <c r="Y24" s="3">
        <v>47.32</v>
      </c>
    </row>
    <row r="25" spans="1:25" ht="24.75" x14ac:dyDescent="0.25">
      <c r="A25" s="3" t="s">
        <v>26</v>
      </c>
      <c r="B25" s="3" t="s">
        <v>27</v>
      </c>
      <c r="C25" s="3" t="s">
        <v>28</v>
      </c>
      <c r="D25" s="3" t="s">
        <v>75</v>
      </c>
      <c r="E25" s="3" t="s">
        <v>76</v>
      </c>
      <c r="F25" s="3" t="s">
        <v>77</v>
      </c>
      <c r="G25" s="3" t="s">
        <v>76</v>
      </c>
      <c r="H25" s="3" t="s">
        <v>78</v>
      </c>
      <c r="I25" s="3">
        <v>2024</v>
      </c>
      <c r="J25" s="3" t="str">
        <f>CONCATENATE("44810902708")</f>
        <v>44810902708</v>
      </c>
      <c r="K25" s="3" t="s">
        <v>33</v>
      </c>
      <c r="L25" s="3"/>
      <c r="M25" s="3" t="s">
        <v>34</v>
      </c>
      <c r="N25" s="3" t="str">
        <f>CONCATENATE("02632660417")</f>
        <v>02632660417</v>
      </c>
      <c r="O25" s="3" t="s">
        <v>79</v>
      </c>
      <c r="P25" s="3" t="s">
        <v>36</v>
      </c>
      <c r="Q25" s="3" t="s">
        <v>37</v>
      </c>
      <c r="R25" s="4">
        <v>46080</v>
      </c>
      <c r="S25" s="3" t="s">
        <v>38</v>
      </c>
      <c r="T25" s="3" t="s">
        <v>39</v>
      </c>
      <c r="U25" s="3" t="s">
        <v>40</v>
      </c>
      <c r="V25" s="5">
        <v>1149.77</v>
      </c>
      <c r="W25" s="3">
        <v>488.65</v>
      </c>
      <c r="X25" s="3">
        <v>462.78</v>
      </c>
      <c r="Y25" s="3">
        <v>198.34</v>
      </c>
    </row>
    <row r="26" spans="1:25" ht="24.75" x14ac:dyDescent="0.25">
      <c r="A26" s="3" t="s">
        <v>26</v>
      </c>
      <c r="B26" s="3" t="s">
        <v>27</v>
      </c>
      <c r="C26" s="3" t="s">
        <v>28</v>
      </c>
      <c r="D26" s="3" t="s">
        <v>44</v>
      </c>
      <c r="E26" s="3" t="s">
        <v>45</v>
      </c>
      <c r="F26" s="3" t="s">
        <v>46</v>
      </c>
      <c r="G26" s="3" t="s">
        <v>45</v>
      </c>
      <c r="H26" s="3" t="s">
        <v>47</v>
      </c>
      <c r="I26" s="3">
        <v>2024</v>
      </c>
      <c r="J26" s="3" t="str">
        <f>CONCATENATE("44810714020")</f>
        <v>44810714020</v>
      </c>
      <c r="K26" s="3" t="s">
        <v>33</v>
      </c>
      <c r="L26" s="3"/>
      <c r="M26" s="3" t="s">
        <v>34</v>
      </c>
      <c r="N26" s="3" t="str">
        <f>CONCATENATE("01079040422")</f>
        <v>01079040422</v>
      </c>
      <c r="O26" s="3" t="s">
        <v>80</v>
      </c>
      <c r="P26" s="3" t="s">
        <v>36</v>
      </c>
      <c r="Q26" s="3" t="s">
        <v>37</v>
      </c>
      <c r="R26" s="4">
        <v>46080</v>
      </c>
      <c r="S26" s="3" t="s">
        <v>38</v>
      </c>
      <c r="T26" s="3" t="s">
        <v>39</v>
      </c>
      <c r="U26" s="3" t="s">
        <v>40</v>
      </c>
      <c r="V26" s="3">
        <v>163.95</v>
      </c>
      <c r="W26" s="3">
        <v>69.680000000000007</v>
      </c>
      <c r="X26" s="3">
        <v>65.989999999999995</v>
      </c>
      <c r="Y26" s="3">
        <v>28.28</v>
      </c>
    </row>
    <row r="27" spans="1:25" ht="24.75" x14ac:dyDescent="0.25">
      <c r="A27" s="3" t="s">
        <v>26</v>
      </c>
      <c r="B27" s="3" t="s">
        <v>27</v>
      </c>
      <c r="C27" s="3" t="s">
        <v>28</v>
      </c>
      <c r="D27" s="3" t="s">
        <v>61</v>
      </c>
      <c r="E27" s="3" t="s">
        <v>65</v>
      </c>
      <c r="F27" s="3" t="s">
        <v>63</v>
      </c>
      <c r="G27" s="3" t="s">
        <v>65</v>
      </c>
      <c r="H27" s="3" t="s">
        <v>47</v>
      </c>
      <c r="I27" s="3">
        <v>2024</v>
      </c>
      <c r="J27" s="3" t="str">
        <f>CONCATENATE("44810419018")</f>
        <v>44810419018</v>
      </c>
      <c r="K27" s="3" t="s">
        <v>33</v>
      </c>
      <c r="L27" s="3"/>
      <c r="M27" s="3" t="s">
        <v>34</v>
      </c>
      <c r="N27" s="3" t="str">
        <f>CONCATENATE("02018110425")</f>
        <v>02018110425</v>
      </c>
      <c r="O27" s="3" t="s">
        <v>81</v>
      </c>
      <c r="P27" s="3" t="s">
        <v>36</v>
      </c>
      <c r="Q27" s="3" t="s">
        <v>37</v>
      </c>
      <c r="R27" s="4">
        <v>46080</v>
      </c>
      <c r="S27" s="3" t="s">
        <v>38</v>
      </c>
      <c r="T27" s="3" t="s">
        <v>39</v>
      </c>
      <c r="U27" s="3" t="s">
        <v>40</v>
      </c>
      <c r="V27" s="3">
        <v>371.38</v>
      </c>
      <c r="W27" s="3">
        <v>157.84</v>
      </c>
      <c r="X27" s="3">
        <v>149.47999999999999</v>
      </c>
      <c r="Y27" s="3">
        <v>64.06</v>
      </c>
    </row>
    <row r="28" spans="1:25" ht="24.75" x14ac:dyDescent="0.25">
      <c r="A28" s="3" t="s">
        <v>26</v>
      </c>
      <c r="B28" s="3" t="s">
        <v>27</v>
      </c>
      <c r="C28" s="3" t="s">
        <v>28</v>
      </c>
      <c r="D28" s="3" t="s">
        <v>61</v>
      </c>
      <c r="E28" s="3" t="s">
        <v>65</v>
      </c>
      <c r="F28" s="3" t="s">
        <v>63</v>
      </c>
      <c r="G28" s="3" t="s">
        <v>65</v>
      </c>
      <c r="H28" s="3" t="s">
        <v>47</v>
      </c>
      <c r="I28" s="3">
        <v>2024</v>
      </c>
      <c r="J28" s="3" t="str">
        <f>CONCATENATE("44810593234")</f>
        <v>44810593234</v>
      </c>
      <c r="K28" s="3" t="s">
        <v>33</v>
      </c>
      <c r="L28" s="3"/>
      <c r="M28" s="3" t="s">
        <v>34</v>
      </c>
      <c r="N28" s="3" t="str">
        <f>CONCATENATE("ZCCRLL63A48E388M")</f>
        <v>ZCCRLL63A48E388M</v>
      </c>
      <c r="O28" s="3" t="s">
        <v>82</v>
      </c>
      <c r="P28" s="3" t="s">
        <v>36</v>
      </c>
      <c r="Q28" s="3" t="s">
        <v>37</v>
      </c>
      <c r="R28" s="4">
        <v>46080</v>
      </c>
      <c r="S28" s="3" t="s">
        <v>38</v>
      </c>
      <c r="T28" s="3" t="s">
        <v>39</v>
      </c>
      <c r="U28" s="3" t="s">
        <v>40</v>
      </c>
      <c r="V28" s="5">
        <v>1987.81</v>
      </c>
      <c r="W28" s="3">
        <v>844.82</v>
      </c>
      <c r="X28" s="3">
        <v>800.09</v>
      </c>
      <c r="Y28" s="3">
        <v>342.9</v>
      </c>
    </row>
    <row r="29" spans="1:25" x14ac:dyDescent="0.25">
      <c r="A29" s="3" t="s">
        <v>26</v>
      </c>
      <c r="B29" s="3" t="s">
        <v>27</v>
      </c>
      <c r="C29" s="3" t="s">
        <v>28</v>
      </c>
      <c r="D29" s="3" t="s">
        <v>29</v>
      </c>
      <c r="E29" s="3" t="s">
        <v>30</v>
      </c>
      <c r="F29" s="3" t="s">
        <v>31</v>
      </c>
      <c r="G29" s="3" t="s">
        <v>30</v>
      </c>
      <c r="H29" s="3" t="s">
        <v>32</v>
      </c>
      <c r="I29" s="3">
        <v>2025</v>
      </c>
      <c r="J29" s="3" t="str">
        <f>CONCATENATE("54810152154")</f>
        <v>54810152154</v>
      </c>
      <c r="K29" s="3" t="s">
        <v>33</v>
      </c>
      <c r="L29" s="3"/>
      <c r="M29" s="3" t="s">
        <v>83</v>
      </c>
      <c r="N29" s="3" t="str">
        <f>CONCATENATE("BRTPLG85P17G674I")</f>
        <v>BRTPLG85P17G674I</v>
      </c>
      <c r="O29" s="3" t="s">
        <v>84</v>
      </c>
      <c r="P29" s="3" t="s">
        <v>36</v>
      </c>
      <c r="Q29" s="3" t="s">
        <v>85</v>
      </c>
      <c r="R29" s="4">
        <v>46080</v>
      </c>
      <c r="S29" s="3" t="s">
        <v>38</v>
      </c>
      <c r="T29" s="3" t="s">
        <v>39</v>
      </c>
      <c r="U29" s="3" t="s">
        <v>40</v>
      </c>
      <c r="V29" s="5">
        <v>1000</v>
      </c>
      <c r="W29" s="3">
        <v>425</v>
      </c>
      <c r="X29" s="3">
        <v>402.5</v>
      </c>
      <c r="Y29" s="3">
        <v>172.5</v>
      </c>
    </row>
    <row r="30" spans="1:25" ht="24.75" x14ac:dyDescent="0.25">
      <c r="A30" s="3" t="s">
        <v>26</v>
      </c>
      <c r="B30" s="3" t="s">
        <v>27</v>
      </c>
      <c r="C30" s="3" t="s">
        <v>28</v>
      </c>
      <c r="D30" s="3" t="s">
        <v>61</v>
      </c>
      <c r="E30" s="3" t="s">
        <v>86</v>
      </c>
      <c r="F30" s="3" t="s">
        <v>63</v>
      </c>
      <c r="G30" s="3" t="s">
        <v>86</v>
      </c>
      <c r="H30" s="3" t="s">
        <v>78</v>
      </c>
      <c r="I30" s="3">
        <v>2025</v>
      </c>
      <c r="J30" s="3" t="str">
        <f>CONCATENATE("54810644481")</f>
        <v>54810644481</v>
      </c>
      <c r="K30" s="3" t="s">
        <v>33</v>
      </c>
      <c r="L30" s="3"/>
      <c r="M30" s="3" t="s">
        <v>83</v>
      </c>
      <c r="N30" s="3" t="str">
        <f>CONCATENATE("FRNFNC81A20D749Q")</f>
        <v>FRNFNC81A20D749Q</v>
      </c>
      <c r="O30" s="3" t="s">
        <v>87</v>
      </c>
      <c r="P30" s="3" t="s">
        <v>36</v>
      </c>
      <c r="Q30" s="3" t="s">
        <v>85</v>
      </c>
      <c r="R30" s="4">
        <v>46080</v>
      </c>
      <c r="S30" s="3" t="s">
        <v>38</v>
      </c>
      <c r="T30" s="3" t="s">
        <v>39</v>
      </c>
      <c r="U30" s="3" t="s">
        <v>40</v>
      </c>
      <c r="V30" s="3">
        <v>400</v>
      </c>
      <c r="W30" s="3">
        <v>170</v>
      </c>
      <c r="X30" s="3">
        <v>161</v>
      </c>
      <c r="Y30" s="3">
        <v>69</v>
      </c>
    </row>
    <row r="31" spans="1:25" ht="24.75" x14ac:dyDescent="0.25">
      <c r="A31" s="3" t="s">
        <v>26</v>
      </c>
      <c r="B31" s="3" t="s">
        <v>27</v>
      </c>
      <c r="C31" s="3" t="s">
        <v>28</v>
      </c>
      <c r="D31" s="3" t="s">
        <v>44</v>
      </c>
      <c r="E31" s="3" t="s">
        <v>88</v>
      </c>
      <c r="F31" s="3" t="s">
        <v>46</v>
      </c>
      <c r="G31" s="3" t="s">
        <v>88</v>
      </c>
      <c r="H31" s="3" t="s">
        <v>78</v>
      </c>
      <c r="I31" s="3">
        <v>2025</v>
      </c>
      <c r="J31" s="3" t="str">
        <f>CONCATENATE("54810866811")</f>
        <v>54810866811</v>
      </c>
      <c r="K31" s="3" t="s">
        <v>33</v>
      </c>
      <c r="L31" s="3"/>
      <c r="M31" s="3" t="s">
        <v>83</v>
      </c>
      <c r="N31" s="3" t="str">
        <f>CONCATENATE("GRRDGI81T16B352E")</f>
        <v>GRRDGI81T16B352E</v>
      </c>
      <c r="O31" s="3" t="s">
        <v>89</v>
      </c>
      <c r="P31" s="3" t="s">
        <v>36</v>
      </c>
      <c r="Q31" s="3" t="s">
        <v>85</v>
      </c>
      <c r="R31" s="4">
        <v>46080</v>
      </c>
      <c r="S31" s="3" t="s">
        <v>38</v>
      </c>
      <c r="T31" s="3" t="s">
        <v>39</v>
      </c>
      <c r="U31" s="3" t="s">
        <v>40</v>
      </c>
      <c r="V31" s="3">
        <v>400</v>
      </c>
      <c r="W31" s="3">
        <v>170</v>
      </c>
      <c r="X31" s="3">
        <v>161</v>
      </c>
      <c r="Y31" s="3">
        <v>69</v>
      </c>
    </row>
    <row r="32" spans="1:25" ht="24.75" x14ac:dyDescent="0.25">
      <c r="A32" s="3" t="s">
        <v>26</v>
      </c>
      <c r="B32" s="3" t="s">
        <v>27</v>
      </c>
      <c r="C32" s="3" t="s">
        <v>28</v>
      </c>
      <c r="D32" s="3" t="s">
        <v>44</v>
      </c>
      <c r="E32" s="3" t="s">
        <v>90</v>
      </c>
      <c r="F32" s="3" t="s">
        <v>46</v>
      </c>
      <c r="G32" s="3" t="s">
        <v>90</v>
      </c>
      <c r="H32" s="3" t="s">
        <v>78</v>
      </c>
      <c r="I32" s="3">
        <v>2025</v>
      </c>
      <c r="J32" s="3" t="str">
        <f>CONCATENATE("54810761558")</f>
        <v>54810761558</v>
      </c>
      <c r="K32" s="3" t="s">
        <v>33</v>
      </c>
      <c r="L32" s="3"/>
      <c r="M32" s="3" t="s">
        <v>83</v>
      </c>
      <c r="N32" s="3" t="str">
        <f>CONCATENATE("MRTLSE82C71D488S")</f>
        <v>MRTLSE82C71D488S</v>
      </c>
      <c r="O32" s="3" t="s">
        <v>91</v>
      </c>
      <c r="P32" s="3" t="s">
        <v>36</v>
      </c>
      <c r="Q32" s="3" t="s">
        <v>85</v>
      </c>
      <c r="R32" s="4">
        <v>46080</v>
      </c>
      <c r="S32" s="3" t="s">
        <v>38</v>
      </c>
      <c r="T32" s="3" t="s">
        <v>39</v>
      </c>
      <c r="U32" s="3" t="s">
        <v>40</v>
      </c>
      <c r="V32" s="3">
        <v>800</v>
      </c>
      <c r="W32" s="3">
        <v>340</v>
      </c>
      <c r="X32" s="3">
        <v>322</v>
      </c>
      <c r="Y32" s="3">
        <v>138</v>
      </c>
    </row>
    <row r="33" spans="1:25" ht="60.75" x14ac:dyDescent="0.25">
      <c r="A33" s="3" t="s">
        <v>26</v>
      </c>
      <c r="B33" s="3" t="s">
        <v>27</v>
      </c>
      <c r="C33" s="3" t="s">
        <v>28</v>
      </c>
      <c r="D33" s="3" t="s">
        <v>75</v>
      </c>
      <c r="E33" s="3" t="s">
        <v>92</v>
      </c>
      <c r="F33" s="3" t="s">
        <v>77</v>
      </c>
      <c r="G33" s="3" t="s">
        <v>92</v>
      </c>
      <c r="H33" s="3" t="s">
        <v>32</v>
      </c>
      <c r="I33" s="3">
        <v>2025</v>
      </c>
      <c r="J33" s="3" t="str">
        <f>CONCATENATE("54810263381")</f>
        <v>54810263381</v>
      </c>
      <c r="K33" s="3" t="s">
        <v>33</v>
      </c>
      <c r="L33" s="3"/>
      <c r="M33" s="3" t="s">
        <v>83</v>
      </c>
      <c r="N33" s="3" t="str">
        <f>CONCATENATE("MRZRLO74H67L191S")</f>
        <v>MRZRLO74H67L191S</v>
      </c>
      <c r="O33" s="3" t="s">
        <v>93</v>
      </c>
      <c r="P33" s="3" t="s">
        <v>36</v>
      </c>
      <c r="Q33" s="3" t="s">
        <v>85</v>
      </c>
      <c r="R33" s="4">
        <v>46080</v>
      </c>
      <c r="S33" s="3" t="s">
        <v>38</v>
      </c>
      <c r="T33" s="3" t="s">
        <v>39</v>
      </c>
      <c r="U33" s="3" t="s">
        <v>40</v>
      </c>
      <c r="V33" s="5">
        <v>2000</v>
      </c>
      <c r="W33" s="3">
        <v>850</v>
      </c>
      <c r="X33" s="3">
        <v>805</v>
      </c>
      <c r="Y33" s="3">
        <v>345</v>
      </c>
    </row>
    <row r="34" spans="1:25" ht="36.75" x14ac:dyDescent="0.25">
      <c r="A34" s="3" t="s">
        <v>26</v>
      </c>
      <c r="B34" s="3" t="s">
        <v>27</v>
      </c>
      <c r="C34" s="3" t="s">
        <v>28</v>
      </c>
      <c r="D34" s="3" t="s">
        <v>29</v>
      </c>
      <c r="E34" s="3" t="s">
        <v>94</v>
      </c>
      <c r="F34" s="3" t="s">
        <v>31</v>
      </c>
      <c r="G34" s="3" t="s">
        <v>94</v>
      </c>
      <c r="H34" s="3" t="s">
        <v>78</v>
      </c>
      <c r="I34" s="3">
        <v>2025</v>
      </c>
      <c r="J34" s="3" t="str">
        <f>CONCATENATE("54810868767")</f>
        <v>54810868767</v>
      </c>
      <c r="K34" s="3" t="s">
        <v>33</v>
      </c>
      <c r="L34" s="3"/>
      <c r="M34" s="3" t="s">
        <v>83</v>
      </c>
      <c r="N34" s="3" t="str">
        <f>CONCATENATE("02638550414")</f>
        <v>02638550414</v>
      </c>
      <c r="O34" s="3" t="s">
        <v>95</v>
      </c>
      <c r="P34" s="3" t="s">
        <v>36</v>
      </c>
      <c r="Q34" s="3" t="s">
        <v>85</v>
      </c>
      <c r="R34" s="4">
        <v>46080</v>
      </c>
      <c r="S34" s="3" t="s">
        <v>38</v>
      </c>
      <c r="T34" s="3" t="s">
        <v>39</v>
      </c>
      <c r="U34" s="3" t="s">
        <v>40</v>
      </c>
      <c r="V34" s="5">
        <v>2000</v>
      </c>
      <c r="W34" s="3">
        <v>850</v>
      </c>
      <c r="X34" s="3">
        <v>805</v>
      </c>
      <c r="Y34" s="3">
        <v>345</v>
      </c>
    </row>
    <row r="35" spans="1:25" ht="60.75" x14ac:dyDescent="0.25">
      <c r="A35" s="3" t="s">
        <v>26</v>
      </c>
      <c r="B35" s="3" t="s">
        <v>27</v>
      </c>
      <c r="C35" s="3" t="s">
        <v>28</v>
      </c>
      <c r="D35" s="3" t="s">
        <v>61</v>
      </c>
      <c r="E35" s="3" t="s">
        <v>96</v>
      </c>
      <c r="F35" s="3" t="s">
        <v>63</v>
      </c>
      <c r="G35" s="3" t="s">
        <v>96</v>
      </c>
      <c r="H35" s="3" t="s">
        <v>55</v>
      </c>
      <c r="I35" s="3">
        <v>2024</v>
      </c>
      <c r="J35" s="3" t="str">
        <f>CONCATENATE("44810437952")</f>
        <v>44810437952</v>
      </c>
      <c r="K35" s="3" t="s">
        <v>33</v>
      </c>
      <c r="L35" s="3"/>
      <c r="M35" s="3" t="s">
        <v>34</v>
      </c>
      <c r="N35" s="3" t="str">
        <f>CONCATENATE("CCRGNN64M55F415H")</f>
        <v>CCRGNN64M55F415H</v>
      </c>
      <c r="O35" s="3" t="s">
        <v>97</v>
      </c>
      <c r="P35" s="3" t="s">
        <v>36</v>
      </c>
      <c r="Q35" s="3" t="s">
        <v>37</v>
      </c>
      <c r="R35" s="4">
        <v>46080</v>
      </c>
      <c r="S35" s="3" t="s">
        <v>38</v>
      </c>
      <c r="T35" s="3" t="s">
        <v>39</v>
      </c>
      <c r="U35" s="3" t="s">
        <v>40</v>
      </c>
      <c r="V35" s="5">
        <v>1280.4000000000001</v>
      </c>
      <c r="W35" s="3">
        <v>544.16999999999996</v>
      </c>
      <c r="X35" s="3">
        <v>515.36</v>
      </c>
      <c r="Y35" s="3">
        <v>220.87</v>
      </c>
    </row>
    <row r="36" spans="1:25" ht="60.75" x14ac:dyDescent="0.25">
      <c r="A36" s="3" t="s">
        <v>26</v>
      </c>
      <c r="B36" s="3" t="s">
        <v>27</v>
      </c>
      <c r="C36" s="3" t="s">
        <v>28</v>
      </c>
      <c r="D36" s="3" t="s">
        <v>61</v>
      </c>
      <c r="E36" s="3" t="s">
        <v>96</v>
      </c>
      <c r="F36" s="3" t="s">
        <v>63</v>
      </c>
      <c r="G36" s="3" t="s">
        <v>96</v>
      </c>
      <c r="H36" s="3" t="s">
        <v>55</v>
      </c>
      <c r="I36" s="3">
        <v>2025</v>
      </c>
      <c r="J36" s="3" t="str">
        <f>CONCATENATE("54810357563")</f>
        <v>54810357563</v>
      </c>
      <c r="K36" s="3" t="s">
        <v>33</v>
      </c>
      <c r="L36" s="3"/>
      <c r="M36" s="3" t="s">
        <v>34</v>
      </c>
      <c r="N36" s="3" t="str">
        <f>CONCATENATE("CCRGNN64M55F415H")</f>
        <v>CCRGNN64M55F415H</v>
      </c>
      <c r="O36" s="3" t="s">
        <v>97</v>
      </c>
      <c r="P36" s="3" t="s">
        <v>36</v>
      </c>
      <c r="Q36" s="3" t="s">
        <v>37</v>
      </c>
      <c r="R36" s="4">
        <v>46080</v>
      </c>
      <c r="S36" s="3" t="s">
        <v>38</v>
      </c>
      <c r="T36" s="3" t="s">
        <v>39</v>
      </c>
      <c r="U36" s="3" t="s">
        <v>40</v>
      </c>
      <c r="V36" s="5">
        <v>1294.76</v>
      </c>
      <c r="W36" s="3">
        <v>550.27</v>
      </c>
      <c r="X36" s="3">
        <v>521.14</v>
      </c>
      <c r="Y36" s="3">
        <v>223.35</v>
      </c>
    </row>
    <row r="37" spans="1:25" ht="36.75" x14ac:dyDescent="0.25">
      <c r="A37" s="3" t="s">
        <v>26</v>
      </c>
      <c r="B37" s="3" t="s">
        <v>27</v>
      </c>
      <c r="C37" s="3" t="s">
        <v>28</v>
      </c>
      <c r="D37" s="3" t="s">
        <v>61</v>
      </c>
      <c r="E37" s="3" t="s">
        <v>65</v>
      </c>
      <c r="F37" s="3" t="s">
        <v>63</v>
      </c>
      <c r="G37" s="3" t="s">
        <v>65</v>
      </c>
      <c r="H37" s="3" t="s">
        <v>47</v>
      </c>
      <c r="I37" s="3">
        <v>2025</v>
      </c>
      <c r="J37" s="3" t="str">
        <f>CONCATENATE("54810143195")</f>
        <v>54810143195</v>
      </c>
      <c r="K37" s="3" t="s">
        <v>33</v>
      </c>
      <c r="L37" s="3"/>
      <c r="M37" s="3" t="s">
        <v>34</v>
      </c>
      <c r="N37" s="3" t="str">
        <f>CONCATENATE("02745870424")</f>
        <v>02745870424</v>
      </c>
      <c r="O37" s="3" t="s">
        <v>98</v>
      </c>
      <c r="P37" s="3" t="s">
        <v>36</v>
      </c>
      <c r="Q37" s="3" t="s">
        <v>37</v>
      </c>
      <c r="R37" s="4">
        <v>46080</v>
      </c>
      <c r="S37" s="3" t="s">
        <v>38</v>
      </c>
      <c r="T37" s="3" t="s">
        <v>39</v>
      </c>
      <c r="U37" s="3" t="s">
        <v>40</v>
      </c>
      <c r="V37" s="3">
        <v>590.64</v>
      </c>
      <c r="W37" s="3">
        <v>251.02</v>
      </c>
      <c r="X37" s="3">
        <v>237.73</v>
      </c>
      <c r="Y37" s="3">
        <v>101.89</v>
      </c>
    </row>
    <row r="38" spans="1:25" ht="36.75" x14ac:dyDescent="0.25">
      <c r="A38" s="3" t="s">
        <v>26</v>
      </c>
      <c r="B38" s="3" t="s">
        <v>27</v>
      </c>
      <c r="C38" s="3" t="s">
        <v>28</v>
      </c>
      <c r="D38" s="3" t="s">
        <v>61</v>
      </c>
      <c r="E38" s="3" t="s">
        <v>65</v>
      </c>
      <c r="F38" s="3" t="s">
        <v>63</v>
      </c>
      <c r="G38" s="3" t="s">
        <v>65</v>
      </c>
      <c r="H38" s="3" t="s">
        <v>47</v>
      </c>
      <c r="I38" s="3">
        <v>2024</v>
      </c>
      <c r="J38" s="3" t="str">
        <f>CONCATENATE("44810048023")</f>
        <v>44810048023</v>
      </c>
      <c r="K38" s="3" t="s">
        <v>33</v>
      </c>
      <c r="L38" s="3"/>
      <c r="M38" s="3" t="s">
        <v>34</v>
      </c>
      <c r="N38" s="3" t="str">
        <f>CONCATENATE("02745870424")</f>
        <v>02745870424</v>
      </c>
      <c r="O38" s="3" t="s">
        <v>98</v>
      </c>
      <c r="P38" s="3" t="s">
        <v>36</v>
      </c>
      <c r="Q38" s="3" t="s">
        <v>37</v>
      </c>
      <c r="R38" s="4">
        <v>46080</v>
      </c>
      <c r="S38" s="3" t="s">
        <v>38</v>
      </c>
      <c r="T38" s="3" t="s">
        <v>39</v>
      </c>
      <c r="U38" s="3" t="s">
        <v>40</v>
      </c>
      <c r="V38" s="3">
        <v>409.26</v>
      </c>
      <c r="W38" s="3">
        <v>173.94</v>
      </c>
      <c r="X38" s="3">
        <v>164.73</v>
      </c>
      <c r="Y38" s="3">
        <v>70.59</v>
      </c>
    </row>
    <row r="39" spans="1:25" ht="60.75" x14ac:dyDescent="0.25">
      <c r="A39" s="3" t="s">
        <v>26</v>
      </c>
      <c r="B39" s="3" t="s">
        <v>27</v>
      </c>
      <c r="C39" s="3" t="s">
        <v>28</v>
      </c>
      <c r="D39" s="3" t="s">
        <v>61</v>
      </c>
      <c r="E39" s="3" t="s">
        <v>99</v>
      </c>
      <c r="F39" s="3" t="s">
        <v>63</v>
      </c>
      <c r="G39" s="3" t="s">
        <v>99</v>
      </c>
      <c r="H39" s="3" t="s">
        <v>47</v>
      </c>
      <c r="I39" s="3">
        <v>2025</v>
      </c>
      <c r="J39" s="3" t="str">
        <f>CONCATENATE("54810226016")</f>
        <v>54810226016</v>
      </c>
      <c r="K39" s="3" t="s">
        <v>33</v>
      </c>
      <c r="L39" s="3"/>
      <c r="M39" s="3" t="s">
        <v>34</v>
      </c>
      <c r="N39" s="3" t="str">
        <f>CONCATENATE("BTTSMN87L04I608H")</f>
        <v>BTTSMN87L04I608H</v>
      </c>
      <c r="O39" s="3" t="s">
        <v>100</v>
      </c>
      <c r="P39" s="3" t="s">
        <v>36</v>
      </c>
      <c r="Q39" s="3" t="s">
        <v>37</v>
      </c>
      <c r="R39" s="4">
        <v>46080</v>
      </c>
      <c r="S39" s="3" t="s">
        <v>38</v>
      </c>
      <c r="T39" s="3" t="s">
        <v>39</v>
      </c>
      <c r="U39" s="3" t="s">
        <v>40</v>
      </c>
      <c r="V39" s="3">
        <v>378.36</v>
      </c>
      <c r="W39" s="3">
        <v>160.80000000000001</v>
      </c>
      <c r="X39" s="3">
        <v>152.29</v>
      </c>
      <c r="Y39" s="3">
        <v>65.27</v>
      </c>
    </row>
    <row r="40" spans="1:25" ht="60.75" x14ac:dyDescent="0.25">
      <c r="A40" s="3" t="s">
        <v>26</v>
      </c>
      <c r="B40" s="3" t="s">
        <v>27</v>
      </c>
      <c r="C40" s="3" t="s">
        <v>28</v>
      </c>
      <c r="D40" s="3" t="s">
        <v>61</v>
      </c>
      <c r="E40" s="3" t="s">
        <v>99</v>
      </c>
      <c r="F40" s="3" t="s">
        <v>63</v>
      </c>
      <c r="G40" s="3" t="s">
        <v>99</v>
      </c>
      <c r="H40" s="3" t="s">
        <v>47</v>
      </c>
      <c r="I40" s="3">
        <v>2024</v>
      </c>
      <c r="J40" s="3" t="str">
        <f>CONCATENATE("44810671642")</f>
        <v>44810671642</v>
      </c>
      <c r="K40" s="3" t="s">
        <v>33</v>
      </c>
      <c r="L40" s="3"/>
      <c r="M40" s="3" t="s">
        <v>34</v>
      </c>
      <c r="N40" s="3" t="str">
        <f>CONCATENATE("BTTSMN87L04I608H")</f>
        <v>BTTSMN87L04I608H</v>
      </c>
      <c r="O40" s="3" t="s">
        <v>100</v>
      </c>
      <c r="P40" s="3" t="s">
        <v>36</v>
      </c>
      <c r="Q40" s="3" t="s">
        <v>37</v>
      </c>
      <c r="R40" s="4">
        <v>46080</v>
      </c>
      <c r="S40" s="3" t="s">
        <v>38</v>
      </c>
      <c r="T40" s="3" t="s">
        <v>39</v>
      </c>
      <c r="U40" s="3" t="s">
        <v>40</v>
      </c>
      <c r="V40" s="3">
        <v>236.62</v>
      </c>
      <c r="W40" s="3">
        <v>100.56</v>
      </c>
      <c r="X40" s="3">
        <v>95.24</v>
      </c>
      <c r="Y40" s="3">
        <v>40.82</v>
      </c>
    </row>
    <row r="41" spans="1:25" ht="36.75" x14ac:dyDescent="0.25">
      <c r="A41" s="3" t="s">
        <v>26</v>
      </c>
      <c r="B41" s="3" t="s">
        <v>27</v>
      </c>
      <c r="C41" s="3" t="s">
        <v>28</v>
      </c>
      <c r="D41" s="3" t="s">
        <v>44</v>
      </c>
      <c r="E41" s="3" t="s">
        <v>69</v>
      </c>
      <c r="F41" s="3" t="s">
        <v>46</v>
      </c>
      <c r="G41" s="3" t="s">
        <v>69</v>
      </c>
      <c r="H41" s="3" t="s">
        <v>47</v>
      </c>
      <c r="I41" s="3">
        <v>2024</v>
      </c>
      <c r="J41" s="3" t="str">
        <f>CONCATENATE("44811054988")</f>
        <v>44811054988</v>
      </c>
      <c r="K41" s="3" t="s">
        <v>33</v>
      </c>
      <c r="L41" s="3"/>
      <c r="M41" s="3" t="s">
        <v>34</v>
      </c>
      <c r="N41" s="3" t="str">
        <f>CONCATENATE("01776160432")</f>
        <v>01776160432</v>
      </c>
      <c r="O41" s="3" t="s">
        <v>101</v>
      </c>
      <c r="P41" s="3" t="s">
        <v>36</v>
      </c>
      <c r="Q41" s="3" t="s">
        <v>37</v>
      </c>
      <c r="R41" s="4">
        <v>46080</v>
      </c>
      <c r="S41" s="3" t="s">
        <v>38</v>
      </c>
      <c r="T41" s="3" t="s">
        <v>39</v>
      </c>
      <c r="U41" s="3" t="s">
        <v>40</v>
      </c>
      <c r="V41" s="5">
        <v>1728.58</v>
      </c>
      <c r="W41" s="3">
        <v>734.65</v>
      </c>
      <c r="X41" s="3">
        <v>695.75</v>
      </c>
      <c r="Y41" s="3">
        <v>298.18</v>
      </c>
    </row>
    <row r="42" spans="1:25" ht="60.75" x14ac:dyDescent="0.25">
      <c r="A42" s="3" t="s">
        <v>26</v>
      </c>
      <c r="B42" s="3" t="s">
        <v>27</v>
      </c>
      <c r="C42" s="3" t="s">
        <v>28</v>
      </c>
      <c r="D42" s="3" t="s">
        <v>41</v>
      </c>
      <c r="E42" s="3" t="s">
        <v>102</v>
      </c>
      <c r="F42" s="3" t="s">
        <v>41</v>
      </c>
      <c r="G42" s="3" t="s">
        <v>102</v>
      </c>
      <c r="H42" s="3" t="s">
        <v>47</v>
      </c>
      <c r="I42" s="3">
        <v>2024</v>
      </c>
      <c r="J42" s="3" t="str">
        <f>CONCATENATE("44810883650")</f>
        <v>44810883650</v>
      </c>
      <c r="K42" s="3" t="s">
        <v>33</v>
      </c>
      <c r="L42" s="3"/>
      <c r="M42" s="3" t="s">
        <v>34</v>
      </c>
      <c r="N42" s="3" t="str">
        <f>CONCATENATE("CSRGLN56A13E837V")</f>
        <v>CSRGLN56A13E837V</v>
      </c>
      <c r="O42" s="3" t="s">
        <v>103</v>
      </c>
      <c r="P42" s="3" t="s">
        <v>36</v>
      </c>
      <c r="Q42" s="3" t="s">
        <v>37</v>
      </c>
      <c r="R42" s="4">
        <v>46080</v>
      </c>
      <c r="S42" s="3" t="s">
        <v>38</v>
      </c>
      <c r="T42" s="3" t="s">
        <v>39</v>
      </c>
      <c r="U42" s="3" t="s">
        <v>40</v>
      </c>
      <c r="V42" s="5">
        <v>1372.73</v>
      </c>
      <c r="W42" s="3">
        <v>583.41</v>
      </c>
      <c r="X42" s="3">
        <v>552.52</v>
      </c>
      <c r="Y42" s="3">
        <v>236.8</v>
      </c>
    </row>
    <row r="43" spans="1:25" ht="60.75" x14ac:dyDescent="0.25">
      <c r="A43" s="3" t="s">
        <v>26</v>
      </c>
      <c r="B43" s="3" t="s">
        <v>27</v>
      </c>
      <c r="C43" s="3" t="s">
        <v>28</v>
      </c>
      <c r="D43" s="3" t="s">
        <v>44</v>
      </c>
      <c r="E43" s="3" t="s">
        <v>45</v>
      </c>
      <c r="F43" s="3" t="s">
        <v>46</v>
      </c>
      <c r="G43" s="3" t="s">
        <v>45</v>
      </c>
      <c r="H43" s="3" t="s">
        <v>47</v>
      </c>
      <c r="I43" s="3">
        <v>2024</v>
      </c>
      <c r="J43" s="3" t="str">
        <f>CONCATENATE("44810857662")</f>
        <v>44810857662</v>
      </c>
      <c r="K43" s="3" t="s">
        <v>33</v>
      </c>
      <c r="L43" s="3"/>
      <c r="M43" s="3" t="s">
        <v>34</v>
      </c>
      <c r="N43" s="3" t="str">
        <f>CONCATENATE("CLLDTL72H66E388N")</f>
        <v>CLLDTL72H66E388N</v>
      </c>
      <c r="O43" s="3" t="s">
        <v>104</v>
      </c>
      <c r="P43" s="3" t="s">
        <v>36</v>
      </c>
      <c r="Q43" s="3" t="s">
        <v>37</v>
      </c>
      <c r="R43" s="4">
        <v>46080</v>
      </c>
      <c r="S43" s="3" t="s">
        <v>38</v>
      </c>
      <c r="T43" s="3" t="s">
        <v>39</v>
      </c>
      <c r="U43" s="3" t="s">
        <v>40</v>
      </c>
      <c r="V43" s="3">
        <v>198.98</v>
      </c>
      <c r="W43" s="3">
        <v>84.57</v>
      </c>
      <c r="X43" s="3">
        <v>80.09</v>
      </c>
      <c r="Y43" s="3">
        <v>34.32</v>
      </c>
    </row>
    <row r="44" spans="1:25" ht="60.75" x14ac:dyDescent="0.25">
      <c r="A44" s="3" t="s">
        <v>26</v>
      </c>
      <c r="B44" s="3" t="s">
        <v>27</v>
      </c>
      <c r="C44" s="3" t="s">
        <v>28</v>
      </c>
      <c r="D44" s="3" t="s">
        <v>61</v>
      </c>
      <c r="E44" s="3" t="s">
        <v>105</v>
      </c>
      <c r="F44" s="3" t="s">
        <v>63</v>
      </c>
      <c r="G44" s="3" t="s">
        <v>105</v>
      </c>
      <c r="H44" s="3" t="s">
        <v>47</v>
      </c>
      <c r="I44" s="3">
        <v>2025</v>
      </c>
      <c r="J44" s="3" t="str">
        <f>CONCATENATE("54810445962")</f>
        <v>54810445962</v>
      </c>
      <c r="K44" s="3" t="s">
        <v>33</v>
      </c>
      <c r="L44" s="3"/>
      <c r="M44" s="3" t="s">
        <v>34</v>
      </c>
      <c r="N44" s="3" t="str">
        <f>CONCATENATE("DPPCST69H60E783M")</f>
        <v>DPPCST69H60E783M</v>
      </c>
      <c r="O44" s="3" t="s">
        <v>106</v>
      </c>
      <c r="P44" s="3" t="s">
        <v>36</v>
      </c>
      <c r="Q44" s="3" t="s">
        <v>37</v>
      </c>
      <c r="R44" s="4">
        <v>46080</v>
      </c>
      <c r="S44" s="3" t="s">
        <v>38</v>
      </c>
      <c r="T44" s="3" t="s">
        <v>39</v>
      </c>
      <c r="U44" s="3" t="s">
        <v>40</v>
      </c>
      <c r="V44" s="3">
        <v>899.04</v>
      </c>
      <c r="W44" s="3">
        <v>382.09</v>
      </c>
      <c r="X44" s="3">
        <v>361.86</v>
      </c>
      <c r="Y44" s="3">
        <v>155.09</v>
      </c>
    </row>
    <row r="45" spans="1:25" ht="60.75" x14ac:dyDescent="0.25">
      <c r="A45" s="3" t="s">
        <v>26</v>
      </c>
      <c r="B45" s="3" t="s">
        <v>27</v>
      </c>
      <c r="C45" s="3" t="s">
        <v>28</v>
      </c>
      <c r="D45" s="3" t="s">
        <v>61</v>
      </c>
      <c r="E45" s="3" t="s">
        <v>105</v>
      </c>
      <c r="F45" s="3" t="s">
        <v>63</v>
      </c>
      <c r="G45" s="3" t="s">
        <v>105</v>
      </c>
      <c r="H45" s="3" t="s">
        <v>47</v>
      </c>
      <c r="I45" s="3">
        <v>2024</v>
      </c>
      <c r="J45" s="3" t="str">
        <f>CONCATENATE("44810541266")</f>
        <v>44810541266</v>
      </c>
      <c r="K45" s="3" t="s">
        <v>33</v>
      </c>
      <c r="L45" s="3"/>
      <c r="M45" s="3" t="s">
        <v>34</v>
      </c>
      <c r="N45" s="3" t="str">
        <f>CONCATENATE("DPPCST69H60E783M")</f>
        <v>DPPCST69H60E783M</v>
      </c>
      <c r="O45" s="3" t="s">
        <v>106</v>
      </c>
      <c r="P45" s="3" t="s">
        <v>36</v>
      </c>
      <c r="Q45" s="3" t="s">
        <v>37</v>
      </c>
      <c r="R45" s="4">
        <v>46080</v>
      </c>
      <c r="S45" s="3" t="s">
        <v>38</v>
      </c>
      <c r="T45" s="3" t="s">
        <v>39</v>
      </c>
      <c r="U45" s="3" t="s">
        <v>40</v>
      </c>
      <c r="V45" s="3">
        <v>588.47</v>
      </c>
      <c r="W45" s="3">
        <v>250.1</v>
      </c>
      <c r="X45" s="3">
        <v>236.86</v>
      </c>
      <c r="Y45" s="3">
        <v>101.51</v>
      </c>
    </row>
    <row r="46" spans="1:25" ht="36.75" x14ac:dyDescent="0.25">
      <c r="A46" s="3" t="s">
        <v>26</v>
      </c>
      <c r="B46" s="3" t="s">
        <v>27</v>
      </c>
      <c r="C46" s="3" t="s">
        <v>28</v>
      </c>
      <c r="D46" s="3" t="s">
        <v>44</v>
      </c>
      <c r="E46" s="3" t="s">
        <v>107</v>
      </c>
      <c r="F46" s="3" t="s">
        <v>46</v>
      </c>
      <c r="G46" s="3" t="s">
        <v>107</v>
      </c>
      <c r="H46" s="3" t="s">
        <v>47</v>
      </c>
      <c r="I46" s="3">
        <v>2024</v>
      </c>
      <c r="J46" s="3" t="str">
        <f>CONCATENATE("44810160406")</f>
        <v>44810160406</v>
      </c>
      <c r="K46" s="3" t="s">
        <v>33</v>
      </c>
      <c r="L46" s="3"/>
      <c r="M46" s="3" t="s">
        <v>34</v>
      </c>
      <c r="N46" s="3" t="str">
        <f>CONCATENATE("02764580425")</f>
        <v>02764580425</v>
      </c>
      <c r="O46" s="3" t="s">
        <v>108</v>
      </c>
      <c r="P46" s="3" t="s">
        <v>36</v>
      </c>
      <c r="Q46" s="3" t="s">
        <v>37</v>
      </c>
      <c r="R46" s="4">
        <v>46080</v>
      </c>
      <c r="S46" s="3" t="s">
        <v>38</v>
      </c>
      <c r="T46" s="3" t="s">
        <v>39</v>
      </c>
      <c r="U46" s="3" t="s">
        <v>40</v>
      </c>
      <c r="V46" s="3">
        <v>837.52</v>
      </c>
      <c r="W46" s="3">
        <v>355.95</v>
      </c>
      <c r="X46" s="3">
        <v>337.1</v>
      </c>
      <c r="Y46" s="3">
        <v>144.47</v>
      </c>
    </row>
    <row r="47" spans="1:25" ht="60.75" x14ac:dyDescent="0.25">
      <c r="A47" s="3" t="s">
        <v>26</v>
      </c>
      <c r="B47" s="3" t="s">
        <v>27</v>
      </c>
      <c r="C47" s="3" t="s">
        <v>28</v>
      </c>
      <c r="D47" s="3" t="s">
        <v>44</v>
      </c>
      <c r="E47" s="3" t="s">
        <v>45</v>
      </c>
      <c r="F47" s="3" t="s">
        <v>46</v>
      </c>
      <c r="G47" s="3" t="s">
        <v>45</v>
      </c>
      <c r="H47" s="3" t="s">
        <v>47</v>
      </c>
      <c r="I47" s="3">
        <v>2024</v>
      </c>
      <c r="J47" s="3" t="str">
        <f>CONCATENATE("44810071819")</f>
        <v>44810071819</v>
      </c>
      <c r="K47" s="3" t="s">
        <v>33</v>
      </c>
      <c r="L47" s="3"/>
      <c r="M47" s="3" t="s">
        <v>34</v>
      </c>
      <c r="N47" s="3" t="str">
        <f>CONCATENATE("GCNFPP81M01E388G")</f>
        <v>GCNFPP81M01E388G</v>
      </c>
      <c r="O47" s="3" t="s">
        <v>109</v>
      </c>
      <c r="P47" s="3" t="s">
        <v>36</v>
      </c>
      <c r="Q47" s="3" t="s">
        <v>37</v>
      </c>
      <c r="R47" s="4">
        <v>46080</v>
      </c>
      <c r="S47" s="3" t="s">
        <v>38</v>
      </c>
      <c r="T47" s="3" t="s">
        <v>39</v>
      </c>
      <c r="U47" s="3" t="s">
        <v>40</v>
      </c>
      <c r="V47" s="3">
        <v>226.88</v>
      </c>
      <c r="W47" s="3">
        <v>96.42</v>
      </c>
      <c r="X47" s="3">
        <v>91.32</v>
      </c>
      <c r="Y47" s="3">
        <v>39.14</v>
      </c>
    </row>
    <row r="48" spans="1:25" ht="60.75" x14ac:dyDescent="0.25">
      <c r="A48" s="3" t="s">
        <v>26</v>
      </c>
      <c r="B48" s="3" t="s">
        <v>27</v>
      </c>
      <c r="C48" s="3" t="s">
        <v>28</v>
      </c>
      <c r="D48" s="3" t="s">
        <v>44</v>
      </c>
      <c r="E48" s="3" t="s">
        <v>69</v>
      </c>
      <c r="F48" s="3" t="s">
        <v>46</v>
      </c>
      <c r="G48" s="3" t="s">
        <v>69</v>
      </c>
      <c r="H48" s="3" t="s">
        <v>47</v>
      </c>
      <c r="I48" s="3">
        <v>2024</v>
      </c>
      <c r="J48" s="3" t="str">
        <f>CONCATENATE("44810379154")</f>
        <v>44810379154</v>
      </c>
      <c r="K48" s="3" t="s">
        <v>33</v>
      </c>
      <c r="L48" s="3"/>
      <c r="M48" s="3" t="s">
        <v>34</v>
      </c>
      <c r="N48" s="3" t="str">
        <f>CONCATENATE("SBBFNC75H02E388S")</f>
        <v>SBBFNC75H02E388S</v>
      </c>
      <c r="O48" s="3" t="s">
        <v>110</v>
      </c>
      <c r="P48" s="3" t="s">
        <v>36</v>
      </c>
      <c r="Q48" s="3" t="s">
        <v>37</v>
      </c>
      <c r="R48" s="4">
        <v>46080</v>
      </c>
      <c r="S48" s="3" t="s">
        <v>38</v>
      </c>
      <c r="T48" s="3" t="s">
        <v>39</v>
      </c>
      <c r="U48" s="3" t="s">
        <v>40</v>
      </c>
      <c r="V48" s="5">
        <v>1689.08</v>
      </c>
      <c r="W48" s="3">
        <v>717.86</v>
      </c>
      <c r="X48" s="3">
        <v>679.85</v>
      </c>
      <c r="Y48" s="3">
        <v>291.37</v>
      </c>
    </row>
    <row r="49" spans="1:25" ht="72.75" x14ac:dyDescent="0.25">
      <c r="A49" s="3" t="s">
        <v>26</v>
      </c>
      <c r="B49" s="3" t="s">
        <v>27</v>
      </c>
      <c r="C49" s="3" t="s">
        <v>28</v>
      </c>
      <c r="D49" s="3" t="s">
        <v>61</v>
      </c>
      <c r="E49" s="3" t="s">
        <v>62</v>
      </c>
      <c r="F49" s="3" t="s">
        <v>63</v>
      </c>
      <c r="G49" s="3" t="s">
        <v>62</v>
      </c>
      <c r="H49" s="3" t="s">
        <v>47</v>
      </c>
      <c r="I49" s="3">
        <v>2025</v>
      </c>
      <c r="J49" s="3" t="str">
        <f>CONCATENATE("54810435823")</f>
        <v>54810435823</v>
      </c>
      <c r="K49" s="3" t="s">
        <v>33</v>
      </c>
      <c r="L49" s="3"/>
      <c r="M49" s="3" t="s">
        <v>34</v>
      </c>
      <c r="N49" s="3" t="str">
        <f>CONCATENATE("MRCMNO73A42D451D")</f>
        <v>MRCMNO73A42D451D</v>
      </c>
      <c r="O49" s="3" t="s">
        <v>111</v>
      </c>
      <c r="P49" s="3" t="s">
        <v>36</v>
      </c>
      <c r="Q49" s="3" t="s">
        <v>37</v>
      </c>
      <c r="R49" s="4">
        <v>46080</v>
      </c>
      <c r="S49" s="3" t="s">
        <v>38</v>
      </c>
      <c r="T49" s="3" t="s">
        <v>39</v>
      </c>
      <c r="U49" s="3" t="s">
        <v>40</v>
      </c>
      <c r="V49" s="3">
        <v>112.04</v>
      </c>
      <c r="W49" s="3">
        <v>47.62</v>
      </c>
      <c r="X49" s="3">
        <v>45.1</v>
      </c>
      <c r="Y49" s="3">
        <v>19.32</v>
      </c>
    </row>
    <row r="50" spans="1:25" ht="72.75" x14ac:dyDescent="0.25">
      <c r="A50" s="3" t="s">
        <v>26</v>
      </c>
      <c r="B50" s="3" t="s">
        <v>27</v>
      </c>
      <c r="C50" s="3" t="s">
        <v>28</v>
      </c>
      <c r="D50" s="3" t="s">
        <v>61</v>
      </c>
      <c r="E50" s="3" t="s">
        <v>62</v>
      </c>
      <c r="F50" s="3" t="s">
        <v>63</v>
      </c>
      <c r="G50" s="3" t="s">
        <v>62</v>
      </c>
      <c r="H50" s="3" t="s">
        <v>47</v>
      </c>
      <c r="I50" s="3">
        <v>2024</v>
      </c>
      <c r="J50" s="3" t="str">
        <f>CONCATENATE("44810428290")</f>
        <v>44810428290</v>
      </c>
      <c r="K50" s="3" t="s">
        <v>33</v>
      </c>
      <c r="L50" s="3"/>
      <c r="M50" s="3" t="s">
        <v>34</v>
      </c>
      <c r="N50" s="3" t="str">
        <f>CONCATENATE("MRCMNO73A42D451D")</f>
        <v>MRCMNO73A42D451D</v>
      </c>
      <c r="O50" s="3" t="s">
        <v>111</v>
      </c>
      <c r="P50" s="3" t="s">
        <v>36</v>
      </c>
      <c r="Q50" s="3" t="s">
        <v>37</v>
      </c>
      <c r="R50" s="4">
        <v>46080</v>
      </c>
      <c r="S50" s="3" t="s">
        <v>38</v>
      </c>
      <c r="T50" s="3" t="s">
        <v>39</v>
      </c>
      <c r="U50" s="3" t="s">
        <v>40</v>
      </c>
      <c r="V50" s="3">
        <v>70.680000000000007</v>
      </c>
      <c r="W50" s="3">
        <v>30.04</v>
      </c>
      <c r="X50" s="3">
        <v>28.45</v>
      </c>
      <c r="Y50" s="3">
        <v>12.19</v>
      </c>
    </row>
    <row r="51" spans="1:25" ht="72.75" x14ac:dyDescent="0.25">
      <c r="A51" s="3" t="s">
        <v>26</v>
      </c>
      <c r="B51" s="3" t="s">
        <v>27</v>
      </c>
      <c r="C51" s="3" t="s">
        <v>28</v>
      </c>
      <c r="D51" s="3" t="s">
        <v>61</v>
      </c>
      <c r="E51" s="3" t="s">
        <v>99</v>
      </c>
      <c r="F51" s="3" t="s">
        <v>63</v>
      </c>
      <c r="G51" s="3" t="s">
        <v>99</v>
      </c>
      <c r="H51" s="3" t="s">
        <v>47</v>
      </c>
      <c r="I51" s="3">
        <v>2024</v>
      </c>
      <c r="J51" s="3" t="str">
        <f>CONCATENATE("44811232592")</f>
        <v>44811232592</v>
      </c>
      <c r="K51" s="3" t="s">
        <v>33</v>
      </c>
      <c r="L51" s="3"/>
      <c r="M51" s="3" t="s">
        <v>34</v>
      </c>
      <c r="N51" s="3" t="str">
        <f>CONCATENATE("SNTRRT76H57A271B")</f>
        <v>SNTRRT76H57A271B</v>
      </c>
      <c r="O51" s="3" t="s">
        <v>112</v>
      </c>
      <c r="P51" s="3" t="s">
        <v>36</v>
      </c>
      <c r="Q51" s="3" t="s">
        <v>37</v>
      </c>
      <c r="R51" s="4">
        <v>46080</v>
      </c>
      <c r="S51" s="3" t="s">
        <v>38</v>
      </c>
      <c r="T51" s="3" t="s">
        <v>39</v>
      </c>
      <c r="U51" s="3" t="s">
        <v>40</v>
      </c>
      <c r="V51" s="3">
        <v>175.68</v>
      </c>
      <c r="W51" s="3">
        <v>74.66</v>
      </c>
      <c r="X51" s="3">
        <v>70.709999999999994</v>
      </c>
      <c r="Y51" s="3">
        <v>30.31</v>
      </c>
    </row>
    <row r="52" spans="1:25" ht="36.75" x14ac:dyDescent="0.25">
      <c r="A52" s="3" t="s">
        <v>26</v>
      </c>
      <c r="B52" s="3" t="s">
        <v>27</v>
      </c>
      <c r="C52" s="3" t="s">
        <v>28</v>
      </c>
      <c r="D52" s="3" t="s">
        <v>44</v>
      </c>
      <c r="E52" s="3" t="s">
        <v>45</v>
      </c>
      <c r="F52" s="3" t="s">
        <v>46</v>
      </c>
      <c r="G52" s="3" t="s">
        <v>45</v>
      </c>
      <c r="H52" s="3" t="s">
        <v>47</v>
      </c>
      <c r="I52" s="3">
        <v>2024</v>
      </c>
      <c r="J52" s="3" t="str">
        <f>CONCATENATE("44810056208")</f>
        <v>44810056208</v>
      </c>
      <c r="K52" s="3" t="s">
        <v>33</v>
      </c>
      <c r="L52" s="3"/>
      <c r="M52" s="3" t="s">
        <v>34</v>
      </c>
      <c r="N52" s="3" t="str">
        <f>CONCATENATE("02731480428")</f>
        <v>02731480428</v>
      </c>
      <c r="O52" s="3" t="s">
        <v>113</v>
      </c>
      <c r="P52" s="3" t="s">
        <v>36</v>
      </c>
      <c r="Q52" s="3" t="s">
        <v>37</v>
      </c>
      <c r="R52" s="4">
        <v>46080</v>
      </c>
      <c r="S52" s="3" t="s">
        <v>38</v>
      </c>
      <c r="T52" s="3" t="s">
        <v>39</v>
      </c>
      <c r="U52" s="3" t="s">
        <v>40</v>
      </c>
      <c r="V52" s="3">
        <v>231.18</v>
      </c>
      <c r="W52" s="3">
        <v>98.25</v>
      </c>
      <c r="X52" s="3">
        <v>93.05</v>
      </c>
      <c r="Y52" s="3">
        <v>39.880000000000003</v>
      </c>
    </row>
    <row r="53" spans="1:25" ht="36.75" x14ac:dyDescent="0.25">
      <c r="A53" s="3" t="s">
        <v>26</v>
      </c>
      <c r="B53" s="3" t="s">
        <v>27</v>
      </c>
      <c r="C53" s="3" t="s">
        <v>28</v>
      </c>
      <c r="D53" s="3" t="s">
        <v>44</v>
      </c>
      <c r="E53" s="3" t="s">
        <v>45</v>
      </c>
      <c r="F53" s="3" t="s">
        <v>63</v>
      </c>
      <c r="G53" s="3" t="s">
        <v>65</v>
      </c>
      <c r="H53" s="3" t="s">
        <v>47</v>
      </c>
      <c r="I53" s="3">
        <v>2024</v>
      </c>
      <c r="J53" s="3" t="str">
        <f>CONCATENATE("44810061539")</f>
        <v>44810061539</v>
      </c>
      <c r="K53" s="3" t="s">
        <v>33</v>
      </c>
      <c r="L53" s="3"/>
      <c r="M53" s="3" t="s">
        <v>34</v>
      </c>
      <c r="N53" s="3" t="str">
        <f>CONCATENATE("02635860428")</f>
        <v>02635860428</v>
      </c>
      <c r="O53" s="3" t="s">
        <v>114</v>
      </c>
      <c r="P53" s="3" t="s">
        <v>36</v>
      </c>
      <c r="Q53" s="3" t="s">
        <v>37</v>
      </c>
      <c r="R53" s="4">
        <v>46080</v>
      </c>
      <c r="S53" s="3" t="s">
        <v>38</v>
      </c>
      <c r="T53" s="3" t="s">
        <v>39</v>
      </c>
      <c r="U53" s="3" t="s">
        <v>40</v>
      </c>
      <c r="V53" s="5">
        <v>1403.51</v>
      </c>
      <c r="W53" s="3">
        <v>596.49</v>
      </c>
      <c r="X53" s="3">
        <v>564.91</v>
      </c>
      <c r="Y53" s="3">
        <v>242.11</v>
      </c>
    </row>
    <row r="54" spans="1:25" ht="60.75" x14ac:dyDescent="0.25">
      <c r="A54" s="3" t="s">
        <v>26</v>
      </c>
      <c r="B54" s="3" t="s">
        <v>27</v>
      </c>
      <c r="C54" s="3" t="s">
        <v>28</v>
      </c>
      <c r="D54" s="3" t="s">
        <v>44</v>
      </c>
      <c r="E54" s="3" t="s">
        <v>115</v>
      </c>
      <c r="F54" s="3" t="s">
        <v>46</v>
      </c>
      <c r="G54" s="3" t="s">
        <v>115</v>
      </c>
      <c r="H54" s="3" t="s">
        <v>78</v>
      </c>
      <c r="I54" s="3">
        <v>2025</v>
      </c>
      <c r="J54" s="3" t="str">
        <f>CONCATENATE("54810178423")</f>
        <v>54810178423</v>
      </c>
      <c r="K54" s="3" t="s">
        <v>33</v>
      </c>
      <c r="L54" s="3"/>
      <c r="M54" s="3" t="s">
        <v>34</v>
      </c>
      <c r="N54" s="3" t="str">
        <f>CONCATENATE("VNTVGN02S55L500O")</f>
        <v>VNTVGN02S55L500O</v>
      </c>
      <c r="O54" s="3" t="s">
        <v>116</v>
      </c>
      <c r="P54" s="3" t="s">
        <v>36</v>
      </c>
      <c r="Q54" s="3" t="s">
        <v>37</v>
      </c>
      <c r="R54" s="4">
        <v>46080</v>
      </c>
      <c r="S54" s="3" t="s">
        <v>38</v>
      </c>
      <c r="T54" s="3" t="s">
        <v>39</v>
      </c>
      <c r="U54" s="3" t="s">
        <v>40</v>
      </c>
      <c r="V54" s="3">
        <v>792.24</v>
      </c>
      <c r="W54" s="3">
        <v>336.7</v>
      </c>
      <c r="X54" s="3">
        <v>318.88</v>
      </c>
      <c r="Y54" s="3">
        <v>136.66</v>
      </c>
    </row>
    <row r="55" spans="1:25" ht="60.75" x14ac:dyDescent="0.25">
      <c r="A55" s="3" t="s">
        <v>26</v>
      </c>
      <c r="B55" s="3" t="s">
        <v>27</v>
      </c>
      <c r="C55" s="3" t="s">
        <v>28</v>
      </c>
      <c r="D55" s="3" t="s">
        <v>44</v>
      </c>
      <c r="E55" s="3" t="s">
        <v>115</v>
      </c>
      <c r="F55" s="3" t="s">
        <v>46</v>
      </c>
      <c r="G55" s="3" t="s">
        <v>115</v>
      </c>
      <c r="H55" s="3" t="s">
        <v>78</v>
      </c>
      <c r="I55" s="3">
        <v>2024</v>
      </c>
      <c r="J55" s="3" t="str">
        <f>CONCATENATE("44810776888")</f>
        <v>44810776888</v>
      </c>
      <c r="K55" s="3" t="s">
        <v>33</v>
      </c>
      <c r="L55" s="3"/>
      <c r="M55" s="3" t="s">
        <v>34</v>
      </c>
      <c r="N55" s="3" t="str">
        <f>CONCATENATE("VNTVGN02S55L500O")</f>
        <v>VNTVGN02S55L500O</v>
      </c>
      <c r="O55" s="3" t="s">
        <v>116</v>
      </c>
      <c r="P55" s="3" t="s">
        <v>36</v>
      </c>
      <c r="Q55" s="3" t="s">
        <v>37</v>
      </c>
      <c r="R55" s="4">
        <v>46080</v>
      </c>
      <c r="S55" s="3" t="s">
        <v>38</v>
      </c>
      <c r="T55" s="3" t="s">
        <v>39</v>
      </c>
      <c r="U55" s="3" t="s">
        <v>40</v>
      </c>
      <c r="V55" s="3">
        <v>792.24</v>
      </c>
      <c r="W55" s="3">
        <v>336.7</v>
      </c>
      <c r="X55" s="3">
        <v>318.88</v>
      </c>
      <c r="Y55" s="3">
        <v>136.66</v>
      </c>
    </row>
    <row r="56" spans="1:25" ht="72.75" x14ac:dyDescent="0.25">
      <c r="A56" s="3" t="s">
        <v>26</v>
      </c>
      <c r="B56" s="3" t="s">
        <v>27</v>
      </c>
      <c r="C56" s="3" t="s">
        <v>28</v>
      </c>
      <c r="D56" s="3" t="s">
        <v>61</v>
      </c>
      <c r="E56" s="3" t="s">
        <v>117</v>
      </c>
      <c r="F56" s="3" t="s">
        <v>63</v>
      </c>
      <c r="G56" s="3" t="s">
        <v>117</v>
      </c>
      <c r="H56" s="3" t="s">
        <v>55</v>
      </c>
      <c r="I56" s="3">
        <v>2024</v>
      </c>
      <c r="J56" s="3" t="str">
        <f>CONCATENATE("44810532448")</f>
        <v>44810532448</v>
      </c>
      <c r="K56" s="3" t="s">
        <v>33</v>
      </c>
      <c r="L56" s="3"/>
      <c r="M56" s="3" t="s">
        <v>34</v>
      </c>
      <c r="N56" s="3" t="str">
        <f>CONCATENATE("CSTMRN70D26H769G")</f>
        <v>CSTMRN70D26H769G</v>
      </c>
      <c r="O56" s="3" t="s">
        <v>118</v>
      </c>
      <c r="P56" s="3" t="s">
        <v>36</v>
      </c>
      <c r="Q56" s="3" t="s">
        <v>119</v>
      </c>
      <c r="R56" s="4">
        <v>46080</v>
      </c>
      <c r="S56" s="3" t="s">
        <v>38</v>
      </c>
      <c r="T56" s="3" t="s">
        <v>39</v>
      </c>
      <c r="U56" s="3" t="s">
        <v>40</v>
      </c>
      <c r="V56" s="3">
        <v>550.5</v>
      </c>
      <c r="W56" s="3">
        <v>233.96</v>
      </c>
      <c r="X56" s="3">
        <v>221.58</v>
      </c>
      <c r="Y56" s="3">
        <v>94.96</v>
      </c>
    </row>
    <row r="57" spans="1:25" ht="60.75" x14ac:dyDescent="0.25">
      <c r="A57" s="3" t="s">
        <v>26</v>
      </c>
      <c r="B57" s="3" t="s">
        <v>27</v>
      </c>
      <c r="C57" s="3" t="s">
        <v>28</v>
      </c>
      <c r="D57" s="3" t="s">
        <v>44</v>
      </c>
      <c r="E57" s="3" t="s">
        <v>120</v>
      </c>
      <c r="F57" s="3" t="s">
        <v>41</v>
      </c>
      <c r="G57" s="3" t="s">
        <v>121</v>
      </c>
      <c r="H57" s="3" t="s">
        <v>55</v>
      </c>
      <c r="I57" s="3">
        <v>2024</v>
      </c>
      <c r="J57" s="3" t="str">
        <f>CONCATENATE("44811477668")</f>
        <v>44811477668</v>
      </c>
      <c r="K57" s="3" t="s">
        <v>33</v>
      </c>
      <c r="L57" s="3"/>
      <c r="M57" s="3" t="s">
        <v>122</v>
      </c>
      <c r="N57" s="3" t="str">
        <f>CONCATENATE("MRTDNC42A68F509U")</f>
        <v>MRTDNC42A68F509U</v>
      </c>
      <c r="O57" s="3" t="s">
        <v>123</v>
      </c>
      <c r="P57" s="3" t="s">
        <v>36</v>
      </c>
      <c r="Q57" s="3" t="s">
        <v>124</v>
      </c>
      <c r="R57" s="4">
        <v>46084</v>
      </c>
      <c r="S57" s="3" t="s">
        <v>38</v>
      </c>
      <c r="T57" s="3" t="s">
        <v>39</v>
      </c>
      <c r="U57" s="3" t="s">
        <v>40</v>
      </c>
      <c r="V57" s="5">
        <v>1708.55</v>
      </c>
      <c r="W57" s="3">
        <v>726.13</v>
      </c>
      <c r="X57" s="3">
        <v>687.69</v>
      </c>
      <c r="Y57" s="3">
        <v>294.73</v>
      </c>
    </row>
    <row r="58" spans="1:25" ht="36.75" x14ac:dyDescent="0.25">
      <c r="A58" s="3" t="s">
        <v>26</v>
      </c>
      <c r="B58" s="3" t="s">
        <v>27</v>
      </c>
      <c r="C58" s="3" t="s">
        <v>28</v>
      </c>
      <c r="D58" s="3" t="s">
        <v>75</v>
      </c>
      <c r="E58" s="3" t="s">
        <v>125</v>
      </c>
      <c r="F58" s="3" t="s">
        <v>77</v>
      </c>
      <c r="G58" s="3" t="s">
        <v>125</v>
      </c>
      <c r="H58" s="3" t="s">
        <v>55</v>
      </c>
      <c r="I58" s="3">
        <v>2024</v>
      </c>
      <c r="J58" s="3" t="str">
        <f>CONCATENATE("44810892263")</f>
        <v>44810892263</v>
      </c>
      <c r="K58" s="3" t="s">
        <v>33</v>
      </c>
      <c r="L58" s="3"/>
      <c r="M58" s="3" t="s">
        <v>34</v>
      </c>
      <c r="N58" s="3" t="str">
        <f>CONCATENATE("02010690440")</f>
        <v>02010690440</v>
      </c>
      <c r="O58" s="3" t="s">
        <v>126</v>
      </c>
      <c r="P58" s="3" t="s">
        <v>36</v>
      </c>
      <c r="Q58" s="3" t="s">
        <v>119</v>
      </c>
      <c r="R58" s="4">
        <v>46080</v>
      </c>
      <c r="S58" s="3" t="s">
        <v>38</v>
      </c>
      <c r="T58" s="3" t="s">
        <v>39</v>
      </c>
      <c r="U58" s="3" t="s">
        <v>40</v>
      </c>
      <c r="V58" s="5">
        <v>3199.24</v>
      </c>
      <c r="W58" s="5">
        <v>1359.68</v>
      </c>
      <c r="X58" s="5">
        <v>1287.69</v>
      </c>
      <c r="Y58" s="3">
        <v>551.87</v>
      </c>
    </row>
    <row r="59" spans="1:25" ht="60.75" x14ac:dyDescent="0.25">
      <c r="A59" s="3" t="s">
        <v>26</v>
      </c>
      <c r="B59" s="3" t="s">
        <v>27</v>
      </c>
      <c r="C59" s="3" t="s">
        <v>28</v>
      </c>
      <c r="D59" s="3" t="s">
        <v>61</v>
      </c>
      <c r="E59" s="3" t="s">
        <v>127</v>
      </c>
      <c r="F59" s="3" t="s">
        <v>63</v>
      </c>
      <c r="G59" s="3" t="s">
        <v>127</v>
      </c>
      <c r="H59" s="3" t="s">
        <v>78</v>
      </c>
      <c r="I59" s="3">
        <v>2025</v>
      </c>
      <c r="J59" s="3" t="str">
        <f>CONCATENATE("54820113717")</f>
        <v>54820113717</v>
      </c>
      <c r="K59" s="3" t="s">
        <v>33</v>
      </c>
      <c r="L59" s="3"/>
      <c r="M59" s="3" t="s">
        <v>128</v>
      </c>
      <c r="N59" s="3" t="str">
        <f>CONCATENATE("MRLNLL63C50D749L")</f>
        <v>MRLNLL63C50D749L</v>
      </c>
      <c r="O59" s="3" t="s">
        <v>129</v>
      </c>
      <c r="P59" s="3" t="s">
        <v>36</v>
      </c>
      <c r="Q59" s="3" t="s">
        <v>130</v>
      </c>
      <c r="R59" s="4">
        <v>46084</v>
      </c>
      <c r="S59" s="3" t="s">
        <v>38</v>
      </c>
      <c r="T59" s="3" t="s">
        <v>39</v>
      </c>
      <c r="U59" s="3" t="s">
        <v>40</v>
      </c>
      <c r="V59" s="3">
        <v>941.68</v>
      </c>
      <c r="W59" s="3">
        <v>400.21</v>
      </c>
      <c r="X59" s="3">
        <v>379.03</v>
      </c>
      <c r="Y59" s="3">
        <v>162.44</v>
      </c>
    </row>
    <row r="60" spans="1:25" ht="60.75" x14ac:dyDescent="0.25">
      <c r="A60" s="3" t="s">
        <v>26</v>
      </c>
      <c r="B60" s="3" t="s">
        <v>27</v>
      </c>
      <c r="C60" s="3" t="s">
        <v>28</v>
      </c>
      <c r="D60" s="3" t="s">
        <v>61</v>
      </c>
      <c r="E60" s="3" t="s">
        <v>127</v>
      </c>
      <c r="F60" s="3" t="s">
        <v>63</v>
      </c>
      <c r="G60" s="3" t="s">
        <v>127</v>
      </c>
      <c r="H60" s="3" t="s">
        <v>78</v>
      </c>
      <c r="I60" s="3">
        <v>2025</v>
      </c>
      <c r="J60" s="3" t="str">
        <f>CONCATENATE("54820113139")</f>
        <v>54820113139</v>
      </c>
      <c r="K60" s="3" t="s">
        <v>33</v>
      </c>
      <c r="L60" s="3"/>
      <c r="M60" s="3" t="s">
        <v>128</v>
      </c>
      <c r="N60" s="3" t="str">
        <f>CONCATENATE("MCCGFR62H27L498G")</f>
        <v>MCCGFR62H27L498G</v>
      </c>
      <c r="O60" s="3" t="s">
        <v>131</v>
      </c>
      <c r="P60" s="3" t="s">
        <v>36</v>
      </c>
      <c r="Q60" s="3" t="s">
        <v>130</v>
      </c>
      <c r="R60" s="4">
        <v>46084</v>
      </c>
      <c r="S60" s="3" t="s">
        <v>38</v>
      </c>
      <c r="T60" s="3" t="s">
        <v>39</v>
      </c>
      <c r="U60" s="3" t="s">
        <v>40</v>
      </c>
      <c r="V60" s="5">
        <v>2292.06</v>
      </c>
      <c r="W60" s="3">
        <v>974.13</v>
      </c>
      <c r="X60" s="3">
        <v>922.55</v>
      </c>
      <c r="Y60" s="3">
        <v>395.38</v>
      </c>
    </row>
    <row r="61" spans="1:25" ht="60.75" x14ac:dyDescent="0.25">
      <c r="A61" s="3" t="s">
        <v>26</v>
      </c>
      <c r="B61" s="3" t="s">
        <v>27</v>
      </c>
      <c r="C61" s="3" t="s">
        <v>28</v>
      </c>
      <c r="D61" s="3" t="s">
        <v>29</v>
      </c>
      <c r="E61" s="3" t="s">
        <v>30</v>
      </c>
      <c r="F61" s="3" t="s">
        <v>31</v>
      </c>
      <c r="G61" s="3" t="s">
        <v>30</v>
      </c>
      <c r="H61" s="3" t="s">
        <v>32</v>
      </c>
      <c r="I61" s="3">
        <v>2024</v>
      </c>
      <c r="J61" s="3" t="str">
        <f>CONCATENATE("44810712818")</f>
        <v>44810712818</v>
      </c>
      <c r="K61" s="3" t="s">
        <v>33</v>
      </c>
      <c r="L61" s="3"/>
      <c r="M61" s="3" t="s">
        <v>34</v>
      </c>
      <c r="N61" s="3" t="str">
        <f>CONCATENATE("PRNFNC76R08L191H")</f>
        <v>PRNFNC76R08L191H</v>
      </c>
      <c r="O61" s="3" t="s">
        <v>132</v>
      </c>
      <c r="P61" s="3" t="s">
        <v>36</v>
      </c>
      <c r="Q61" s="3" t="s">
        <v>37</v>
      </c>
      <c r="R61" s="4">
        <v>46080</v>
      </c>
      <c r="S61" s="3" t="s">
        <v>38</v>
      </c>
      <c r="T61" s="3" t="s">
        <v>39</v>
      </c>
      <c r="U61" s="3" t="s">
        <v>40</v>
      </c>
      <c r="V61" s="3">
        <v>321.07</v>
      </c>
      <c r="W61" s="3">
        <v>136.44999999999999</v>
      </c>
      <c r="X61" s="3">
        <v>129.22999999999999</v>
      </c>
      <c r="Y61" s="3">
        <v>55.39</v>
      </c>
    </row>
    <row r="62" spans="1:25" ht="60.75" x14ac:dyDescent="0.25">
      <c r="A62" s="3" t="s">
        <v>26</v>
      </c>
      <c r="B62" s="3" t="s">
        <v>27</v>
      </c>
      <c r="C62" s="3" t="s">
        <v>28</v>
      </c>
      <c r="D62" s="3" t="s">
        <v>61</v>
      </c>
      <c r="E62" s="3" t="s">
        <v>65</v>
      </c>
      <c r="F62" s="3" t="s">
        <v>63</v>
      </c>
      <c r="G62" s="3" t="s">
        <v>65</v>
      </c>
      <c r="H62" s="3" t="s">
        <v>47</v>
      </c>
      <c r="I62" s="3">
        <v>2024</v>
      </c>
      <c r="J62" s="3" t="str">
        <f>CONCATENATE("44810463446")</f>
        <v>44810463446</v>
      </c>
      <c r="K62" s="3" t="s">
        <v>33</v>
      </c>
      <c r="L62" s="3"/>
      <c r="M62" s="3" t="s">
        <v>34</v>
      </c>
      <c r="N62" s="3" t="str">
        <f>CONCATENATE("SCCNDR88D23E388H")</f>
        <v>SCCNDR88D23E388H</v>
      </c>
      <c r="O62" s="3" t="s">
        <v>133</v>
      </c>
      <c r="P62" s="3" t="s">
        <v>36</v>
      </c>
      <c r="Q62" s="3" t="s">
        <v>37</v>
      </c>
      <c r="R62" s="4">
        <v>46080</v>
      </c>
      <c r="S62" s="3" t="s">
        <v>38</v>
      </c>
      <c r="T62" s="3" t="s">
        <v>39</v>
      </c>
      <c r="U62" s="3" t="s">
        <v>40</v>
      </c>
      <c r="V62" s="3">
        <v>251.11</v>
      </c>
      <c r="W62" s="3">
        <v>106.72</v>
      </c>
      <c r="X62" s="3">
        <v>101.07</v>
      </c>
      <c r="Y62" s="3">
        <v>43.32</v>
      </c>
    </row>
    <row r="63" spans="1:25" ht="36.75" x14ac:dyDescent="0.25">
      <c r="A63" s="3" t="s">
        <v>26</v>
      </c>
      <c r="B63" s="3" t="s">
        <v>27</v>
      </c>
      <c r="C63" s="3" t="s">
        <v>28</v>
      </c>
      <c r="D63" s="3" t="s">
        <v>44</v>
      </c>
      <c r="E63" s="3" t="s">
        <v>45</v>
      </c>
      <c r="F63" s="3" t="s">
        <v>46</v>
      </c>
      <c r="G63" s="3" t="s">
        <v>45</v>
      </c>
      <c r="H63" s="3" t="s">
        <v>47</v>
      </c>
      <c r="I63" s="3">
        <v>2024</v>
      </c>
      <c r="J63" s="3" t="str">
        <f>CONCATENATE("44810245397")</f>
        <v>44810245397</v>
      </c>
      <c r="K63" s="3" t="s">
        <v>33</v>
      </c>
      <c r="L63" s="3"/>
      <c r="M63" s="3" t="s">
        <v>34</v>
      </c>
      <c r="N63" s="3" t="str">
        <f>CONCATENATE("02887380422")</f>
        <v>02887380422</v>
      </c>
      <c r="O63" s="3" t="s">
        <v>134</v>
      </c>
      <c r="P63" s="3" t="s">
        <v>36</v>
      </c>
      <c r="Q63" s="3" t="s">
        <v>37</v>
      </c>
      <c r="R63" s="4">
        <v>46080</v>
      </c>
      <c r="S63" s="3" t="s">
        <v>38</v>
      </c>
      <c r="T63" s="3" t="s">
        <v>39</v>
      </c>
      <c r="U63" s="3" t="s">
        <v>40</v>
      </c>
      <c r="V63" s="5">
        <v>1012.36</v>
      </c>
      <c r="W63" s="3">
        <v>430.25</v>
      </c>
      <c r="X63" s="3">
        <v>407.47</v>
      </c>
      <c r="Y63" s="3">
        <v>174.64</v>
      </c>
    </row>
    <row r="64" spans="1:25" ht="60.75" x14ac:dyDescent="0.25">
      <c r="A64" s="3" t="s">
        <v>26</v>
      </c>
      <c r="B64" s="3" t="s">
        <v>27</v>
      </c>
      <c r="C64" s="3" t="s">
        <v>28</v>
      </c>
      <c r="D64" s="3" t="s">
        <v>61</v>
      </c>
      <c r="E64" s="3" t="s">
        <v>86</v>
      </c>
      <c r="F64" s="3" t="s">
        <v>63</v>
      </c>
      <c r="G64" s="3" t="s">
        <v>86</v>
      </c>
      <c r="H64" s="3" t="s">
        <v>78</v>
      </c>
      <c r="I64" s="3">
        <v>2025</v>
      </c>
      <c r="J64" s="3" t="str">
        <f>CONCATENATE("54820167838")</f>
        <v>54820167838</v>
      </c>
      <c r="K64" s="3" t="s">
        <v>33</v>
      </c>
      <c r="L64" s="3"/>
      <c r="M64" s="3" t="s">
        <v>128</v>
      </c>
      <c r="N64" s="3" t="str">
        <f>CONCATENATE("RSSLTT56A66F581T")</f>
        <v>RSSLTT56A66F581T</v>
      </c>
      <c r="O64" s="3" t="s">
        <v>135</v>
      </c>
      <c r="P64" s="3" t="s">
        <v>36</v>
      </c>
      <c r="Q64" s="3" t="s">
        <v>130</v>
      </c>
      <c r="R64" s="4">
        <v>46084</v>
      </c>
      <c r="S64" s="3" t="s">
        <v>38</v>
      </c>
      <c r="T64" s="3" t="s">
        <v>39</v>
      </c>
      <c r="U64" s="3" t="s">
        <v>40</v>
      </c>
      <c r="V64" s="5">
        <v>1017.17</v>
      </c>
      <c r="W64" s="3">
        <v>432.3</v>
      </c>
      <c r="X64" s="3">
        <v>409.41</v>
      </c>
      <c r="Y64" s="3">
        <v>175.46</v>
      </c>
    </row>
    <row r="65" spans="1:25" ht="36.75" x14ac:dyDescent="0.25">
      <c r="A65" s="3" t="s">
        <v>26</v>
      </c>
      <c r="B65" s="3" t="s">
        <v>27</v>
      </c>
      <c r="C65" s="3" t="s">
        <v>28</v>
      </c>
      <c r="D65" s="3" t="s">
        <v>75</v>
      </c>
      <c r="E65" s="3" t="s">
        <v>125</v>
      </c>
      <c r="F65" s="3" t="s">
        <v>77</v>
      </c>
      <c r="G65" s="3" t="s">
        <v>125</v>
      </c>
      <c r="H65" s="3" t="s">
        <v>55</v>
      </c>
      <c r="I65" s="3">
        <v>2024</v>
      </c>
      <c r="J65" s="3" t="str">
        <f>CONCATENATE("44810890010")</f>
        <v>44810890010</v>
      </c>
      <c r="K65" s="3" t="s">
        <v>33</v>
      </c>
      <c r="L65" s="3"/>
      <c r="M65" s="3" t="s">
        <v>34</v>
      </c>
      <c r="N65" s="3" t="str">
        <f>CONCATENATE("01891610444")</f>
        <v>01891610444</v>
      </c>
      <c r="O65" s="3" t="s">
        <v>136</v>
      </c>
      <c r="P65" s="3" t="s">
        <v>36</v>
      </c>
      <c r="Q65" s="3" t="s">
        <v>37</v>
      </c>
      <c r="R65" s="4">
        <v>46080</v>
      </c>
      <c r="S65" s="3" t="s">
        <v>38</v>
      </c>
      <c r="T65" s="3" t="s">
        <v>39</v>
      </c>
      <c r="U65" s="3" t="s">
        <v>40</v>
      </c>
      <c r="V65" s="3">
        <v>908.37</v>
      </c>
      <c r="W65" s="3">
        <v>386.06</v>
      </c>
      <c r="X65" s="3">
        <v>365.62</v>
      </c>
      <c r="Y65" s="3">
        <v>156.69</v>
      </c>
    </row>
    <row r="66" spans="1:25" ht="60.75" x14ac:dyDescent="0.25">
      <c r="A66" s="3" t="s">
        <v>26</v>
      </c>
      <c r="B66" s="3" t="s">
        <v>27</v>
      </c>
      <c r="C66" s="3" t="s">
        <v>28</v>
      </c>
      <c r="D66" s="3" t="s">
        <v>44</v>
      </c>
      <c r="E66" s="3" t="s">
        <v>45</v>
      </c>
      <c r="F66" s="3" t="s">
        <v>46</v>
      </c>
      <c r="G66" s="3" t="s">
        <v>45</v>
      </c>
      <c r="H66" s="3" t="s">
        <v>47</v>
      </c>
      <c r="I66" s="3">
        <v>2024</v>
      </c>
      <c r="J66" s="3" t="str">
        <f>CONCATENATE("44811097995")</f>
        <v>44811097995</v>
      </c>
      <c r="K66" s="3" t="s">
        <v>33</v>
      </c>
      <c r="L66" s="3"/>
      <c r="M66" s="3" t="s">
        <v>34</v>
      </c>
      <c r="N66" s="3" t="str">
        <f>CONCATENATE("CLMMRK80B06E388G")</f>
        <v>CLMMRK80B06E388G</v>
      </c>
      <c r="O66" s="3" t="s">
        <v>137</v>
      </c>
      <c r="P66" s="3" t="s">
        <v>36</v>
      </c>
      <c r="Q66" s="3" t="s">
        <v>37</v>
      </c>
      <c r="R66" s="4">
        <v>46080</v>
      </c>
      <c r="S66" s="3" t="s">
        <v>38</v>
      </c>
      <c r="T66" s="3" t="s">
        <v>39</v>
      </c>
      <c r="U66" s="3" t="s">
        <v>40</v>
      </c>
      <c r="V66" s="3">
        <v>124.64</v>
      </c>
      <c r="W66" s="3">
        <v>52.97</v>
      </c>
      <c r="X66" s="3">
        <v>50.17</v>
      </c>
      <c r="Y66" s="3">
        <v>21.5</v>
      </c>
    </row>
    <row r="67" spans="1:25" ht="60.75" x14ac:dyDescent="0.25">
      <c r="A67" s="3" t="s">
        <v>26</v>
      </c>
      <c r="B67" s="3" t="s">
        <v>27</v>
      </c>
      <c r="C67" s="3" t="s">
        <v>28</v>
      </c>
      <c r="D67" s="3" t="s">
        <v>41</v>
      </c>
      <c r="E67" s="3" t="s">
        <v>102</v>
      </c>
      <c r="F67" s="3" t="s">
        <v>41</v>
      </c>
      <c r="G67" s="3" t="s">
        <v>102</v>
      </c>
      <c r="H67" s="3" t="s">
        <v>47</v>
      </c>
      <c r="I67" s="3">
        <v>2025</v>
      </c>
      <c r="J67" s="3" t="str">
        <f>CONCATENATE("54810778594")</f>
        <v>54810778594</v>
      </c>
      <c r="K67" s="3" t="s">
        <v>33</v>
      </c>
      <c r="L67" s="3"/>
      <c r="M67" s="3" t="s">
        <v>34</v>
      </c>
      <c r="N67" s="3" t="str">
        <f>CONCATENATE("CSRGLN56A13E837V")</f>
        <v>CSRGLN56A13E837V</v>
      </c>
      <c r="O67" s="3" t="s">
        <v>103</v>
      </c>
      <c r="P67" s="3" t="s">
        <v>36</v>
      </c>
      <c r="Q67" s="3" t="s">
        <v>37</v>
      </c>
      <c r="R67" s="4">
        <v>46080</v>
      </c>
      <c r="S67" s="3" t="s">
        <v>38</v>
      </c>
      <c r="T67" s="3" t="s">
        <v>39</v>
      </c>
      <c r="U67" s="3" t="s">
        <v>40</v>
      </c>
      <c r="V67" s="5">
        <v>2249.61</v>
      </c>
      <c r="W67" s="3">
        <v>956.08</v>
      </c>
      <c r="X67" s="3">
        <v>905.47</v>
      </c>
      <c r="Y67" s="3">
        <v>388.06</v>
      </c>
    </row>
    <row r="68" spans="1:25" ht="60.75" x14ac:dyDescent="0.25">
      <c r="A68" s="3" t="s">
        <v>26</v>
      </c>
      <c r="B68" s="3" t="s">
        <v>27</v>
      </c>
      <c r="C68" s="3" t="s">
        <v>28</v>
      </c>
      <c r="D68" s="3" t="s">
        <v>75</v>
      </c>
      <c r="E68" s="3" t="s">
        <v>138</v>
      </c>
      <c r="F68" s="3" t="s">
        <v>77</v>
      </c>
      <c r="G68" s="3" t="s">
        <v>138</v>
      </c>
      <c r="H68" s="3" t="s">
        <v>47</v>
      </c>
      <c r="I68" s="3">
        <v>2025</v>
      </c>
      <c r="J68" s="3" t="str">
        <f>CONCATENATE("54810049053")</f>
        <v>54810049053</v>
      </c>
      <c r="K68" s="3" t="s">
        <v>33</v>
      </c>
      <c r="L68" s="3"/>
      <c r="M68" s="3" t="s">
        <v>34</v>
      </c>
      <c r="N68" s="3" t="str">
        <f>CONCATENATE("CLRYLN91D52G856T")</f>
        <v>CLRYLN91D52G856T</v>
      </c>
      <c r="O68" s="3" t="s">
        <v>139</v>
      </c>
      <c r="P68" s="3" t="s">
        <v>36</v>
      </c>
      <c r="Q68" s="3" t="s">
        <v>37</v>
      </c>
      <c r="R68" s="4">
        <v>46080</v>
      </c>
      <c r="S68" s="3" t="s">
        <v>38</v>
      </c>
      <c r="T68" s="3" t="s">
        <v>39</v>
      </c>
      <c r="U68" s="3" t="s">
        <v>40</v>
      </c>
      <c r="V68" s="5">
        <v>1207.76</v>
      </c>
      <c r="W68" s="3">
        <v>513.29999999999995</v>
      </c>
      <c r="X68" s="3">
        <v>486.12</v>
      </c>
      <c r="Y68" s="3">
        <v>208.34</v>
      </c>
    </row>
    <row r="69" spans="1:25" ht="60.75" x14ac:dyDescent="0.25">
      <c r="A69" s="3" t="s">
        <v>26</v>
      </c>
      <c r="B69" s="3" t="s">
        <v>27</v>
      </c>
      <c r="C69" s="3" t="s">
        <v>28</v>
      </c>
      <c r="D69" s="3" t="s">
        <v>75</v>
      </c>
      <c r="E69" s="3" t="s">
        <v>138</v>
      </c>
      <c r="F69" s="3" t="s">
        <v>77</v>
      </c>
      <c r="G69" s="3" t="s">
        <v>138</v>
      </c>
      <c r="H69" s="3" t="s">
        <v>47</v>
      </c>
      <c r="I69" s="3">
        <v>2024</v>
      </c>
      <c r="J69" s="3" t="str">
        <f>CONCATENATE("44810888022")</f>
        <v>44810888022</v>
      </c>
      <c r="K69" s="3" t="s">
        <v>33</v>
      </c>
      <c r="L69" s="3"/>
      <c r="M69" s="3" t="s">
        <v>34</v>
      </c>
      <c r="N69" s="3" t="str">
        <f>CONCATENATE("CLRYLN91D52G856T")</f>
        <v>CLRYLN91D52G856T</v>
      </c>
      <c r="O69" s="3" t="s">
        <v>139</v>
      </c>
      <c r="P69" s="3" t="s">
        <v>36</v>
      </c>
      <c r="Q69" s="3" t="s">
        <v>37</v>
      </c>
      <c r="R69" s="4">
        <v>46080</v>
      </c>
      <c r="S69" s="3" t="s">
        <v>38</v>
      </c>
      <c r="T69" s="3" t="s">
        <v>39</v>
      </c>
      <c r="U69" s="3" t="s">
        <v>40</v>
      </c>
      <c r="V69" s="5">
        <v>1207.76</v>
      </c>
      <c r="W69" s="3">
        <v>513.29999999999995</v>
      </c>
      <c r="X69" s="3">
        <v>486.12</v>
      </c>
      <c r="Y69" s="3">
        <v>208.34</v>
      </c>
    </row>
    <row r="70" spans="1:25" ht="60.75" x14ac:dyDescent="0.25">
      <c r="A70" s="3" t="s">
        <v>26</v>
      </c>
      <c r="B70" s="3" t="s">
        <v>27</v>
      </c>
      <c r="C70" s="3" t="s">
        <v>28</v>
      </c>
      <c r="D70" s="3" t="s">
        <v>61</v>
      </c>
      <c r="E70" s="3" t="s">
        <v>99</v>
      </c>
      <c r="F70" s="3" t="s">
        <v>63</v>
      </c>
      <c r="G70" s="3" t="s">
        <v>99</v>
      </c>
      <c r="H70" s="3" t="s">
        <v>47</v>
      </c>
      <c r="I70" s="3">
        <v>2024</v>
      </c>
      <c r="J70" s="3" t="str">
        <f>CONCATENATE("44811177466")</f>
        <v>44811177466</v>
      </c>
      <c r="K70" s="3" t="s">
        <v>33</v>
      </c>
      <c r="L70" s="3"/>
      <c r="M70" s="3" t="s">
        <v>34</v>
      </c>
      <c r="N70" s="3" t="str">
        <f>CONCATENATE("RGNMRA73S09F581D")</f>
        <v>RGNMRA73S09F581D</v>
      </c>
      <c r="O70" s="3" t="s">
        <v>140</v>
      </c>
      <c r="P70" s="3" t="s">
        <v>36</v>
      </c>
      <c r="Q70" s="3" t="s">
        <v>37</v>
      </c>
      <c r="R70" s="4">
        <v>46080</v>
      </c>
      <c r="S70" s="3" t="s">
        <v>38</v>
      </c>
      <c r="T70" s="3" t="s">
        <v>39</v>
      </c>
      <c r="U70" s="3" t="s">
        <v>40</v>
      </c>
      <c r="V70" s="3">
        <v>444.24</v>
      </c>
      <c r="W70" s="3">
        <v>188.8</v>
      </c>
      <c r="X70" s="3">
        <v>178.81</v>
      </c>
      <c r="Y70" s="3">
        <v>76.63</v>
      </c>
    </row>
    <row r="71" spans="1:25" ht="60.75" x14ac:dyDescent="0.25">
      <c r="A71" s="3" t="s">
        <v>26</v>
      </c>
      <c r="B71" s="3" t="s">
        <v>27</v>
      </c>
      <c r="C71" s="3" t="s">
        <v>28</v>
      </c>
      <c r="D71" s="3" t="s">
        <v>61</v>
      </c>
      <c r="E71" s="3" t="s">
        <v>99</v>
      </c>
      <c r="F71" s="3" t="s">
        <v>63</v>
      </c>
      <c r="G71" s="3" t="s">
        <v>99</v>
      </c>
      <c r="H71" s="3" t="s">
        <v>47</v>
      </c>
      <c r="I71" s="3">
        <v>2025</v>
      </c>
      <c r="J71" s="3" t="str">
        <f>CONCATENATE("54810371689")</f>
        <v>54810371689</v>
      </c>
      <c r="K71" s="3" t="s">
        <v>33</v>
      </c>
      <c r="L71" s="3"/>
      <c r="M71" s="3" t="s">
        <v>34</v>
      </c>
      <c r="N71" s="3" t="str">
        <f>CONCATENATE("RGNMRA73S09F581D")</f>
        <v>RGNMRA73S09F581D</v>
      </c>
      <c r="O71" s="3" t="s">
        <v>140</v>
      </c>
      <c r="P71" s="3" t="s">
        <v>36</v>
      </c>
      <c r="Q71" s="3" t="s">
        <v>37</v>
      </c>
      <c r="R71" s="4">
        <v>46080</v>
      </c>
      <c r="S71" s="3" t="s">
        <v>38</v>
      </c>
      <c r="T71" s="3" t="s">
        <v>39</v>
      </c>
      <c r="U71" s="3" t="s">
        <v>40</v>
      </c>
      <c r="V71" s="3">
        <v>444.24</v>
      </c>
      <c r="W71" s="3">
        <v>188.8</v>
      </c>
      <c r="X71" s="3">
        <v>178.81</v>
      </c>
      <c r="Y71" s="3">
        <v>76.63</v>
      </c>
    </row>
    <row r="72" spans="1:25" ht="60.75" x14ac:dyDescent="0.25">
      <c r="A72" s="3" t="s">
        <v>26</v>
      </c>
      <c r="B72" s="3" t="s">
        <v>27</v>
      </c>
      <c r="C72" s="3" t="s">
        <v>28</v>
      </c>
      <c r="D72" s="3" t="s">
        <v>41</v>
      </c>
      <c r="E72" s="3" t="s">
        <v>102</v>
      </c>
      <c r="F72" s="3" t="s">
        <v>41</v>
      </c>
      <c r="G72" s="3" t="s">
        <v>102</v>
      </c>
      <c r="H72" s="3" t="s">
        <v>47</v>
      </c>
      <c r="I72" s="3">
        <v>2025</v>
      </c>
      <c r="J72" s="3" t="str">
        <f>CONCATENATE("54811016853")</f>
        <v>54811016853</v>
      </c>
      <c r="K72" s="3" t="s">
        <v>33</v>
      </c>
      <c r="L72" s="3"/>
      <c r="M72" s="3" t="s">
        <v>34</v>
      </c>
      <c r="N72" s="3" t="str">
        <f>CONCATENATE("RNCDTL67S41A271A")</f>
        <v>RNCDTL67S41A271A</v>
      </c>
      <c r="O72" s="3" t="s">
        <v>141</v>
      </c>
      <c r="P72" s="3" t="s">
        <v>36</v>
      </c>
      <c r="Q72" s="3" t="s">
        <v>37</v>
      </c>
      <c r="R72" s="4">
        <v>46080</v>
      </c>
      <c r="S72" s="3" t="s">
        <v>38</v>
      </c>
      <c r="T72" s="3" t="s">
        <v>39</v>
      </c>
      <c r="U72" s="3" t="s">
        <v>40</v>
      </c>
      <c r="V72" s="3">
        <v>542.12</v>
      </c>
      <c r="W72" s="3">
        <v>230.4</v>
      </c>
      <c r="X72" s="3">
        <v>218.2</v>
      </c>
      <c r="Y72" s="3">
        <v>93.52</v>
      </c>
    </row>
    <row r="73" spans="1:25" ht="60.75" x14ac:dyDescent="0.25">
      <c r="A73" s="3" t="s">
        <v>26</v>
      </c>
      <c r="B73" s="3" t="s">
        <v>27</v>
      </c>
      <c r="C73" s="3" t="s">
        <v>28</v>
      </c>
      <c r="D73" s="3" t="s">
        <v>41</v>
      </c>
      <c r="E73" s="3" t="s">
        <v>102</v>
      </c>
      <c r="F73" s="3" t="s">
        <v>41</v>
      </c>
      <c r="G73" s="3" t="s">
        <v>102</v>
      </c>
      <c r="H73" s="3" t="s">
        <v>47</v>
      </c>
      <c r="I73" s="3">
        <v>2024</v>
      </c>
      <c r="J73" s="3" t="str">
        <f>CONCATENATE("44810578359")</f>
        <v>44810578359</v>
      </c>
      <c r="K73" s="3" t="s">
        <v>33</v>
      </c>
      <c r="L73" s="3"/>
      <c r="M73" s="3" t="s">
        <v>34</v>
      </c>
      <c r="N73" s="3" t="str">
        <f>CONCATENATE("RNCDTL67S41A271A")</f>
        <v>RNCDTL67S41A271A</v>
      </c>
      <c r="O73" s="3" t="s">
        <v>141</v>
      </c>
      <c r="P73" s="3" t="s">
        <v>36</v>
      </c>
      <c r="Q73" s="3" t="s">
        <v>37</v>
      </c>
      <c r="R73" s="4">
        <v>46080</v>
      </c>
      <c r="S73" s="3" t="s">
        <v>38</v>
      </c>
      <c r="T73" s="3" t="s">
        <v>39</v>
      </c>
      <c r="U73" s="3" t="s">
        <v>40</v>
      </c>
      <c r="V73" s="3">
        <v>542.12</v>
      </c>
      <c r="W73" s="3">
        <v>230.4</v>
      </c>
      <c r="X73" s="3">
        <v>218.2</v>
      </c>
      <c r="Y73" s="3">
        <v>93.52</v>
      </c>
    </row>
    <row r="74" spans="1:25" ht="36.75" x14ac:dyDescent="0.25">
      <c r="A74" s="3" t="s">
        <v>26</v>
      </c>
      <c r="B74" s="3" t="s">
        <v>27</v>
      </c>
      <c r="C74" s="3" t="s">
        <v>28</v>
      </c>
      <c r="D74" s="3" t="s">
        <v>41</v>
      </c>
      <c r="E74" s="3" t="s">
        <v>42</v>
      </c>
      <c r="F74" s="3" t="s">
        <v>41</v>
      </c>
      <c r="G74" s="3" t="s">
        <v>42</v>
      </c>
      <c r="H74" s="3" t="s">
        <v>32</v>
      </c>
      <c r="I74" s="3">
        <v>2025</v>
      </c>
      <c r="J74" s="3" t="str">
        <f>CONCATENATE("54810326691")</f>
        <v>54810326691</v>
      </c>
      <c r="K74" s="3" t="s">
        <v>33</v>
      </c>
      <c r="L74" s="3"/>
      <c r="M74" s="3" t="s">
        <v>34</v>
      </c>
      <c r="N74" s="3" t="str">
        <f>CONCATENATE("01900870435")</f>
        <v>01900870435</v>
      </c>
      <c r="O74" s="3" t="s">
        <v>142</v>
      </c>
      <c r="P74" s="3" t="s">
        <v>36</v>
      </c>
      <c r="Q74" s="3" t="s">
        <v>37</v>
      </c>
      <c r="R74" s="4">
        <v>46080</v>
      </c>
      <c r="S74" s="3" t="s">
        <v>38</v>
      </c>
      <c r="T74" s="3" t="s">
        <v>39</v>
      </c>
      <c r="U74" s="3" t="s">
        <v>40</v>
      </c>
      <c r="V74" s="5">
        <v>2976.2</v>
      </c>
      <c r="W74" s="5">
        <v>1264.8900000000001</v>
      </c>
      <c r="X74" s="5">
        <v>1197.92</v>
      </c>
      <c r="Y74" s="3">
        <v>513.39</v>
      </c>
    </row>
    <row r="75" spans="1:25" ht="36.75" x14ac:dyDescent="0.25">
      <c r="A75" s="3" t="s">
        <v>26</v>
      </c>
      <c r="B75" s="3" t="s">
        <v>27</v>
      </c>
      <c r="C75" s="3" t="s">
        <v>28</v>
      </c>
      <c r="D75" s="3" t="s">
        <v>41</v>
      </c>
      <c r="E75" s="3" t="s">
        <v>42</v>
      </c>
      <c r="F75" s="3" t="s">
        <v>41</v>
      </c>
      <c r="G75" s="3" t="s">
        <v>42</v>
      </c>
      <c r="H75" s="3" t="s">
        <v>32</v>
      </c>
      <c r="I75" s="3">
        <v>2024</v>
      </c>
      <c r="J75" s="3" t="str">
        <f>CONCATENATE("44810966356")</f>
        <v>44810966356</v>
      </c>
      <c r="K75" s="3" t="s">
        <v>33</v>
      </c>
      <c r="L75" s="3"/>
      <c r="M75" s="3" t="s">
        <v>34</v>
      </c>
      <c r="N75" s="3" t="str">
        <f>CONCATENATE("01900870435")</f>
        <v>01900870435</v>
      </c>
      <c r="O75" s="3" t="s">
        <v>142</v>
      </c>
      <c r="P75" s="3" t="s">
        <v>36</v>
      </c>
      <c r="Q75" s="3" t="s">
        <v>37</v>
      </c>
      <c r="R75" s="4">
        <v>46080</v>
      </c>
      <c r="S75" s="3" t="s">
        <v>38</v>
      </c>
      <c r="T75" s="3" t="s">
        <v>39</v>
      </c>
      <c r="U75" s="3" t="s">
        <v>40</v>
      </c>
      <c r="V75" s="5">
        <v>1861.33</v>
      </c>
      <c r="W75" s="3">
        <v>791.07</v>
      </c>
      <c r="X75" s="3">
        <v>749.19</v>
      </c>
      <c r="Y75" s="3">
        <v>321.07</v>
      </c>
    </row>
    <row r="76" spans="1:25" ht="36.75" x14ac:dyDescent="0.25">
      <c r="A76" s="3" t="s">
        <v>26</v>
      </c>
      <c r="B76" s="3" t="s">
        <v>27</v>
      </c>
      <c r="C76" s="3" t="s">
        <v>28</v>
      </c>
      <c r="D76" s="3" t="s">
        <v>61</v>
      </c>
      <c r="E76" s="3" t="s">
        <v>62</v>
      </c>
      <c r="F76" s="3" t="s">
        <v>63</v>
      </c>
      <c r="G76" s="3" t="s">
        <v>62</v>
      </c>
      <c r="H76" s="3" t="s">
        <v>47</v>
      </c>
      <c r="I76" s="3">
        <v>2024</v>
      </c>
      <c r="J76" s="3" t="str">
        <f>CONCATENATE("44810691046")</f>
        <v>44810691046</v>
      </c>
      <c r="K76" s="3" t="s">
        <v>33</v>
      </c>
      <c r="L76" s="3"/>
      <c r="M76" s="3" t="s">
        <v>34</v>
      </c>
      <c r="N76" s="3" t="str">
        <f>CONCATENATE("02881660423")</f>
        <v>02881660423</v>
      </c>
      <c r="O76" s="3" t="s">
        <v>143</v>
      </c>
      <c r="P76" s="3" t="s">
        <v>36</v>
      </c>
      <c r="Q76" s="3" t="s">
        <v>37</v>
      </c>
      <c r="R76" s="4">
        <v>46080</v>
      </c>
      <c r="S76" s="3" t="s">
        <v>38</v>
      </c>
      <c r="T76" s="3" t="s">
        <v>39</v>
      </c>
      <c r="U76" s="3" t="s">
        <v>40</v>
      </c>
      <c r="V76" s="3">
        <v>754.39</v>
      </c>
      <c r="W76" s="3">
        <v>320.62</v>
      </c>
      <c r="X76" s="3">
        <v>303.64</v>
      </c>
      <c r="Y76" s="3">
        <v>130.13</v>
      </c>
    </row>
    <row r="77" spans="1:25" ht="48.75" x14ac:dyDescent="0.25">
      <c r="A77" s="3" t="s">
        <v>26</v>
      </c>
      <c r="B77" s="3" t="s">
        <v>27</v>
      </c>
      <c r="C77" s="3" t="s">
        <v>28</v>
      </c>
      <c r="D77" s="3" t="s">
        <v>29</v>
      </c>
      <c r="E77" s="3" t="s">
        <v>144</v>
      </c>
      <c r="F77" s="3" t="s">
        <v>31</v>
      </c>
      <c r="G77" s="3" t="s">
        <v>144</v>
      </c>
      <c r="H77" s="3" t="s">
        <v>32</v>
      </c>
      <c r="I77" s="3">
        <v>2025</v>
      </c>
      <c r="J77" s="3" t="str">
        <f>CONCATENATE("54810213071")</f>
        <v>54810213071</v>
      </c>
      <c r="K77" s="3" t="s">
        <v>33</v>
      </c>
      <c r="L77" s="3"/>
      <c r="M77" s="3" t="s">
        <v>34</v>
      </c>
      <c r="N77" s="3" t="str">
        <f>CONCATENATE("NCLLSS89A26I156L")</f>
        <v>NCLLSS89A26I156L</v>
      </c>
      <c r="O77" s="3" t="s">
        <v>145</v>
      </c>
      <c r="P77" s="3" t="s">
        <v>36</v>
      </c>
      <c r="Q77" s="3" t="s">
        <v>37</v>
      </c>
      <c r="R77" s="4">
        <v>46080</v>
      </c>
      <c r="S77" s="3" t="s">
        <v>38</v>
      </c>
      <c r="T77" s="3" t="s">
        <v>39</v>
      </c>
      <c r="U77" s="3" t="s">
        <v>40</v>
      </c>
      <c r="V77" s="3">
        <v>355.58</v>
      </c>
      <c r="W77" s="3">
        <v>151.12</v>
      </c>
      <c r="X77" s="3">
        <v>143.12</v>
      </c>
      <c r="Y77" s="3">
        <v>61.34</v>
      </c>
    </row>
    <row r="78" spans="1:25" ht="36.75" x14ac:dyDescent="0.25">
      <c r="A78" s="3" t="s">
        <v>26</v>
      </c>
      <c r="B78" s="3" t="s">
        <v>27</v>
      </c>
      <c r="C78" s="3" t="s">
        <v>28</v>
      </c>
      <c r="D78" s="3" t="s">
        <v>61</v>
      </c>
      <c r="E78" s="3" t="s">
        <v>117</v>
      </c>
      <c r="F78" s="3" t="s">
        <v>63</v>
      </c>
      <c r="G78" s="3" t="s">
        <v>117</v>
      </c>
      <c r="H78" s="3" t="s">
        <v>55</v>
      </c>
      <c r="I78" s="3">
        <v>2025</v>
      </c>
      <c r="J78" s="3" t="str">
        <f>CONCATENATE("54810569068")</f>
        <v>54810569068</v>
      </c>
      <c r="K78" s="3" t="s">
        <v>33</v>
      </c>
      <c r="L78" s="3"/>
      <c r="M78" s="3" t="s">
        <v>34</v>
      </c>
      <c r="N78" s="3" t="str">
        <f>CONCATENATE("14446391006")</f>
        <v>14446391006</v>
      </c>
      <c r="O78" s="3" t="s">
        <v>146</v>
      </c>
      <c r="P78" s="3" t="s">
        <v>36</v>
      </c>
      <c r="Q78" s="3" t="s">
        <v>37</v>
      </c>
      <c r="R78" s="4">
        <v>46080</v>
      </c>
      <c r="S78" s="3" t="s">
        <v>38</v>
      </c>
      <c r="T78" s="3" t="s">
        <v>39</v>
      </c>
      <c r="U78" s="3" t="s">
        <v>40</v>
      </c>
      <c r="V78" s="5">
        <v>1574.56</v>
      </c>
      <c r="W78" s="3">
        <v>669.19</v>
      </c>
      <c r="X78" s="3">
        <v>633.76</v>
      </c>
      <c r="Y78" s="3">
        <v>271.61</v>
      </c>
    </row>
    <row r="79" spans="1:25" ht="60.75" x14ac:dyDescent="0.25">
      <c r="A79" s="3" t="s">
        <v>26</v>
      </c>
      <c r="B79" s="3" t="s">
        <v>27</v>
      </c>
      <c r="C79" s="3" t="s">
        <v>28</v>
      </c>
      <c r="D79" s="3" t="s">
        <v>44</v>
      </c>
      <c r="E79" s="3" t="s">
        <v>45</v>
      </c>
      <c r="F79" s="3" t="s">
        <v>46</v>
      </c>
      <c r="G79" s="3" t="s">
        <v>45</v>
      </c>
      <c r="H79" s="3" t="s">
        <v>47</v>
      </c>
      <c r="I79" s="3">
        <v>2024</v>
      </c>
      <c r="J79" s="3" t="str">
        <f>CONCATENATE("44810315661")</f>
        <v>44810315661</v>
      </c>
      <c r="K79" s="3" t="s">
        <v>33</v>
      </c>
      <c r="L79" s="3"/>
      <c r="M79" s="3" t="s">
        <v>34</v>
      </c>
      <c r="N79" s="3" t="str">
        <f>CONCATENATE("BFNMNL80S13E388P")</f>
        <v>BFNMNL80S13E388P</v>
      </c>
      <c r="O79" s="3" t="s">
        <v>147</v>
      </c>
      <c r="P79" s="3" t="s">
        <v>36</v>
      </c>
      <c r="Q79" s="3" t="s">
        <v>37</v>
      </c>
      <c r="R79" s="4">
        <v>46080</v>
      </c>
      <c r="S79" s="3" t="s">
        <v>38</v>
      </c>
      <c r="T79" s="3" t="s">
        <v>39</v>
      </c>
      <c r="U79" s="3" t="s">
        <v>40</v>
      </c>
      <c r="V79" s="3">
        <v>256.83</v>
      </c>
      <c r="W79" s="3">
        <v>109.15</v>
      </c>
      <c r="X79" s="3">
        <v>103.37</v>
      </c>
      <c r="Y79" s="3">
        <v>44.31</v>
      </c>
    </row>
    <row r="80" spans="1:25" ht="60.75" x14ac:dyDescent="0.25">
      <c r="A80" s="3" t="s">
        <v>26</v>
      </c>
      <c r="B80" s="3" t="s">
        <v>27</v>
      </c>
      <c r="C80" s="3" t="s">
        <v>28</v>
      </c>
      <c r="D80" s="3" t="s">
        <v>41</v>
      </c>
      <c r="E80" s="3" t="s">
        <v>52</v>
      </c>
      <c r="F80" s="3" t="s">
        <v>41</v>
      </c>
      <c r="G80" s="3" t="s">
        <v>52</v>
      </c>
      <c r="H80" s="3" t="s">
        <v>47</v>
      </c>
      <c r="I80" s="3">
        <v>2025</v>
      </c>
      <c r="J80" s="3" t="str">
        <f>CONCATENATE("54810156080")</f>
        <v>54810156080</v>
      </c>
      <c r="K80" s="3" t="s">
        <v>33</v>
      </c>
      <c r="L80" s="3"/>
      <c r="M80" s="3" t="s">
        <v>34</v>
      </c>
      <c r="N80" s="3" t="str">
        <f>CONCATENATE("BROFNC84B10C615H")</f>
        <v>BROFNC84B10C615H</v>
      </c>
      <c r="O80" s="3" t="s">
        <v>148</v>
      </c>
      <c r="P80" s="3" t="s">
        <v>36</v>
      </c>
      <c r="Q80" s="3" t="s">
        <v>37</v>
      </c>
      <c r="R80" s="4">
        <v>46080</v>
      </c>
      <c r="S80" s="3" t="s">
        <v>38</v>
      </c>
      <c r="T80" s="3" t="s">
        <v>39</v>
      </c>
      <c r="U80" s="3" t="s">
        <v>40</v>
      </c>
      <c r="V80" s="5">
        <v>1563.56</v>
      </c>
      <c r="W80" s="3">
        <v>664.51</v>
      </c>
      <c r="X80" s="3">
        <v>629.33000000000004</v>
      </c>
      <c r="Y80" s="3">
        <v>269.72000000000003</v>
      </c>
    </row>
    <row r="81" spans="1:25" ht="60.75" x14ac:dyDescent="0.25">
      <c r="A81" s="3" t="s">
        <v>26</v>
      </c>
      <c r="B81" s="3" t="s">
        <v>27</v>
      </c>
      <c r="C81" s="3" t="s">
        <v>28</v>
      </c>
      <c r="D81" s="3" t="s">
        <v>61</v>
      </c>
      <c r="E81" s="3" t="s">
        <v>99</v>
      </c>
      <c r="F81" s="3" t="s">
        <v>63</v>
      </c>
      <c r="G81" s="3" t="s">
        <v>99</v>
      </c>
      <c r="H81" s="3" t="s">
        <v>47</v>
      </c>
      <c r="I81" s="3">
        <v>2025</v>
      </c>
      <c r="J81" s="3" t="str">
        <f>CONCATENATE("54810371820")</f>
        <v>54810371820</v>
      </c>
      <c r="K81" s="3" t="s">
        <v>33</v>
      </c>
      <c r="L81" s="3"/>
      <c r="M81" s="3" t="s">
        <v>34</v>
      </c>
      <c r="N81" s="3" t="str">
        <f>CONCATENATE("CRCLSN87E42I608T")</f>
        <v>CRCLSN87E42I608T</v>
      </c>
      <c r="O81" s="3" t="s">
        <v>149</v>
      </c>
      <c r="P81" s="3" t="s">
        <v>36</v>
      </c>
      <c r="Q81" s="3" t="s">
        <v>37</v>
      </c>
      <c r="R81" s="4">
        <v>46080</v>
      </c>
      <c r="S81" s="3" t="s">
        <v>38</v>
      </c>
      <c r="T81" s="3" t="s">
        <v>39</v>
      </c>
      <c r="U81" s="3" t="s">
        <v>40</v>
      </c>
      <c r="V81" s="3">
        <v>385.08</v>
      </c>
      <c r="W81" s="3">
        <v>163.66</v>
      </c>
      <c r="X81" s="3">
        <v>154.99</v>
      </c>
      <c r="Y81" s="3">
        <v>66.430000000000007</v>
      </c>
    </row>
    <row r="82" spans="1:25" ht="60.75" x14ac:dyDescent="0.25">
      <c r="A82" s="3" t="s">
        <v>26</v>
      </c>
      <c r="B82" s="3" t="s">
        <v>27</v>
      </c>
      <c r="C82" s="3" t="s">
        <v>28</v>
      </c>
      <c r="D82" s="3" t="s">
        <v>61</v>
      </c>
      <c r="E82" s="3" t="s">
        <v>99</v>
      </c>
      <c r="F82" s="3" t="s">
        <v>63</v>
      </c>
      <c r="G82" s="3" t="s">
        <v>99</v>
      </c>
      <c r="H82" s="3" t="s">
        <v>47</v>
      </c>
      <c r="I82" s="3">
        <v>2024</v>
      </c>
      <c r="J82" s="3" t="str">
        <f>CONCATENATE("44810657880")</f>
        <v>44810657880</v>
      </c>
      <c r="K82" s="3" t="s">
        <v>33</v>
      </c>
      <c r="L82" s="3"/>
      <c r="M82" s="3" t="s">
        <v>34</v>
      </c>
      <c r="N82" s="3" t="str">
        <f>CONCATENATE("CRCLSN87E42I608T")</f>
        <v>CRCLSN87E42I608T</v>
      </c>
      <c r="O82" s="3" t="s">
        <v>149</v>
      </c>
      <c r="P82" s="3" t="s">
        <v>36</v>
      </c>
      <c r="Q82" s="3" t="s">
        <v>37</v>
      </c>
      <c r="R82" s="4">
        <v>46080</v>
      </c>
      <c r="S82" s="3" t="s">
        <v>38</v>
      </c>
      <c r="T82" s="3" t="s">
        <v>39</v>
      </c>
      <c r="U82" s="3" t="s">
        <v>40</v>
      </c>
      <c r="V82" s="3">
        <v>385.08</v>
      </c>
      <c r="W82" s="3">
        <v>163.66</v>
      </c>
      <c r="X82" s="3">
        <v>154.99</v>
      </c>
      <c r="Y82" s="3">
        <v>66.430000000000007</v>
      </c>
    </row>
    <row r="83" spans="1:25" ht="60.75" x14ac:dyDescent="0.25">
      <c r="A83" s="3" t="s">
        <v>26</v>
      </c>
      <c r="B83" s="3" t="s">
        <v>27</v>
      </c>
      <c r="C83" s="3" t="s">
        <v>28</v>
      </c>
      <c r="D83" s="3" t="s">
        <v>61</v>
      </c>
      <c r="E83" s="3" t="s">
        <v>65</v>
      </c>
      <c r="F83" s="3" t="s">
        <v>63</v>
      </c>
      <c r="G83" s="3" t="s">
        <v>65</v>
      </c>
      <c r="H83" s="3" t="s">
        <v>47</v>
      </c>
      <c r="I83" s="3">
        <v>2025</v>
      </c>
      <c r="J83" s="3" t="str">
        <f>CONCATENATE("54810159159")</f>
        <v>54810159159</v>
      </c>
      <c r="K83" s="3" t="s">
        <v>33</v>
      </c>
      <c r="L83" s="3"/>
      <c r="M83" s="3" t="s">
        <v>34</v>
      </c>
      <c r="N83" s="3" t="str">
        <f>CONCATENATE("BRNLSS84L07A271E")</f>
        <v>BRNLSS84L07A271E</v>
      </c>
      <c r="O83" s="3" t="s">
        <v>150</v>
      </c>
      <c r="P83" s="3" t="s">
        <v>36</v>
      </c>
      <c r="Q83" s="3" t="s">
        <v>37</v>
      </c>
      <c r="R83" s="4">
        <v>46080</v>
      </c>
      <c r="S83" s="3" t="s">
        <v>38</v>
      </c>
      <c r="T83" s="3" t="s">
        <v>39</v>
      </c>
      <c r="U83" s="3" t="s">
        <v>40</v>
      </c>
      <c r="V83" s="5">
        <v>1040.3</v>
      </c>
      <c r="W83" s="3">
        <v>442.13</v>
      </c>
      <c r="X83" s="3">
        <v>418.72</v>
      </c>
      <c r="Y83" s="3">
        <v>179.45</v>
      </c>
    </row>
    <row r="84" spans="1:25" ht="60.75" x14ac:dyDescent="0.25">
      <c r="A84" s="3" t="s">
        <v>26</v>
      </c>
      <c r="B84" s="3" t="s">
        <v>27</v>
      </c>
      <c r="C84" s="3" t="s">
        <v>28</v>
      </c>
      <c r="D84" s="3" t="s">
        <v>61</v>
      </c>
      <c r="E84" s="3" t="s">
        <v>65</v>
      </c>
      <c r="F84" s="3" t="s">
        <v>63</v>
      </c>
      <c r="G84" s="3" t="s">
        <v>65</v>
      </c>
      <c r="H84" s="3" t="s">
        <v>47</v>
      </c>
      <c r="I84" s="3">
        <v>2024</v>
      </c>
      <c r="J84" s="3" t="str">
        <f>CONCATENATE("44810042695")</f>
        <v>44810042695</v>
      </c>
      <c r="K84" s="3" t="s">
        <v>33</v>
      </c>
      <c r="L84" s="3"/>
      <c r="M84" s="3" t="s">
        <v>34</v>
      </c>
      <c r="N84" s="3" t="str">
        <f>CONCATENATE("BRNLSS84L07A271E")</f>
        <v>BRNLSS84L07A271E</v>
      </c>
      <c r="O84" s="3" t="s">
        <v>150</v>
      </c>
      <c r="P84" s="3" t="s">
        <v>36</v>
      </c>
      <c r="Q84" s="3" t="s">
        <v>37</v>
      </c>
      <c r="R84" s="4">
        <v>46080</v>
      </c>
      <c r="S84" s="3" t="s">
        <v>38</v>
      </c>
      <c r="T84" s="3" t="s">
        <v>39</v>
      </c>
      <c r="U84" s="3" t="s">
        <v>40</v>
      </c>
      <c r="V84" s="3">
        <v>669.56</v>
      </c>
      <c r="W84" s="3">
        <v>284.56</v>
      </c>
      <c r="X84" s="3">
        <v>269.5</v>
      </c>
      <c r="Y84" s="3">
        <v>115.5</v>
      </c>
    </row>
    <row r="85" spans="1:25" ht="72.75" x14ac:dyDescent="0.25">
      <c r="A85" s="3" t="s">
        <v>26</v>
      </c>
      <c r="B85" s="3" t="s">
        <v>27</v>
      </c>
      <c r="C85" s="3" t="s">
        <v>28</v>
      </c>
      <c r="D85" s="3" t="s">
        <v>61</v>
      </c>
      <c r="E85" s="3" t="s">
        <v>62</v>
      </c>
      <c r="F85" s="3" t="s">
        <v>63</v>
      </c>
      <c r="G85" s="3" t="s">
        <v>62</v>
      </c>
      <c r="H85" s="3" t="s">
        <v>47</v>
      </c>
      <c r="I85" s="3">
        <v>2025</v>
      </c>
      <c r="J85" s="3" t="str">
        <f>CONCATENATE("54810275716")</f>
        <v>54810275716</v>
      </c>
      <c r="K85" s="3" t="s">
        <v>33</v>
      </c>
      <c r="L85" s="3"/>
      <c r="M85" s="3" t="s">
        <v>34</v>
      </c>
      <c r="N85" s="3" t="str">
        <f>CONCATENATE("CRBPRZ61M70G771M")</f>
        <v>CRBPRZ61M70G771M</v>
      </c>
      <c r="O85" s="3" t="s">
        <v>151</v>
      </c>
      <c r="P85" s="3" t="s">
        <v>36</v>
      </c>
      <c r="Q85" s="3" t="s">
        <v>37</v>
      </c>
      <c r="R85" s="4">
        <v>46080</v>
      </c>
      <c r="S85" s="3" t="s">
        <v>38</v>
      </c>
      <c r="T85" s="3" t="s">
        <v>39</v>
      </c>
      <c r="U85" s="3" t="s">
        <v>40</v>
      </c>
      <c r="V85" s="5">
        <v>2884.79</v>
      </c>
      <c r="W85" s="5">
        <v>1226.04</v>
      </c>
      <c r="X85" s="5">
        <v>1161.1300000000001</v>
      </c>
      <c r="Y85" s="3">
        <v>497.62</v>
      </c>
    </row>
    <row r="86" spans="1:25" ht="72.75" x14ac:dyDescent="0.25">
      <c r="A86" s="3" t="s">
        <v>26</v>
      </c>
      <c r="B86" s="3" t="s">
        <v>27</v>
      </c>
      <c r="C86" s="3" t="s">
        <v>28</v>
      </c>
      <c r="D86" s="3" t="s">
        <v>61</v>
      </c>
      <c r="E86" s="3" t="s">
        <v>62</v>
      </c>
      <c r="F86" s="3" t="s">
        <v>63</v>
      </c>
      <c r="G86" s="3" t="s">
        <v>62</v>
      </c>
      <c r="H86" s="3" t="s">
        <v>47</v>
      </c>
      <c r="I86" s="3">
        <v>2024</v>
      </c>
      <c r="J86" s="3" t="str">
        <f>CONCATENATE("44811477940")</f>
        <v>44811477940</v>
      </c>
      <c r="K86" s="3" t="s">
        <v>33</v>
      </c>
      <c r="L86" s="3"/>
      <c r="M86" s="3" t="s">
        <v>34</v>
      </c>
      <c r="N86" s="3" t="str">
        <f>CONCATENATE("CRBPRZ61M70G771M")</f>
        <v>CRBPRZ61M70G771M</v>
      </c>
      <c r="O86" s="3" t="s">
        <v>151</v>
      </c>
      <c r="P86" s="3" t="s">
        <v>36</v>
      </c>
      <c r="Q86" s="3" t="s">
        <v>37</v>
      </c>
      <c r="R86" s="4">
        <v>46080</v>
      </c>
      <c r="S86" s="3" t="s">
        <v>38</v>
      </c>
      <c r="T86" s="3" t="s">
        <v>39</v>
      </c>
      <c r="U86" s="3" t="s">
        <v>40</v>
      </c>
      <c r="V86" s="5">
        <v>2884.79</v>
      </c>
      <c r="W86" s="5">
        <v>1226.04</v>
      </c>
      <c r="X86" s="5">
        <v>1161.1300000000001</v>
      </c>
      <c r="Y86" s="3">
        <v>497.62</v>
      </c>
    </row>
    <row r="87" spans="1:25" ht="60.75" x14ac:dyDescent="0.25">
      <c r="A87" s="3" t="s">
        <v>26</v>
      </c>
      <c r="B87" s="3" t="s">
        <v>27</v>
      </c>
      <c r="C87" s="3" t="s">
        <v>28</v>
      </c>
      <c r="D87" s="3" t="s">
        <v>44</v>
      </c>
      <c r="E87" s="3" t="s">
        <v>45</v>
      </c>
      <c r="F87" s="3" t="s">
        <v>46</v>
      </c>
      <c r="G87" s="3" t="s">
        <v>45</v>
      </c>
      <c r="H87" s="3" t="s">
        <v>47</v>
      </c>
      <c r="I87" s="3">
        <v>2024</v>
      </c>
      <c r="J87" s="3" t="str">
        <f>CONCATENATE("44811104189")</f>
        <v>44811104189</v>
      </c>
      <c r="K87" s="3" t="s">
        <v>33</v>
      </c>
      <c r="L87" s="3"/>
      <c r="M87" s="3" t="s">
        <v>34</v>
      </c>
      <c r="N87" s="3" t="str">
        <f>CONCATENATE("BGTRRT71E09E388U")</f>
        <v>BGTRRT71E09E388U</v>
      </c>
      <c r="O87" s="3" t="s">
        <v>152</v>
      </c>
      <c r="P87" s="3" t="s">
        <v>36</v>
      </c>
      <c r="Q87" s="3" t="s">
        <v>37</v>
      </c>
      <c r="R87" s="4">
        <v>46080</v>
      </c>
      <c r="S87" s="3" t="s">
        <v>38</v>
      </c>
      <c r="T87" s="3" t="s">
        <v>39</v>
      </c>
      <c r="U87" s="3" t="s">
        <v>40</v>
      </c>
      <c r="V87" s="3">
        <v>886.74</v>
      </c>
      <c r="W87" s="3">
        <v>376.86</v>
      </c>
      <c r="X87" s="3">
        <v>356.91</v>
      </c>
      <c r="Y87" s="3">
        <v>152.97</v>
      </c>
    </row>
    <row r="88" spans="1:25" ht="60.75" x14ac:dyDescent="0.25">
      <c r="A88" s="3" t="s">
        <v>26</v>
      </c>
      <c r="B88" s="3" t="s">
        <v>27</v>
      </c>
      <c r="C88" s="3" t="s">
        <v>28</v>
      </c>
      <c r="D88" s="3" t="s">
        <v>61</v>
      </c>
      <c r="E88" s="3" t="s">
        <v>65</v>
      </c>
      <c r="F88" s="3" t="s">
        <v>63</v>
      </c>
      <c r="G88" s="3" t="s">
        <v>65</v>
      </c>
      <c r="H88" s="3" t="s">
        <v>47</v>
      </c>
      <c r="I88" s="3">
        <v>2024</v>
      </c>
      <c r="J88" s="3" t="str">
        <f>CONCATENATE("44810014306")</f>
        <v>44810014306</v>
      </c>
      <c r="K88" s="3" t="s">
        <v>33</v>
      </c>
      <c r="L88" s="3"/>
      <c r="M88" s="3" t="s">
        <v>34</v>
      </c>
      <c r="N88" s="3" t="str">
        <f>CONCATENATE("CNDCRL63E17F634T")</f>
        <v>CNDCRL63E17F634T</v>
      </c>
      <c r="O88" s="3" t="s">
        <v>153</v>
      </c>
      <c r="P88" s="3" t="s">
        <v>36</v>
      </c>
      <c r="Q88" s="3" t="s">
        <v>37</v>
      </c>
      <c r="R88" s="4">
        <v>46080</v>
      </c>
      <c r="S88" s="3" t="s">
        <v>38</v>
      </c>
      <c r="T88" s="3" t="s">
        <v>39</v>
      </c>
      <c r="U88" s="3" t="s">
        <v>40</v>
      </c>
      <c r="V88" s="3">
        <v>156.9</v>
      </c>
      <c r="W88" s="3">
        <v>66.680000000000007</v>
      </c>
      <c r="X88" s="3">
        <v>63.15</v>
      </c>
      <c r="Y88" s="3">
        <v>27.07</v>
      </c>
    </row>
    <row r="89" spans="1:25" ht="60.75" x14ac:dyDescent="0.25">
      <c r="A89" s="3" t="s">
        <v>26</v>
      </c>
      <c r="B89" s="3" t="s">
        <v>27</v>
      </c>
      <c r="C89" s="3" t="s">
        <v>28</v>
      </c>
      <c r="D89" s="3" t="s">
        <v>61</v>
      </c>
      <c r="E89" s="3" t="s">
        <v>65</v>
      </c>
      <c r="F89" s="3" t="s">
        <v>63</v>
      </c>
      <c r="G89" s="3" t="s">
        <v>65</v>
      </c>
      <c r="H89" s="3" t="s">
        <v>47</v>
      </c>
      <c r="I89" s="3">
        <v>2025</v>
      </c>
      <c r="J89" s="3" t="str">
        <f>CONCATENATE("54810463197")</f>
        <v>54810463197</v>
      </c>
      <c r="K89" s="3" t="s">
        <v>33</v>
      </c>
      <c r="L89" s="3"/>
      <c r="M89" s="3" t="s">
        <v>34</v>
      </c>
      <c r="N89" s="3" t="str">
        <f>CONCATENATE("CNDCRL63E17F634T")</f>
        <v>CNDCRL63E17F634T</v>
      </c>
      <c r="O89" s="3" t="s">
        <v>153</v>
      </c>
      <c r="P89" s="3" t="s">
        <v>36</v>
      </c>
      <c r="Q89" s="3" t="s">
        <v>37</v>
      </c>
      <c r="R89" s="4">
        <v>46080</v>
      </c>
      <c r="S89" s="3" t="s">
        <v>38</v>
      </c>
      <c r="T89" s="3" t="s">
        <v>39</v>
      </c>
      <c r="U89" s="3" t="s">
        <v>40</v>
      </c>
      <c r="V89" s="3">
        <v>234.6</v>
      </c>
      <c r="W89" s="3">
        <v>99.71</v>
      </c>
      <c r="X89" s="3">
        <v>94.43</v>
      </c>
      <c r="Y89" s="3">
        <v>40.46</v>
      </c>
    </row>
    <row r="90" spans="1:25" ht="60.75" x14ac:dyDescent="0.25">
      <c r="A90" s="3" t="s">
        <v>26</v>
      </c>
      <c r="B90" s="3" t="s">
        <v>27</v>
      </c>
      <c r="C90" s="3" t="s">
        <v>28</v>
      </c>
      <c r="D90" s="3" t="s">
        <v>61</v>
      </c>
      <c r="E90" s="3" t="s">
        <v>65</v>
      </c>
      <c r="F90" s="3" t="s">
        <v>63</v>
      </c>
      <c r="G90" s="3" t="s">
        <v>65</v>
      </c>
      <c r="H90" s="3" t="s">
        <v>47</v>
      </c>
      <c r="I90" s="3">
        <v>2025</v>
      </c>
      <c r="J90" s="3" t="str">
        <f>CONCATENATE("54810073020")</f>
        <v>54810073020</v>
      </c>
      <c r="K90" s="3" t="s">
        <v>33</v>
      </c>
      <c r="L90" s="3"/>
      <c r="M90" s="3" t="s">
        <v>34</v>
      </c>
      <c r="N90" s="3" t="str">
        <f>CONCATENATE("CNSVLR85P09E388C")</f>
        <v>CNSVLR85P09E388C</v>
      </c>
      <c r="O90" s="3" t="s">
        <v>154</v>
      </c>
      <c r="P90" s="3" t="s">
        <v>36</v>
      </c>
      <c r="Q90" s="3" t="s">
        <v>37</v>
      </c>
      <c r="R90" s="4">
        <v>46080</v>
      </c>
      <c r="S90" s="3" t="s">
        <v>38</v>
      </c>
      <c r="T90" s="3" t="s">
        <v>39</v>
      </c>
      <c r="U90" s="3" t="s">
        <v>40</v>
      </c>
      <c r="V90" s="3">
        <v>249.8</v>
      </c>
      <c r="W90" s="3">
        <v>106.17</v>
      </c>
      <c r="X90" s="3">
        <v>100.54</v>
      </c>
      <c r="Y90" s="3">
        <v>43.09</v>
      </c>
    </row>
    <row r="91" spans="1:25" ht="60.75" x14ac:dyDescent="0.25">
      <c r="A91" s="3" t="s">
        <v>26</v>
      </c>
      <c r="B91" s="3" t="s">
        <v>27</v>
      </c>
      <c r="C91" s="3" t="s">
        <v>28</v>
      </c>
      <c r="D91" s="3" t="s">
        <v>61</v>
      </c>
      <c r="E91" s="3" t="s">
        <v>65</v>
      </c>
      <c r="F91" s="3" t="s">
        <v>63</v>
      </c>
      <c r="G91" s="3" t="s">
        <v>65</v>
      </c>
      <c r="H91" s="3" t="s">
        <v>47</v>
      </c>
      <c r="I91" s="3">
        <v>2024</v>
      </c>
      <c r="J91" s="3" t="str">
        <f>CONCATENATE("44810788867")</f>
        <v>44810788867</v>
      </c>
      <c r="K91" s="3" t="s">
        <v>33</v>
      </c>
      <c r="L91" s="3"/>
      <c r="M91" s="3" t="s">
        <v>34</v>
      </c>
      <c r="N91" s="3" t="str">
        <f>CONCATENATE("CNSVLR85P09E388C")</f>
        <v>CNSVLR85P09E388C</v>
      </c>
      <c r="O91" s="3" t="s">
        <v>154</v>
      </c>
      <c r="P91" s="3" t="s">
        <v>36</v>
      </c>
      <c r="Q91" s="3" t="s">
        <v>37</v>
      </c>
      <c r="R91" s="4">
        <v>46080</v>
      </c>
      <c r="S91" s="3" t="s">
        <v>38</v>
      </c>
      <c r="T91" s="3" t="s">
        <v>39</v>
      </c>
      <c r="U91" s="3" t="s">
        <v>40</v>
      </c>
      <c r="V91" s="3">
        <v>169.63</v>
      </c>
      <c r="W91" s="3">
        <v>72.09</v>
      </c>
      <c r="X91" s="3">
        <v>68.28</v>
      </c>
      <c r="Y91" s="3">
        <v>29.26</v>
      </c>
    </row>
    <row r="92" spans="1:25" ht="60.75" x14ac:dyDescent="0.25">
      <c r="A92" s="3" t="s">
        <v>26</v>
      </c>
      <c r="B92" s="3" t="s">
        <v>27</v>
      </c>
      <c r="C92" s="3" t="s">
        <v>28</v>
      </c>
      <c r="D92" s="3" t="s">
        <v>44</v>
      </c>
      <c r="E92" s="3" t="s">
        <v>49</v>
      </c>
      <c r="F92" s="3" t="s">
        <v>46</v>
      </c>
      <c r="G92" s="3" t="s">
        <v>49</v>
      </c>
      <c r="H92" s="3" t="s">
        <v>47</v>
      </c>
      <c r="I92" s="3">
        <v>2024</v>
      </c>
      <c r="J92" s="3" t="str">
        <f>CONCATENATE("44810477164")</f>
        <v>44810477164</v>
      </c>
      <c r="K92" s="3" t="s">
        <v>33</v>
      </c>
      <c r="L92" s="3"/>
      <c r="M92" s="3" t="s">
        <v>34</v>
      </c>
      <c r="N92" s="3" t="str">
        <f>CONCATENATE("CRBDNN53D02A366K")</f>
        <v>CRBDNN53D02A366K</v>
      </c>
      <c r="O92" s="3" t="s">
        <v>155</v>
      </c>
      <c r="P92" s="3" t="s">
        <v>36</v>
      </c>
      <c r="Q92" s="3" t="s">
        <v>37</v>
      </c>
      <c r="R92" s="4">
        <v>46080</v>
      </c>
      <c r="S92" s="3" t="s">
        <v>38</v>
      </c>
      <c r="T92" s="3" t="s">
        <v>39</v>
      </c>
      <c r="U92" s="3" t="s">
        <v>40</v>
      </c>
      <c r="V92" s="3">
        <v>937</v>
      </c>
      <c r="W92" s="3">
        <v>398.23</v>
      </c>
      <c r="X92" s="3">
        <v>377.14</v>
      </c>
      <c r="Y92" s="3">
        <v>161.63</v>
      </c>
    </row>
    <row r="93" spans="1:25" ht="36.75" x14ac:dyDescent="0.25">
      <c r="A93" s="3" t="s">
        <v>26</v>
      </c>
      <c r="B93" s="3" t="s">
        <v>27</v>
      </c>
      <c r="C93" s="3" t="s">
        <v>28</v>
      </c>
      <c r="D93" s="3" t="s">
        <v>44</v>
      </c>
      <c r="E93" s="3" t="s">
        <v>115</v>
      </c>
      <c r="F93" s="3" t="s">
        <v>46</v>
      </c>
      <c r="G93" s="3" t="s">
        <v>115</v>
      </c>
      <c r="H93" s="3" t="s">
        <v>78</v>
      </c>
      <c r="I93" s="3">
        <v>2024</v>
      </c>
      <c r="J93" s="3" t="str">
        <f>CONCATENATE("44810778231")</f>
        <v>44810778231</v>
      </c>
      <c r="K93" s="3" t="s">
        <v>33</v>
      </c>
      <c r="L93" s="3"/>
      <c r="M93" s="3" t="s">
        <v>34</v>
      </c>
      <c r="N93" s="3" t="str">
        <f>CONCATENATE("02374490411")</f>
        <v>02374490411</v>
      </c>
      <c r="O93" s="3" t="s">
        <v>156</v>
      </c>
      <c r="P93" s="3" t="s">
        <v>36</v>
      </c>
      <c r="Q93" s="3" t="s">
        <v>37</v>
      </c>
      <c r="R93" s="4">
        <v>46080</v>
      </c>
      <c r="S93" s="3" t="s">
        <v>38</v>
      </c>
      <c r="T93" s="3" t="s">
        <v>39</v>
      </c>
      <c r="U93" s="3" t="s">
        <v>40</v>
      </c>
      <c r="V93" s="3">
        <v>883.48</v>
      </c>
      <c r="W93" s="3">
        <v>375.48</v>
      </c>
      <c r="X93" s="3">
        <v>355.6</v>
      </c>
      <c r="Y93" s="3">
        <v>152.4</v>
      </c>
    </row>
    <row r="94" spans="1:25" ht="60.75" x14ac:dyDescent="0.25">
      <c r="A94" s="3" t="s">
        <v>26</v>
      </c>
      <c r="B94" s="3" t="s">
        <v>27</v>
      </c>
      <c r="C94" s="3" t="s">
        <v>28</v>
      </c>
      <c r="D94" s="3" t="s">
        <v>41</v>
      </c>
      <c r="E94" s="3" t="s">
        <v>102</v>
      </c>
      <c r="F94" s="3" t="s">
        <v>41</v>
      </c>
      <c r="G94" s="3" t="s">
        <v>102</v>
      </c>
      <c r="H94" s="3" t="s">
        <v>47</v>
      </c>
      <c r="I94" s="3">
        <v>2024</v>
      </c>
      <c r="J94" s="3" t="str">
        <f>CONCATENATE("44810657559")</f>
        <v>44810657559</v>
      </c>
      <c r="K94" s="3" t="s">
        <v>33</v>
      </c>
      <c r="L94" s="3"/>
      <c r="M94" s="3" t="s">
        <v>34</v>
      </c>
      <c r="N94" s="3" t="str">
        <f>CONCATENATE("CMRMRC80D01D211E")</f>
        <v>CMRMRC80D01D211E</v>
      </c>
      <c r="O94" s="3" t="s">
        <v>157</v>
      </c>
      <c r="P94" s="3" t="s">
        <v>36</v>
      </c>
      <c r="Q94" s="3" t="s">
        <v>37</v>
      </c>
      <c r="R94" s="4">
        <v>46080</v>
      </c>
      <c r="S94" s="3" t="s">
        <v>38</v>
      </c>
      <c r="T94" s="3" t="s">
        <v>39</v>
      </c>
      <c r="U94" s="3" t="s">
        <v>40</v>
      </c>
      <c r="V94" s="3">
        <v>443.08</v>
      </c>
      <c r="W94" s="3">
        <v>188.31</v>
      </c>
      <c r="X94" s="3">
        <v>178.34</v>
      </c>
      <c r="Y94" s="3">
        <v>76.430000000000007</v>
      </c>
    </row>
    <row r="95" spans="1:25" ht="60.75" x14ac:dyDescent="0.25">
      <c r="A95" s="3" t="s">
        <v>26</v>
      </c>
      <c r="B95" s="3" t="s">
        <v>27</v>
      </c>
      <c r="C95" s="3" t="s">
        <v>28</v>
      </c>
      <c r="D95" s="3" t="s">
        <v>41</v>
      </c>
      <c r="E95" s="3" t="s">
        <v>102</v>
      </c>
      <c r="F95" s="3" t="s">
        <v>41</v>
      </c>
      <c r="G95" s="3" t="s">
        <v>102</v>
      </c>
      <c r="H95" s="3" t="s">
        <v>47</v>
      </c>
      <c r="I95" s="3">
        <v>2025</v>
      </c>
      <c r="J95" s="3" t="str">
        <f>CONCATENATE("54810488939")</f>
        <v>54810488939</v>
      </c>
      <c r="K95" s="3" t="s">
        <v>33</v>
      </c>
      <c r="L95" s="3"/>
      <c r="M95" s="3" t="s">
        <v>34</v>
      </c>
      <c r="N95" s="3" t="str">
        <f>CONCATENATE("CMRMRC80D01D211E")</f>
        <v>CMRMRC80D01D211E</v>
      </c>
      <c r="O95" s="3" t="s">
        <v>157</v>
      </c>
      <c r="P95" s="3" t="s">
        <v>36</v>
      </c>
      <c r="Q95" s="3" t="s">
        <v>37</v>
      </c>
      <c r="R95" s="4">
        <v>46080</v>
      </c>
      <c r="S95" s="3" t="s">
        <v>38</v>
      </c>
      <c r="T95" s="3" t="s">
        <v>39</v>
      </c>
      <c r="U95" s="3" t="s">
        <v>40</v>
      </c>
      <c r="V95" s="3">
        <v>443.08</v>
      </c>
      <c r="W95" s="3">
        <v>188.31</v>
      </c>
      <c r="X95" s="3">
        <v>178.34</v>
      </c>
      <c r="Y95" s="3">
        <v>76.430000000000007</v>
      </c>
    </row>
    <row r="96" spans="1:25" ht="36.75" x14ac:dyDescent="0.25">
      <c r="A96" s="3" t="s">
        <v>26</v>
      </c>
      <c r="B96" s="3" t="s">
        <v>27</v>
      </c>
      <c r="C96" s="3" t="s">
        <v>28</v>
      </c>
      <c r="D96" s="3" t="s">
        <v>44</v>
      </c>
      <c r="E96" s="3" t="s">
        <v>45</v>
      </c>
      <c r="F96" s="3" t="s">
        <v>46</v>
      </c>
      <c r="G96" s="3" t="s">
        <v>45</v>
      </c>
      <c r="H96" s="3" t="s">
        <v>47</v>
      </c>
      <c r="I96" s="3">
        <v>2024</v>
      </c>
      <c r="J96" s="3" t="str">
        <f>CONCATENATE("44810306942")</f>
        <v>44810306942</v>
      </c>
      <c r="K96" s="3" t="s">
        <v>33</v>
      </c>
      <c r="L96" s="3"/>
      <c r="M96" s="3" t="s">
        <v>34</v>
      </c>
      <c r="N96" s="3" t="str">
        <f>CONCATENATE("02708000423")</f>
        <v>02708000423</v>
      </c>
      <c r="O96" s="3" t="s">
        <v>158</v>
      </c>
      <c r="P96" s="3" t="s">
        <v>36</v>
      </c>
      <c r="Q96" s="3" t="s">
        <v>37</v>
      </c>
      <c r="R96" s="4">
        <v>46080</v>
      </c>
      <c r="S96" s="3" t="s">
        <v>38</v>
      </c>
      <c r="T96" s="3" t="s">
        <v>39</v>
      </c>
      <c r="U96" s="3" t="s">
        <v>40</v>
      </c>
      <c r="V96" s="3">
        <v>385.88</v>
      </c>
      <c r="W96" s="3">
        <v>164</v>
      </c>
      <c r="X96" s="3">
        <v>155.32</v>
      </c>
      <c r="Y96" s="3">
        <v>66.56</v>
      </c>
    </row>
    <row r="97" spans="1:25" ht="60.75" x14ac:dyDescent="0.25">
      <c r="A97" s="3" t="s">
        <v>26</v>
      </c>
      <c r="B97" s="3" t="s">
        <v>27</v>
      </c>
      <c r="C97" s="3" t="s">
        <v>28</v>
      </c>
      <c r="D97" s="3" t="s">
        <v>44</v>
      </c>
      <c r="E97" s="3" t="s">
        <v>54</v>
      </c>
      <c r="F97" s="3" t="s">
        <v>46</v>
      </c>
      <c r="G97" s="3" t="s">
        <v>54</v>
      </c>
      <c r="H97" s="3" t="s">
        <v>55</v>
      </c>
      <c r="I97" s="3">
        <v>2025</v>
      </c>
      <c r="J97" s="3" t="str">
        <f>CONCATENATE("54810147329")</f>
        <v>54810147329</v>
      </c>
      <c r="K97" s="3" t="s">
        <v>33</v>
      </c>
      <c r="L97" s="3"/>
      <c r="M97" s="3" t="s">
        <v>34</v>
      </c>
      <c r="N97" s="3" t="str">
        <f>CONCATENATE("CRUMRZ74E14G516C")</f>
        <v>CRUMRZ74E14G516C</v>
      </c>
      <c r="O97" s="3" t="s">
        <v>159</v>
      </c>
      <c r="P97" s="3" t="s">
        <v>36</v>
      </c>
      <c r="Q97" s="3" t="s">
        <v>37</v>
      </c>
      <c r="R97" s="4">
        <v>46080</v>
      </c>
      <c r="S97" s="3" t="s">
        <v>38</v>
      </c>
      <c r="T97" s="3" t="s">
        <v>39</v>
      </c>
      <c r="U97" s="3" t="s">
        <v>40</v>
      </c>
      <c r="V97" s="5">
        <v>1672.51</v>
      </c>
      <c r="W97" s="3">
        <v>710.82</v>
      </c>
      <c r="X97" s="3">
        <v>673.19</v>
      </c>
      <c r="Y97" s="3">
        <v>288.5</v>
      </c>
    </row>
    <row r="98" spans="1:25" ht="60.75" x14ac:dyDescent="0.25">
      <c r="A98" s="3" t="s">
        <v>26</v>
      </c>
      <c r="B98" s="3" t="s">
        <v>27</v>
      </c>
      <c r="C98" s="3" t="s">
        <v>28</v>
      </c>
      <c r="D98" s="3" t="s">
        <v>44</v>
      </c>
      <c r="E98" s="3" t="s">
        <v>45</v>
      </c>
      <c r="F98" s="3" t="s">
        <v>46</v>
      </c>
      <c r="G98" s="3" t="s">
        <v>45</v>
      </c>
      <c r="H98" s="3" t="s">
        <v>47</v>
      </c>
      <c r="I98" s="3">
        <v>2024</v>
      </c>
      <c r="J98" s="3" t="str">
        <f>CONCATENATE("44810858140")</f>
        <v>44810858140</v>
      </c>
      <c r="K98" s="3" t="s">
        <v>33</v>
      </c>
      <c r="L98" s="3"/>
      <c r="M98" s="3" t="s">
        <v>34</v>
      </c>
      <c r="N98" s="3" t="str">
        <f>CONCATENATE("DCAHSN91D11Z100U")</f>
        <v>DCAHSN91D11Z100U</v>
      </c>
      <c r="O98" s="3" t="s">
        <v>160</v>
      </c>
      <c r="P98" s="3" t="s">
        <v>36</v>
      </c>
      <c r="Q98" s="3" t="s">
        <v>37</v>
      </c>
      <c r="R98" s="4">
        <v>46080</v>
      </c>
      <c r="S98" s="3" t="s">
        <v>38</v>
      </c>
      <c r="T98" s="3" t="s">
        <v>39</v>
      </c>
      <c r="U98" s="3" t="s">
        <v>40</v>
      </c>
      <c r="V98" s="3">
        <v>354.66</v>
      </c>
      <c r="W98" s="3">
        <v>150.72999999999999</v>
      </c>
      <c r="X98" s="3">
        <v>142.75</v>
      </c>
      <c r="Y98" s="3">
        <v>61.18</v>
      </c>
    </row>
    <row r="99" spans="1:25" ht="60.75" x14ac:dyDescent="0.25">
      <c r="A99" s="3" t="s">
        <v>26</v>
      </c>
      <c r="B99" s="3" t="s">
        <v>27</v>
      </c>
      <c r="C99" s="3" t="s">
        <v>28</v>
      </c>
      <c r="D99" s="3" t="s">
        <v>61</v>
      </c>
      <c r="E99" s="3" t="s">
        <v>65</v>
      </c>
      <c r="F99" s="3" t="s">
        <v>63</v>
      </c>
      <c r="G99" s="3" t="s">
        <v>65</v>
      </c>
      <c r="H99" s="3" t="s">
        <v>47</v>
      </c>
      <c r="I99" s="3">
        <v>2025</v>
      </c>
      <c r="J99" s="3" t="str">
        <f>CONCATENATE("54810147287")</f>
        <v>54810147287</v>
      </c>
      <c r="K99" s="3" t="s">
        <v>33</v>
      </c>
      <c r="L99" s="3"/>
      <c r="M99" s="3" t="s">
        <v>34</v>
      </c>
      <c r="N99" s="3" t="str">
        <f>CONCATENATE("FTTPLA53A70A271Y")</f>
        <v>FTTPLA53A70A271Y</v>
      </c>
      <c r="O99" s="3" t="s">
        <v>161</v>
      </c>
      <c r="P99" s="3" t="s">
        <v>36</v>
      </c>
      <c r="Q99" s="3" t="s">
        <v>37</v>
      </c>
      <c r="R99" s="4">
        <v>46080</v>
      </c>
      <c r="S99" s="3" t="s">
        <v>38</v>
      </c>
      <c r="T99" s="3" t="s">
        <v>39</v>
      </c>
      <c r="U99" s="3" t="s">
        <v>40</v>
      </c>
      <c r="V99" s="5">
        <v>1305.76</v>
      </c>
      <c r="W99" s="3">
        <v>554.95000000000005</v>
      </c>
      <c r="X99" s="3">
        <v>525.57000000000005</v>
      </c>
      <c r="Y99" s="3">
        <v>225.24</v>
      </c>
    </row>
    <row r="100" spans="1:25" ht="60.75" x14ac:dyDescent="0.25">
      <c r="A100" s="3" t="s">
        <v>26</v>
      </c>
      <c r="B100" s="3" t="s">
        <v>27</v>
      </c>
      <c r="C100" s="3" t="s">
        <v>28</v>
      </c>
      <c r="D100" s="3" t="s">
        <v>61</v>
      </c>
      <c r="E100" s="3" t="s">
        <v>65</v>
      </c>
      <c r="F100" s="3" t="s">
        <v>63</v>
      </c>
      <c r="G100" s="3" t="s">
        <v>65</v>
      </c>
      <c r="H100" s="3" t="s">
        <v>47</v>
      </c>
      <c r="I100" s="3">
        <v>2024</v>
      </c>
      <c r="J100" s="3" t="str">
        <f>CONCATENATE("44810483469")</f>
        <v>44810483469</v>
      </c>
      <c r="K100" s="3" t="s">
        <v>33</v>
      </c>
      <c r="L100" s="3"/>
      <c r="M100" s="3" t="s">
        <v>34</v>
      </c>
      <c r="N100" s="3" t="str">
        <f>CONCATENATE("FTTPLA53A70A271Y")</f>
        <v>FTTPLA53A70A271Y</v>
      </c>
      <c r="O100" s="3" t="s">
        <v>161</v>
      </c>
      <c r="P100" s="3" t="s">
        <v>36</v>
      </c>
      <c r="Q100" s="3" t="s">
        <v>37</v>
      </c>
      <c r="R100" s="4">
        <v>46080</v>
      </c>
      <c r="S100" s="3" t="s">
        <v>38</v>
      </c>
      <c r="T100" s="3" t="s">
        <v>39</v>
      </c>
      <c r="U100" s="3" t="s">
        <v>40</v>
      </c>
      <c r="V100" s="3">
        <v>852.22</v>
      </c>
      <c r="W100" s="3">
        <v>362.19</v>
      </c>
      <c r="X100" s="3">
        <v>343.02</v>
      </c>
      <c r="Y100" s="3">
        <v>147.01</v>
      </c>
    </row>
    <row r="101" spans="1:25" ht="60.75" x14ac:dyDescent="0.25">
      <c r="A101" s="3" t="s">
        <v>26</v>
      </c>
      <c r="B101" s="3" t="s">
        <v>27</v>
      </c>
      <c r="C101" s="3" t="s">
        <v>28</v>
      </c>
      <c r="D101" s="3" t="s">
        <v>61</v>
      </c>
      <c r="E101" s="3" t="s">
        <v>65</v>
      </c>
      <c r="F101" s="3" t="s">
        <v>63</v>
      </c>
      <c r="G101" s="3" t="s">
        <v>65</v>
      </c>
      <c r="H101" s="3" t="s">
        <v>47</v>
      </c>
      <c r="I101" s="3">
        <v>2024</v>
      </c>
      <c r="J101" s="3" t="str">
        <f>CONCATENATE("44810188613")</f>
        <v>44810188613</v>
      </c>
      <c r="K101" s="3" t="s">
        <v>33</v>
      </c>
      <c r="L101" s="3"/>
      <c r="M101" s="3" t="s">
        <v>34</v>
      </c>
      <c r="N101" s="3" t="str">
        <f>CONCATENATE("FDRBNR58P20E388X")</f>
        <v>FDRBNR58P20E388X</v>
      </c>
      <c r="O101" s="3" t="s">
        <v>162</v>
      </c>
      <c r="P101" s="3" t="s">
        <v>36</v>
      </c>
      <c r="Q101" s="3" t="s">
        <v>37</v>
      </c>
      <c r="R101" s="4">
        <v>46080</v>
      </c>
      <c r="S101" s="3" t="s">
        <v>38</v>
      </c>
      <c r="T101" s="3" t="s">
        <v>39</v>
      </c>
      <c r="U101" s="3" t="s">
        <v>40</v>
      </c>
      <c r="V101" s="3">
        <v>427.16</v>
      </c>
      <c r="W101" s="3">
        <v>181.54</v>
      </c>
      <c r="X101" s="3">
        <v>171.93</v>
      </c>
      <c r="Y101" s="3">
        <v>73.69</v>
      </c>
    </row>
    <row r="102" spans="1:25" ht="60.75" x14ac:dyDescent="0.25">
      <c r="A102" s="3" t="s">
        <v>26</v>
      </c>
      <c r="B102" s="3" t="s">
        <v>27</v>
      </c>
      <c r="C102" s="3" t="s">
        <v>28</v>
      </c>
      <c r="D102" s="3" t="s">
        <v>61</v>
      </c>
      <c r="E102" s="3" t="s">
        <v>65</v>
      </c>
      <c r="F102" s="3" t="s">
        <v>63</v>
      </c>
      <c r="G102" s="3" t="s">
        <v>65</v>
      </c>
      <c r="H102" s="3" t="s">
        <v>47</v>
      </c>
      <c r="I102" s="3">
        <v>2025</v>
      </c>
      <c r="J102" s="3" t="str">
        <f>CONCATENATE("54810737517")</f>
        <v>54810737517</v>
      </c>
      <c r="K102" s="3" t="s">
        <v>33</v>
      </c>
      <c r="L102" s="3"/>
      <c r="M102" s="3" t="s">
        <v>34</v>
      </c>
      <c r="N102" s="3" t="str">
        <f>CONCATENATE("FDRBNR58P20E388X")</f>
        <v>FDRBNR58P20E388X</v>
      </c>
      <c r="O102" s="3" t="s">
        <v>162</v>
      </c>
      <c r="P102" s="3" t="s">
        <v>36</v>
      </c>
      <c r="Q102" s="3" t="s">
        <v>37</v>
      </c>
      <c r="R102" s="4">
        <v>46080</v>
      </c>
      <c r="S102" s="3" t="s">
        <v>38</v>
      </c>
      <c r="T102" s="3" t="s">
        <v>39</v>
      </c>
      <c r="U102" s="3" t="s">
        <v>40</v>
      </c>
      <c r="V102" s="3">
        <v>656.12</v>
      </c>
      <c r="W102" s="3">
        <v>278.85000000000002</v>
      </c>
      <c r="X102" s="3">
        <v>264.08999999999997</v>
      </c>
      <c r="Y102" s="3">
        <v>113.18</v>
      </c>
    </row>
    <row r="103" spans="1:25" ht="36.75" x14ac:dyDescent="0.25">
      <c r="A103" s="3" t="s">
        <v>26</v>
      </c>
      <c r="B103" s="3" t="s">
        <v>27</v>
      </c>
      <c r="C103" s="3" t="s">
        <v>28</v>
      </c>
      <c r="D103" s="3" t="s">
        <v>163</v>
      </c>
      <c r="E103" s="3" t="s">
        <v>164</v>
      </c>
      <c r="F103" s="3" t="s">
        <v>165</v>
      </c>
      <c r="G103" s="3" t="s">
        <v>164</v>
      </c>
      <c r="H103" s="3" t="s">
        <v>55</v>
      </c>
      <c r="I103" s="3">
        <v>2025</v>
      </c>
      <c r="J103" s="3" t="str">
        <f>CONCATENATE("54811125738")</f>
        <v>54811125738</v>
      </c>
      <c r="K103" s="3" t="s">
        <v>33</v>
      </c>
      <c r="L103" s="3"/>
      <c r="M103" s="3" t="s">
        <v>34</v>
      </c>
      <c r="N103" s="3" t="str">
        <f>CONCATENATE("02274800446")</f>
        <v>02274800446</v>
      </c>
      <c r="O103" s="3" t="s">
        <v>166</v>
      </c>
      <c r="P103" s="3" t="s">
        <v>36</v>
      </c>
      <c r="Q103" s="3" t="s">
        <v>37</v>
      </c>
      <c r="R103" s="4">
        <v>46080</v>
      </c>
      <c r="S103" s="3" t="s">
        <v>38</v>
      </c>
      <c r="T103" s="3" t="s">
        <v>39</v>
      </c>
      <c r="U103" s="3" t="s">
        <v>40</v>
      </c>
      <c r="V103" s="5">
        <v>2188.6799999999998</v>
      </c>
      <c r="W103" s="3">
        <v>930.19</v>
      </c>
      <c r="X103" s="3">
        <v>880.94</v>
      </c>
      <c r="Y103" s="3">
        <v>377.55</v>
      </c>
    </row>
    <row r="104" spans="1:25" ht="60.75" x14ac:dyDescent="0.25">
      <c r="A104" s="3" t="s">
        <v>26</v>
      </c>
      <c r="B104" s="3" t="s">
        <v>27</v>
      </c>
      <c r="C104" s="3" t="s">
        <v>28</v>
      </c>
      <c r="D104" s="3" t="s">
        <v>44</v>
      </c>
      <c r="E104" s="3" t="s">
        <v>45</v>
      </c>
      <c r="F104" s="3" t="s">
        <v>46</v>
      </c>
      <c r="G104" s="3" t="s">
        <v>45</v>
      </c>
      <c r="H104" s="3" t="s">
        <v>47</v>
      </c>
      <c r="I104" s="3">
        <v>2024</v>
      </c>
      <c r="J104" s="3" t="str">
        <f>CONCATENATE("44810275832")</f>
        <v>44810275832</v>
      </c>
      <c r="K104" s="3" t="s">
        <v>33</v>
      </c>
      <c r="L104" s="3"/>
      <c r="M104" s="3" t="s">
        <v>34</v>
      </c>
      <c r="N104" s="3" t="str">
        <f>CONCATENATE("FLPGRG52H08H979Y")</f>
        <v>FLPGRG52H08H979Y</v>
      </c>
      <c r="O104" s="3" t="s">
        <v>167</v>
      </c>
      <c r="P104" s="3" t="s">
        <v>36</v>
      </c>
      <c r="Q104" s="3" t="s">
        <v>37</v>
      </c>
      <c r="R104" s="4">
        <v>46080</v>
      </c>
      <c r="S104" s="3" t="s">
        <v>38</v>
      </c>
      <c r="T104" s="3" t="s">
        <v>39</v>
      </c>
      <c r="U104" s="3" t="s">
        <v>40</v>
      </c>
      <c r="V104" s="5">
        <v>1710.78</v>
      </c>
      <c r="W104" s="3">
        <v>727.08</v>
      </c>
      <c r="X104" s="3">
        <v>688.59</v>
      </c>
      <c r="Y104" s="3">
        <v>295.11</v>
      </c>
    </row>
    <row r="105" spans="1:25" ht="60.75" x14ac:dyDescent="0.25">
      <c r="A105" s="3" t="s">
        <v>26</v>
      </c>
      <c r="B105" s="3" t="s">
        <v>27</v>
      </c>
      <c r="C105" s="3" t="s">
        <v>28</v>
      </c>
      <c r="D105" s="3" t="s">
        <v>44</v>
      </c>
      <c r="E105" s="3" t="s">
        <v>45</v>
      </c>
      <c r="F105" s="3" t="s">
        <v>46</v>
      </c>
      <c r="G105" s="3" t="s">
        <v>45</v>
      </c>
      <c r="H105" s="3" t="s">
        <v>47</v>
      </c>
      <c r="I105" s="3">
        <v>2025</v>
      </c>
      <c r="J105" s="3" t="str">
        <f>CONCATENATE("54810240421")</f>
        <v>54810240421</v>
      </c>
      <c r="K105" s="3" t="s">
        <v>33</v>
      </c>
      <c r="L105" s="3"/>
      <c r="M105" s="3" t="s">
        <v>34</v>
      </c>
      <c r="N105" s="3" t="str">
        <f>CONCATENATE("FLPGRG52H08H979Y")</f>
        <v>FLPGRG52H08H979Y</v>
      </c>
      <c r="O105" s="3" t="s">
        <v>167</v>
      </c>
      <c r="P105" s="3" t="s">
        <v>36</v>
      </c>
      <c r="Q105" s="3" t="s">
        <v>37</v>
      </c>
      <c r="R105" s="4">
        <v>46080</v>
      </c>
      <c r="S105" s="3" t="s">
        <v>38</v>
      </c>
      <c r="T105" s="3" t="s">
        <v>39</v>
      </c>
      <c r="U105" s="3" t="s">
        <v>40</v>
      </c>
      <c r="V105" s="5">
        <v>2593.4</v>
      </c>
      <c r="W105" s="5">
        <v>1102.2</v>
      </c>
      <c r="X105" s="5">
        <v>1043.8399999999999</v>
      </c>
      <c r="Y105" s="3">
        <v>447.36</v>
      </c>
    </row>
    <row r="106" spans="1:25" ht="60.75" x14ac:dyDescent="0.25">
      <c r="A106" s="3" t="s">
        <v>26</v>
      </c>
      <c r="B106" s="3" t="s">
        <v>27</v>
      </c>
      <c r="C106" s="3" t="s">
        <v>28</v>
      </c>
      <c r="D106" s="3" t="s">
        <v>29</v>
      </c>
      <c r="E106" s="3" t="s">
        <v>30</v>
      </c>
      <c r="F106" s="3" t="s">
        <v>31</v>
      </c>
      <c r="G106" s="3" t="s">
        <v>30</v>
      </c>
      <c r="H106" s="3" t="s">
        <v>32</v>
      </c>
      <c r="I106" s="3">
        <v>2024</v>
      </c>
      <c r="J106" s="3" t="str">
        <f>CONCATENATE("44810299022")</f>
        <v>44810299022</v>
      </c>
      <c r="K106" s="3" t="s">
        <v>33</v>
      </c>
      <c r="L106" s="3"/>
      <c r="M106" s="3" t="s">
        <v>34</v>
      </c>
      <c r="N106" s="3" t="str">
        <f>CONCATENATE("GTTDNC48H24B398Y")</f>
        <v>GTTDNC48H24B398Y</v>
      </c>
      <c r="O106" s="3" t="s">
        <v>35</v>
      </c>
      <c r="P106" s="3" t="s">
        <v>36</v>
      </c>
      <c r="Q106" s="3" t="s">
        <v>37</v>
      </c>
      <c r="R106" s="4">
        <v>46080</v>
      </c>
      <c r="S106" s="3" t="s">
        <v>38</v>
      </c>
      <c r="T106" s="3" t="s">
        <v>39</v>
      </c>
      <c r="U106" s="3" t="s">
        <v>40</v>
      </c>
      <c r="V106" s="5">
        <v>1259.99</v>
      </c>
      <c r="W106" s="3">
        <v>535.5</v>
      </c>
      <c r="X106" s="3">
        <v>507.15</v>
      </c>
      <c r="Y106" s="3">
        <v>217.34</v>
      </c>
    </row>
    <row r="107" spans="1:25" ht="60.75" x14ac:dyDescent="0.25">
      <c r="A107" s="3" t="s">
        <v>26</v>
      </c>
      <c r="B107" s="3" t="s">
        <v>27</v>
      </c>
      <c r="C107" s="3" t="s">
        <v>28</v>
      </c>
      <c r="D107" s="3" t="s">
        <v>44</v>
      </c>
      <c r="E107" s="3" t="s">
        <v>54</v>
      </c>
      <c r="F107" s="3" t="s">
        <v>46</v>
      </c>
      <c r="G107" s="3" t="s">
        <v>54</v>
      </c>
      <c r="H107" s="3" t="s">
        <v>55</v>
      </c>
      <c r="I107" s="3">
        <v>2025</v>
      </c>
      <c r="J107" s="3" t="str">
        <f>CONCATENATE("54810505997")</f>
        <v>54810505997</v>
      </c>
      <c r="K107" s="3" t="s">
        <v>33</v>
      </c>
      <c r="L107" s="3"/>
      <c r="M107" s="3" t="s">
        <v>168</v>
      </c>
      <c r="N107" s="3" t="str">
        <f>CONCATENATE("NGLCLD69E17G516V")</f>
        <v>NGLCLD69E17G516V</v>
      </c>
      <c r="O107" s="3" t="s">
        <v>169</v>
      </c>
      <c r="P107" s="3" t="s">
        <v>36</v>
      </c>
      <c r="Q107" s="3" t="s">
        <v>170</v>
      </c>
      <c r="R107" s="4">
        <v>46084</v>
      </c>
      <c r="S107" s="3" t="s">
        <v>38</v>
      </c>
      <c r="T107" s="3" t="s">
        <v>39</v>
      </c>
      <c r="U107" s="3" t="s">
        <v>40</v>
      </c>
      <c r="V107" s="3">
        <v>593.52</v>
      </c>
      <c r="W107" s="3">
        <v>252.25</v>
      </c>
      <c r="X107" s="3">
        <v>238.89</v>
      </c>
      <c r="Y107" s="3">
        <v>102.38</v>
      </c>
    </row>
    <row r="108" spans="1:25" ht="36.75" x14ac:dyDescent="0.25">
      <c r="A108" s="3" t="s">
        <v>26</v>
      </c>
      <c r="B108" s="3" t="s">
        <v>27</v>
      </c>
      <c r="C108" s="3" t="s">
        <v>28</v>
      </c>
      <c r="D108" s="3" t="s">
        <v>44</v>
      </c>
      <c r="E108" s="3" t="s">
        <v>54</v>
      </c>
      <c r="F108" s="3" t="s">
        <v>46</v>
      </c>
      <c r="G108" s="3" t="s">
        <v>54</v>
      </c>
      <c r="H108" s="3" t="s">
        <v>55</v>
      </c>
      <c r="I108" s="3">
        <v>2025</v>
      </c>
      <c r="J108" s="3" t="str">
        <f>CONCATENATE("54810350071")</f>
        <v>54810350071</v>
      </c>
      <c r="K108" s="3" t="s">
        <v>33</v>
      </c>
      <c r="L108" s="3"/>
      <c r="M108" s="3" t="s">
        <v>168</v>
      </c>
      <c r="N108" s="3" t="str">
        <f>CONCATENATE("00746520444")</f>
        <v>00746520444</v>
      </c>
      <c r="O108" s="3" t="s">
        <v>171</v>
      </c>
      <c r="P108" s="3" t="s">
        <v>36</v>
      </c>
      <c r="Q108" s="3" t="s">
        <v>170</v>
      </c>
      <c r="R108" s="4">
        <v>46084</v>
      </c>
      <c r="S108" s="3" t="s">
        <v>38</v>
      </c>
      <c r="T108" s="3" t="s">
        <v>39</v>
      </c>
      <c r="U108" s="3" t="s">
        <v>40</v>
      </c>
      <c r="V108" s="3">
        <v>784.61</v>
      </c>
      <c r="W108" s="3">
        <v>333.46</v>
      </c>
      <c r="X108" s="3">
        <v>315.81</v>
      </c>
      <c r="Y108" s="3">
        <v>135.34</v>
      </c>
    </row>
    <row r="109" spans="1:25" ht="60.75" x14ac:dyDescent="0.25">
      <c r="A109" s="3" t="s">
        <v>26</v>
      </c>
      <c r="B109" s="3" t="s">
        <v>27</v>
      </c>
      <c r="C109" s="3" t="s">
        <v>28</v>
      </c>
      <c r="D109" s="3" t="s">
        <v>44</v>
      </c>
      <c r="E109" s="3" t="s">
        <v>45</v>
      </c>
      <c r="F109" s="3" t="s">
        <v>46</v>
      </c>
      <c r="G109" s="3" t="s">
        <v>45</v>
      </c>
      <c r="H109" s="3" t="s">
        <v>47</v>
      </c>
      <c r="I109" s="3">
        <v>2025</v>
      </c>
      <c r="J109" s="3" t="str">
        <f>CONCATENATE("54811522314")</f>
        <v>54811522314</v>
      </c>
      <c r="K109" s="3" t="s">
        <v>33</v>
      </c>
      <c r="L109" s="3"/>
      <c r="M109" s="3" t="s">
        <v>168</v>
      </c>
      <c r="N109" s="3" t="str">
        <f>CONCATENATE("BFNMNL80S13E388P")</f>
        <v>BFNMNL80S13E388P</v>
      </c>
      <c r="O109" s="3" t="s">
        <v>147</v>
      </c>
      <c r="P109" s="3" t="s">
        <v>36</v>
      </c>
      <c r="Q109" s="3" t="s">
        <v>170</v>
      </c>
      <c r="R109" s="4">
        <v>46084</v>
      </c>
      <c r="S109" s="3" t="s">
        <v>38</v>
      </c>
      <c r="T109" s="3" t="s">
        <v>39</v>
      </c>
      <c r="U109" s="3" t="s">
        <v>40</v>
      </c>
      <c r="V109" s="5">
        <v>10657.05</v>
      </c>
      <c r="W109" s="5">
        <v>4529.25</v>
      </c>
      <c r="X109" s="5">
        <v>4289.46</v>
      </c>
      <c r="Y109" s="5">
        <v>1838.34</v>
      </c>
    </row>
    <row r="110" spans="1:25" ht="36.75" x14ac:dyDescent="0.25">
      <c r="A110" s="3" t="s">
        <v>26</v>
      </c>
      <c r="B110" s="3" t="s">
        <v>27</v>
      </c>
      <c r="C110" s="3" t="s">
        <v>28</v>
      </c>
      <c r="D110" s="3" t="s">
        <v>44</v>
      </c>
      <c r="E110" s="3" t="s">
        <v>172</v>
      </c>
      <c r="F110" s="3" t="s">
        <v>46</v>
      </c>
      <c r="G110" s="3" t="s">
        <v>172</v>
      </c>
      <c r="H110" s="3" t="s">
        <v>32</v>
      </c>
      <c r="I110" s="3">
        <v>2024</v>
      </c>
      <c r="J110" s="3" t="str">
        <f>CONCATENATE("44810285591")</f>
        <v>44810285591</v>
      </c>
      <c r="K110" s="3" t="s">
        <v>33</v>
      </c>
      <c r="L110" s="3"/>
      <c r="M110" s="3" t="s">
        <v>168</v>
      </c>
      <c r="N110" s="3" t="str">
        <f>CONCATENATE("01945110433")</f>
        <v>01945110433</v>
      </c>
      <c r="O110" s="3" t="s">
        <v>173</v>
      </c>
      <c r="P110" s="3" t="s">
        <v>36</v>
      </c>
      <c r="Q110" s="3" t="s">
        <v>170</v>
      </c>
      <c r="R110" s="4">
        <v>46084</v>
      </c>
      <c r="S110" s="3" t="s">
        <v>38</v>
      </c>
      <c r="T110" s="3" t="s">
        <v>39</v>
      </c>
      <c r="U110" s="3" t="s">
        <v>40</v>
      </c>
      <c r="V110" s="5">
        <v>3529.92</v>
      </c>
      <c r="W110" s="5">
        <v>1500.22</v>
      </c>
      <c r="X110" s="5">
        <v>1420.79</v>
      </c>
      <c r="Y110" s="3">
        <v>608.91</v>
      </c>
    </row>
    <row r="111" spans="1:25" ht="60.75" x14ac:dyDescent="0.25">
      <c r="A111" s="3" t="s">
        <v>26</v>
      </c>
      <c r="B111" s="3" t="s">
        <v>27</v>
      </c>
      <c r="C111" s="3" t="s">
        <v>28</v>
      </c>
      <c r="D111" s="3" t="s">
        <v>61</v>
      </c>
      <c r="E111" s="3" t="s">
        <v>96</v>
      </c>
      <c r="F111" s="3" t="s">
        <v>63</v>
      </c>
      <c r="G111" s="3" t="s">
        <v>96</v>
      </c>
      <c r="H111" s="3" t="s">
        <v>55</v>
      </c>
      <c r="I111" s="3">
        <v>2025</v>
      </c>
      <c r="J111" s="3" t="str">
        <f>CONCATENATE("54810231487")</f>
        <v>54810231487</v>
      </c>
      <c r="K111" s="3" t="s">
        <v>33</v>
      </c>
      <c r="L111" s="3"/>
      <c r="M111" s="3" t="s">
        <v>168</v>
      </c>
      <c r="N111" s="3" t="str">
        <f>CONCATENATE("NTGMNN64P47F599I")</f>
        <v>NTGMNN64P47F599I</v>
      </c>
      <c r="O111" s="3" t="s">
        <v>174</v>
      </c>
      <c r="P111" s="3" t="s">
        <v>36</v>
      </c>
      <c r="Q111" s="3" t="s">
        <v>170</v>
      </c>
      <c r="R111" s="4">
        <v>46084</v>
      </c>
      <c r="S111" s="3" t="s">
        <v>38</v>
      </c>
      <c r="T111" s="3" t="s">
        <v>39</v>
      </c>
      <c r="U111" s="3" t="s">
        <v>40</v>
      </c>
      <c r="V111" s="3">
        <v>263.23</v>
      </c>
      <c r="W111" s="3">
        <v>111.87</v>
      </c>
      <c r="X111" s="3">
        <v>105.95</v>
      </c>
      <c r="Y111" s="3">
        <v>45.41</v>
      </c>
    </row>
    <row r="112" spans="1:25" ht="36.75" x14ac:dyDescent="0.25">
      <c r="A112" s="3" t="s">
        <v>26</v>
      </c>
      <c r="B112" s="3" t="s">
        <v>27</v>
      </c>
      <c r="C112" s="3" t="s">
        <v>28</v>
      </c>
      <c r="D112" s="3" t="s">
        <v>41</v>
      </c>
      <c r="E112" s="3" t="s">
        <v>175</v>
      </c>
      <c r="F112" s="3" t="s">
        <v>41</v>
      </c>
      <c r="G112" s="3" t="s">
        <v>175</v>
      </c>
      <c r="H112" s="3" t="s">
        <v>55</v>
      </c>
      <c r="I112" s="3">
        <v>2025</v>
      </c>
      <c r="J112" s="3" t="str">
        <f>CONCATENATE("54810155843")</f>
        <v>54810155843</v>
      </c>
      <c r="K112" s="3" t="s">
        <v>33</v>
      </c>
      <c r="L112" s="3"/>
      <c r="M112" s="3" t="s">
        <v>168</v>
      </c>
      <c r="N112" s="3" t="str">
        <f>CONCATENATE("01925420448")</f>
        <v>01925420448</v>
      </c>
      <c r="O112" s="3" t="s">
        <v>176</v>
      </c>
      <c r="P112" s="3" t="s">
        <v>36</v>
      </c>
      <c r="Q112" s="3" t="s">
        <v>170</v>
      </c>
      <c r="R112" s="4">
        <v>46084</v>
      </c>
      <c r="S112" s="3" t="s">
        <v>38</v>
      </c>
      <c r="T112" s="3" t="s">
        <v>39</v>
      </c>
      <c r="U112" s="3" t="s">
        <v>40</v>
      </c>
      <c r="V112" s="5">
        <v>1454.81</v>
      </c>
      <c r="W112" s="3">
        <v>618.29</v>
      </c>
      <c r="X112" s="3">
        <v>585.55999999999995</v>
      </c>
      <c r="Y112" s="3">
        <v>250.96</v>
      </c>
    </row>
    <row r="113" spans="1:25" ht="60.75" x14ac:dyDescent="0.25">
      <c r="A113" s="3" t="s">
        <v>26</v>
      </c>
      <c r="B113" s="3" t="s">
        <v>27</v>
      </c>
      <c r="C113" s="3" t="s">
        <v>28</v>
      </c>
      <c r="D113" s="3" t="s">
        <v>61</v>
      </c>
      <c r="E113" s="3" t="s">
        <v>177</v>
      </c>
      <c r="F113" s="3" t="s">
        <v>63</v>
      </c>
      <c r="G113" s="3" t="s">
        <v>177</v>
      </c>
      <c r="H113" s="3" t="s">
        <v>78</v>
      </c>
      <c r="I113" s="3">
        <v>2025</v>
      </c>
      <c r="J113" s="3" t="str">
        <f>CONCATENATE("54811116679")</f>
        <v>54811116679</v>
      </c>
      <c r="K113" s="3" t="s">
        <v>33</v>
      </c>
      <c r="L113" s="3"/>
      <c r="M113" s="3" t="s">
        <v>168</v>
      </c>
      <c r="N113" s="3" t="str">
        <f>CONCATENATE("BRTFBA62L13I285V")</f>
        <v>BRTFBA62L13I285V</v>
      </c>
      <c r="O113" s="3" t="s">
        <v>178</v>
      </c>
      <c r="P113" s="3" t="s">
        <v>36</v>
      </c>
      <c r="Q113" s="3" t="s">
        <v>170</v>
      </c>
      <c r="R113" s="4">
        <v>46084</v>
      </c>
      <c r="S113" s="3" t="s">
        <v>38</v>
      </c>
      <c r="T113" s="3" t="s">
        <v>39</v>
      </c>
      <c r="U113" s="3" t="s">
        <v>40</v>
      </c>
      <c r="V113" s="3">
        <v>992.16</v>
      </c>
      <c r="W113" s="3">
        <v>421.67</v>
      </c>
      <c r="X113" s="3">
        <v>399.34</v>
      </c>
      <c r="Y113" s="3">
        <v>171.15</v>
      </c>
    </row>
    <row r="114" spans="1:25" ht="60.75" x14ac:dyDescent="0.25">
      <c r="A114" s="3" t="s">
        <v>26</v>
      </c>
      <c r="B114" s="3" t="s">
        <v>27</v>
      </c>
      <c r="C114" s="3" t="s">
        <v>28</v>
      </c>
      <c r="D114" s="3" t="s">
        <v>179</v>
      </c>
      <c r="E114" s="3" t="s">
        <v>180</v>
      </c>
      <c r="F114" s="3" t="s">
        <v>181</v>
      </c>
      <c r="G114" s="3" t="s">
        <v>180</v>
      </c>
      <c r="H114" s="3" t="s">
        <v>78</v>
      </c>
      <c r="I114" s="3">
        <v>2025</v>
      </c>
      <c r="J114" s="3" t="str">
        <f>CONCATENATE("54811101572")</f>
        <v>54811101572</v>
      </c>
      <c r="K114" s="3" t="s">
        <v>33</v>
      </c>
      <c r="L114" s="3"/>
      <c r="M114" s="3" t="s">
        <v>168</v>
      </c>
      <c r="N114" s="3" t="str">
        <f>CONCATENATE("CPCLSN79S15G479A")</f>
        <v>CPCLSN79S15G479A</v>
      </c>
      <c r="O114" s="3" t="s">
        <v>182</v>
      </c>
      <c r="P114" s="3" t="s">
        <v>36</v>
      </c>
      <c r="Q114" s="3" t="s">
        <v>170</v>
      </c>
      <c r="R114" s="4">
        <v>46084</v>
      </c>
      <c r="S114" s="3" t="s">
        <v>38</v>
      </c>
      <c r="T114" s="3" t="s">
        <v>39</v>
      </c>
      <c r="U114" s="3" t="s">
        <v>40</v>
      </c>
      <c r="V114" s="3">
        <v>450.96</v>
      </c>
      <c r="W114" s="3">
        <v>191.66</v>
      </c>
      <c r="X114" s="3">
        <v>181.51</v>
      </c>
      <c r="Y114" s="3">
        <v>77.790000000000006</v>
      </c>
    </row>
    <row r="115" spans="1:25" ht="72.75" x14ac:dyDescent="0.25">
      <c r="A115" s="3" t="s">
        <v>26</v>
      </c>
      <c r="B115" s="3" t="s">
        <v>27</v>
      </c>
      <c r="C115" s="3" t="s">
        <v>28</v>
      </c>
      <c r="D115" s="3" t="s">
        <v>41</v>
      </c>
      <c r="E115" s="3" t="s">
        <v>175</v>
      </c>
      <c r="F115" s="3" t="s">
        <v>41</v>
      </c>
      <c r="G115" s="3" t="s">
        <v>175</v>
      </c>
      <c r="H115" s="3" t="s">
        <v>55</v>
      </c>
      <c r="I115" s="3">
        <v>2025</v>
      </c>
      <c r="J115" s="3" t="str">
        <f>CONCATENATE("54810144805")</f>
        <v>54810144805</v>
      </c>
      <c r="K115" s="3" t="s">
        <v>33</v>
      </c>
      <c r="L115" s="3"/>
      <c r="M115" s="3" t="s">
        <v>168</v>
      </c>
      <c r="N115" s="3" t="str">
        <f>CONCATENATE("CTLMTT89H13D542V")</f>
        <v>CTLMTT89H13D542V</v>
      </c>
      <c r="O115" s="3" t="s">
        <v>183</v>
      </c>
      <c r="P115" s="3" t="s">
        <v>36</v>
      </c>
      <c r="Q115" s="3" t="s">
        <v>170</v>
      </c>
      <c r="R115" s="4">
        <v>46084</v>
      </c>
      <c r="S115" s="3" t="s">
        <v>38</v>
      </c>
      <c r="T115" s="3" t="s">
        <v>39</v>
      </c>
      <c r="U115" s="3" t="s">
        <v>40</v>
      </c>
      <c r="V115" s="3">
        <v>481.48</v>
      </c>
      <c r="W115" s="3">
        <v>204.63</v>
      </c>
      <c r="X115" s="3">
        <v>193.8</v>
      </c>
      <c r="Y115" s="3">
        <v>83.05</v>
      </c>
    </row>
    <row r="116" spans="1:25" ht="60.75" x14ac:dyDescent="0.25">
      <c r="A116" s="3" t="s">
        <v>26</v>
      </c>
      <c r="B116" s="3" t="s">
        <v>27</v>
      </c>
      <c r="C116" s="3" t="s">
        <v>28</v>
      </c>
      <c r="D116" s="3" t="s">
        <v>44</v>
      </c>
      <c r="E116" s="3" t="s">
        <v>45</v>
      </c>
      <c r="F116" s="3" t="s">
        <v>46</v>
      </c>
      <c r="G116" s="3" t="s">
        <v>45</v>
      </c>
      <c r="H116" s="3" t="s">
        <v>47</v>
      </c>
      <c r="I116" s="3">
        <v>2025</v>
      </c>
      <c r="J116" s="3" t="str">
        <f>CONCATENATE("54810630480")</f>
        <v>54810630480</v>
      </c>
      <c r="K116" s="3" t="s">
        <v>33</v>
      </c>
      <c r="L116" s="3"/>
      <c r="M116" s="3" t="s">
        <v>168</v>
      </c>
      <c r="N116" s="3" t="str">
        <f>CONCATENATE("PRNLNZ03T09G157H")</f>
        <v>PRNLNZ03T09G157H</v>
      </c>
      <c r="O116" s="3" t="s">
        <v>184</v>
      </c>
      <c r="P116" s="3" t="s">
        <v>36</v>
      </c>
      <c r="Q116" s="3" t="s">
        <v>170</v>
      </c>
      <c r="R116" s="4">
        <v>46084</v>
      </c>
      <c r="S116" s="3" t="s">
        <v>38</v>
      </c>
      <c r="T116" s="3" t="s">
        <v>39</v>
      </c>
      <c r="U116" s="3" t="s">
        <v>40</v>
      </c>
      <c r="V116" s="3">
        <v>120.99</v>
      </c>
      <c r="W116" s="3">
        <v>51.42</v>
      </c>
      <c r="X116" s="3">
        <v>48.7</v>
      </c>
      <c r="Y116" s="3">
        <v>20.87</v>
      </c>
    </row>
    <row r="117" spans="1:25" ht="60.75" x14ac:dyDescent="0.25">
      <c r="A117" s="3" t="s">
        <v>26</v>
      </c>
      <c r="B117" s="3" t="s">
        <v>27</v>
      </c>
      <c r="C117" s="3" t="s">
        <v>28</v>
      </c>
      <c r="D117" s="3" t="s">
        <v>44</v>
      </c>
      <c r="E117" s="3" t="s">
        <v>54</v>
      </c>
      <c r="F117" s="3" t="s">
        <v>46</v>
      </c>
      <c r="G117" s="3" t="s">
        <v>54</v>
      </c>
      <c r="H117" s="3" t="s">
        <v>55</v>
      </c>
      <c r="I117" s="3">
        <v>2025</v>
      </c>
      <c r="J117" s="3" t="str">
        <f>CONCATENATE("54810152741")</f>
        <v>54810152741</v>
      </c>
      <c r="K117" s="3" t="s">
        <v>33</v>
      </c>
      <c r="L117" s="3"/>
      <c r="M117" s="3" t="s">
        <v>168</v>
      </c>
      <c r="N117" s="3" t="str">
        <f>CONCATENATE("GMNPRI61L28F415R")</f>
        <v>GMNPRI61L28F415R</v>
      </c>
      <c r="O117" s="3" t="s">
        <v>185</v>
      </c>
      <c r="P117" s="3" t="s">
        <v>36</v>
      </c>
      <c r="Q117" s="3" t="s">
        <v>170</v>
      </c>
      <c r="R117" s="4">
        <v>46084</v>
      </c>
      <c r="S117" s="3" t="s">
        <v>38</v>
      </c>
      <c r="T117" s="3" t="s">
        <v>39</v>
      </c>
      <c r="U117" s="3" t="s">
        <v>40</v>
      </c>
      <c r="V117" s="3">
        <v>482.95</v>
      </c>
      <c r="W117" s="3">
        <v>205.25</v>
      </c>
      <c r="X117" s="3">
        <v>194.39</v>
      </c>
      <c r="Y117" s="3">
        <v>83.31</v>
      </c>
    </row>
    <row r="118" spans="1:25" ht="72.75" x14ac:dyDescent="0.25">
      <c r="A118" s="3" t="s">
        <v>26</v>
      </c>
      <c r="B118" s="3" t="s">
        <v>27</v>
      </c>
      <c r="C118" s="3" t="s">
        <v>28</v>
      </c>
      <c r="D118" s="3" t="s">
        <v>44</v>
      </c>
      <c r="E118" s="3" t="s">
        <v>186</v>
      </c>
      <c r="F118" s="3" t="s">
        <v>46</v>
      </c>
      <c r="G118" s="3" t="s">
        <v>186</v>
      </c>
      <c r="H118" s="3" t="s">
        <v>47</v>
      </c>
      <c r="I118" s="3">
        <v>2025</v>
      </c>
      <c r="J118" s="3" t="str">
        <f>CONCATENATE("54811078085")</f>
        <v>54811078085</v>
      </c>
      <c r="K118" s="3" t="s">
        <v>33</v>
      </c>
      <c r="L118" s="3"/>
      <c r="M118" s="3" t="s">
        <v>168</v>
      </c>
      <c r="N118" s="3" t="str">
        <f>CONCATENATE("MRTMSM64P15G157T")</f>
        <v>MRTMSM64P15G157T</v>
      </c>
      <c r="O118" s="3" t="s">
        <v>187</v>
      </c>
      <c r="P118" s="3" t="s">
        <v>36</v>
      </c>
      <c r="Q118" s="3" t="s">
        <v>170</v>
      </c>
      <c r="R118" s="4">
        <v>46084</v>
      </c>
      <c r="S118" s="3" t="s">
        <v>38</v>
      </c>
      <c r="T118" s="3" t="s">
        <v>39</v>
      </c>
      <c r="U118" s="3" t="s">
        <v>40</v>
      </c>
      <c r="V118" s="5">
        <v>2451.36</v>
      </c>
      <c r="W118" s="5">
        <v>1041.83</v>
      </c>
      <c r="X118" s="3">
        <v>986.67</v>
      </c>
      <c r="Y118" s="3">
        <v>422.86</v>
      </c>
    </row>
    <row r="119" spans="1:25" ht="60.75" x14ac:dyDescent="0.25">
      <c r="A119" s="3" t="s">
        <v>26</v>
      </c>
      <c r="B119" s="3" t="s">
        <v>27</v>
      </c>
      <c r="C119" s="3" t="s">
        <v>28</v>
      </c>
      <c r="D119" s="3" t="s">
        <v>44</v>
      </c>
      <c r="E119" s="3" t="s">
        <v>54</v>
      </c>
      <c r="F119" s="3" t="s">
        <v>46</v>
      </c>
      <c r="G119" s="3" t="s">
        <v>54</v>
      </c>
      <c r="H119" s="3" t="s">
        <v>55</v>
      </c>
      <c r="I119" s="3">
        <v>2025</v>
      </c>
      <c r="J119" s="3" t="str">
        <f>CONCATENATE("54810283660")</f>
        <v>54810283660</v>
      </c>
      <c r="K119" s="3" t="s">
        <v>33</v>
      </c>
      <c r="L119" s="3"/>
      <c r="M119" s="3" t="s">
        <v>168</v>
      </c>
      <c r="N119" s="3" t="str">
        <f>CONCATENATE("MSTCHR92E55G388U")</f>
        <v>MSTCHR92E55G388U</v>
      </c>
      <c r="O119" s="3" t="s">
        <v>188</v>
      </c>
      <c r="P119" s="3" t="s">
        <v>36</v>
      </c>
      <c r="Q119" s="3" t="s">
        <v>170</v>
      </c>
      <c r="R119" s="4">
        <v>46084</v>
      </c>
      <c r="S119" s="3" t="s">
        <v>38</v>
      </c>
      <c r="T119" s="3" t="s">
        <v>39</v>
      </c>
      <c r="U119" s="3" t="s">
        <v>40</v>
      </c>
      <c r="V119" s="3">
        <v>323.36</v>
      </c>
      <c r="W119" s="3">
        <v>137.43</v>
      </c>
      <c r="X119" s="3">
        <v>130.15</v>
      </c>
      <c r="Y119" s="3">
        <v>55.78</v>
      </c>
    </row>
    <row r="120" spans="1:25" ht="36.75" x14ac:dyDescent="0.25">
      <c r="A120" s="3" t="s">
        <v>26</v>
      </c>
      <c r="B120" s="3" t="s">
        <v>27</v>
      </c>
      <c r="C120" s="3" t="s">
        <v>28</v>
      </c>
      <c r="D120" s="3" t="s">
        <v>44</v>
      </c>
      <c r="E120" s="3" t="s">
        <v>189</v>
      </c>
      <c r="F120" s="3" t="s">
        <v>46</v>
      </c>
      <c r="G120" s="3" t="s">
        <v>189</v>
      </c>
      <c r="H120" s="3" t="s">
        <v>32</v>
      </c>
      <c r="I120" s="3">
        <v>2024</v>
      </c>
      <c r="J120" s="3" t="str">
        <f>CONCATENATE("44810581163")</f>
        <v>44810581163</v>
      </c>
      <c r="K120" s="3" t="s">
        <v>33</v>
      </c>
      <c r="L120" s="3"/>
      <c r="M120" s="3" t="s">
        <v>168</v>
      </c>
      <c r="N120" s="3" t="str">
        <f>CONCATENATE("02023830439")</f>
        <v>02023830439</v>
      </c>
      <c r="O120" s="3" t="s">
        <v>190</v>
      </c>
      <c r="P120" s="3" t="s">
        <v>36</v>
      </c>
      <c r="Q120" s="3" t="s">
        <v>170</v>
      </c>
      <c r="R120" s="4">
        <v>46084</v>
      </c>
      <c r="S120" s="3" t="s">
        <v>38</v>
      </c>
      <c r="T120" s="3" t="s">
        <v>39</v>
      </c>
      <c r="U120" s="3" t="s">
        <v>40</v>
      </c>
      <c r="V120" s="3">
        <v>328.04</v>
      </c>
      <c r="W120" s="3">
        <v>139.41999999999999</v>
      </c>
      <c r="X120" s="3">
        <v>132.04</v>
      </c>
      <c r="Y120" s="3">
        <v>56.58</v>
      </c>
    </row>
    <row r="121" spans="1:25" ht="60.75" x14ac:dyDescent="0.25">
      <c r="A121" s="3" t="s">
        <v>26</v>
      </c>
      <c r="B121" s="3" t="s">
        <v>27</v>
      </c>
      <c r="C121" s="3" t="s">
        <v>28</v>
      </c>
      <c r="D121" s="3" t="s">
        <v>61</v>
      </c>
      <c r="E121" s="3" t="s">
        <v>191</v>
      </c>
      <c r="F121" s="3" t="s">
        <v>63</v>
      </c>
      <c r="G121" s="3" t="s">
        <v>191</v>
      </c>
      <c r="H121" s="3" t="s">
        <v>55</v>
      </c>
      <c r="I121" s="3">
        <v>2025</v>
      </c>
      <c r="J121" s="3" t="str">
        <f>CONCATENATE("54810089273")</f>
        <v>54810089273</v>
      </c>
      <c r="K121" s="3" t="s">
        <v>33</v>
      </c>
      <c r="L121" s="3"/>
      <c r="M121" s="3" t="s">
        <v>168</v>
      </c>
      <c r="N121" s="3" t="str">
        <f>CONCATENATE("CRBMTT83S22G920I")</f>
        <v>CRBMTT83S22G920I</v>
      </c>
      <c r="O121" s="3" t="s">
        <v>192</v>
      </c>
      <c r="P121" s="3" t="s">
        <v>36</v>
      </c>
      <c r="Q121" s="3" t="s">
        <v>170</v>
      </c>
      <c r="R121" s="4">
        <v>46084</v>
      </c>
      <c r="S121" s="3" t="s">
        <v>38</v>
      </c>
      <c r="T121" s="3" t="s">
        <v>39</v>
      </c>
      <c r="U121" s="3" t="s">
        <v>40</v>
      </c>
      <c r="V121" s="3">
        <v>474.63</v>
      </c>
      <c r="W121" s="3">
        <v>201.72</v>
      </c>
      <c r="X121" s="3">
        <v>191.04</v>
      </c>
      <c r="Y121" s="3">
        <v>81.87</v>
      </c>
    </row>
    <row r="122" spans="1:25" ht="60.75" x14ac:dyDescent="0.25">
      <c r="A122" s="3" t="s">
        <v>26</v>
      </c>
      <c r="B122" s="3" t="s">
        <v>27</v>
      </c>
      <c r="C122" s="3" t="s">
        <v>28</v>
      </c>
      <c r="D122" s="3" t="s">
        <v>44</v>
      </c>
      <c r="E122" s="3" t="s">
        <v>54</v>
      </c>
      <c r="F122" s="3" t="s">
        <v>46</v>
      </c>
      <c r="G122" s="3" t="s">
        <v>54</v>
      </c>
      <c r="H122" s="3" t="s">
        <v>55</v>
      </c>
      <c r="I122" s="3">
        <v>2025</v>
      </c>
      <c r="J122" s="3" t="str">
        <f>CONCATENATE("54810148566")</f>
        <v>54810148566</v>
      </c>
      <c r="K122" s="3" t="s">
        <v>33</v>
      </c>
      <c r="L122" s="3"/>
      <c r="M122" s="3" t="s">
        <v>168</v>
      </c>
      <c r="N122" s="3" t="str">
        <f>CONCATENATE("CRLDNL62T09F415K")</f>
        <v>CRLDNL62T09F415K</v>
      </c>
      <c r="O122" s="3" t="s">
        <v>193</v>
      </c>
      <c r="P122" s="3" t="s">
        <v>36</v>
      </c>
      <c r="Q122" s="3" t="s">
        <v>170</v>
      </c>
      <c r="R122" s="4">
        <v>46084</v>
      </c>
      <c r="S122" s="3" t="s">
        <v>38</v>
      </c>
      <c r="T122" s="3" t="s">
        <v>39</v>
      </c>
      <c r="U122" s="3" t="s">
        <v>40</v>
      </c>
      <c r="V122" s="3">
        <v>164.93</v>
      </c>
      <c r="W122" s="3">
        <v>70.099999999999994</v>
      </c>
      <c r="X122" s="3">
        <v>66.38</v>
      </c>
      <c r="Y122" s="3">
        <v>28.45</v>
      </c>
    </row>
    <row r="123" spans="1:25" ht="60.75" x14ac:dyDescent="0.25">
      <c r="A123" s="3" t="s">
        <v>26</v>
      </c>
      <c r="B123" s="3" t="s">
        <v>27</v>
      </c>
      <c r="C123" s="3" t="s">
        <v>28</v>
      </c>
      <c r="D123" s="3" t="s">
        <v>61</v>
      </c>
      <c r="E123" s="3" t="s">
        <v>191</v>
      </c>
      <c r="F123" s="3" t="s">
        <v>63</v>
      </c>
      <c r="G123" s="3" t="s">
        <v>191</v>
      </c>
      <c r="H123" s="3" t="s">
        <v>55</v>
      </c>
      <c r="I123" s="3">
        <v>2025</v>
      </c>
      <c r="J123" s="3" t="str">
        <f>CONCATENATE("54810135324")</f>
        <v>54810135324</v>
      </c>
      <c r="K123" s="3" t="s">
        <v>33</v>
      </c>
      <c r="L123" s="3"/>
      <c r="M123" s="3" t="s">
        <v>168</v>
      </c>
      <c r="N123" s="3" t="str">
        <f>CONCATENATE("DLGVTR53T63G137Y")</f>
        <v>DLGVTR53T63G137Y</v>
      </c>
      <c r="O123" s="3" t="s">
        <v>194</v>
      </c>
      <c r="P123" s="3" t="s">
        <v>36</v>
      </c>
      <c r="Q123" s="3" t="s">
        <v>170</v>
      </c>
      <c r="R123" s="4">
        <v>46084</v>
      </c>
      <c r="S123" s="3" t="s">
        <v>38</v>
      </c>
      <c r="T123" s="3" t="s">
        <v>39</v>
      </c>
      <c r="U123" s="3" t="s">
        <v>40</v>
      </c>
      <c r="V123" s="3">
        <v>667.68</v>
      </c>
      <c r="W123" s="3">
        <v>283.76</v>
      </c>
      <c r="X123" s="3">
        <v>268.74</v>
      </c>
      <c r="Y123" s="3">
        <v>115.18</v>
      </c>
    </row>
    <row r="124" spans="1:25" ht="60.75" x14ac:dyDescent="0.25">
      <c r="A124" s="3" t="s">
        <v>26</v>
      </c>
      <c r="B124" s="3" t="s">
        <v>27</v>
      </c>
      <c r="C124" s="3" t="s">
        <v>28</v>
      </c>
      <c r="D124" s="3" t="s">
        <v>44</v>
      </c>
      <c r="E124" s="3" t="s">
        <v>54</v>
      </c>
      <c r="F124" s="3" t="s">
        <v>46</v>
      </c>
      <c r="G124" s="3" t="s">
        <v>54</v>
      </c>
      <c r="H124" s="3" t="s">
        <v>55</v>
      </c>
      <c r="I124" s="3">
        <v>2025</v>
      </c>
      <c r="J124" s="3" t="str">
        <f>CONCATENATE("54810506540")</f>
        <v>54810506540</v>
      </c>
      <c r="K124" s="3" t="s">
        <v>33</v>
      </c>
      <c r="L124" s="3"/>
      <c r="M124" s="3" t="s">
        <v>168</v>
      </c>
      <c r="N124" s="3" t="str">
        <f>CONCATENATE("FDRLRA70L45H390B")</f>
        <v>FDRLRA70L45H390B</v>
      </c>
      <c r="O124" s="3" t="s">
        <v>195</v>
      </c>
      <c r="P124" s="3" t="s">
        <v>36</v>
      </c>
      <c r="Q124" s="3" t="s">
        <v>170</v>
      </c>
      <c r="R124" s="4">
        <v>46084</v>
      </c>
      <c r="S124" s="3" t="s">
        <v>38</v>
      </c>
      <c r="T124" s="3" t="s">
        <v>39</v>
      </c>
      <c r="U124" s="3" t="s">
        <v>40</v>
      </c>
      <c r="V124" s="3">
        <v>213.09</v>
      </c>
      <c r="W124" s="3">
        <v>90.56</v>
      </c>
      <c r="X124" s="3">
        <v>85.77</v>
      </c>
      <c r="Y124" s="3">
        <v>36.76</v>
      </c>
    </row>
    <row r="125" spans="1:25" ht="72.75" x14ac:dyDescent="0.25">
      <c r="A125" s="3" t="s">
        <v>26</v>
      </c>
      <c r="B125" s="3" t="s">
        <v>27</v>
      </c>
      <c r="C125" s="3" t="s">
        <v>28</v>
      </c>
      <c r="D125" s="3" t="s">
        <v>44</v>
      </c>
      <c r="E125" s="3" t="s">
        <v>54</v>
      </c>
      <c r="F125" s="3" t="s">
        <v>46</v>
      </c>
      <c r="G125" s="3" t="s">
        <v>54</v>
      </c>
      <c r="H125" s="3" t="s">
        <v>55</v>
      </c>
      <c r="I125" s="3">
        <v>2025</v>
      </c>
      <c r="J125" s="3" t="str">
        <f>CONCATENATE("54810164936")</f>
        <v>54810164936</v>
      </c>
      <c r="K125" s="3" t="s">
        <v>33</v>
      </c>
      <c r="L125" s="3"/>
      <c r="M125" s="3" t="s">
        <v>168</v>
      </c>
      <c r="N125" s="3" t="str">
        <f>CONCATENATE("SBEMSM76E27D542E")</f>
        <v>SBEMSM76E27D542E</v>
      </c>
      <c r="O125" s="3" t="s">
        <v>196</v>
      </c>
      <c r="P125" s="3" t="s">
        <v>36</v>
      </c>
      <c r="Q125" s="3" t="s">
        <v>170</v>
      </c>
      <c r="R125" s="4">
        <v>46084</v>
      </c>
      <c r="S125" s="3" t="s">
        <v>38</v>
      </c>
      <c r="T125" s="3" t="s">
        <v>39</v>
      </c>
      <c r="U125" s="3" t="s">
        <v>40</v>
      </c>
      <c r="V125" s="5">
        <v>1210.0899999999999</v>
      </c>
      <c r="W125" s="3">
        <v>514.29</v>
      </c>
      <c r="X125" s="3">
        <v>487.06</v>
      </c>
      <c r="Y125" s="3">
        <v>208.74</v>
      </c>
    </row>
    <row r="126" spans="1:25" ht="72.75" x14ac:dyDescent="0.25">
      <c r="A126" s="3" t="s">
        <v>26</v>
      </c>
      <c r="B126" s="3" t="s">
        <v>27</v>
      </c>
      <c r="C126" s="3" t="s">
        <v>28</v>
      </c>
      <c r="D126" s="3" t="s">
        <v>41</v>
      </c>
      <c r="E126" s="3" t="s">
        <v>175</v>
      </c>
      <c r="F126" s="3" t="s">
        <v>41</v>
      </c>
      <c r="G126" s="3" t="s">
        <v>175</v>
      </c>
      <c r="H126" s="3" t="s">
        <v>55</v>
      </c>
      <c r="I126" s="3">
        <v>2025</v>
      </c>
      <c r="J126" s="3" t="str">
        <f>CONCATENATE("54810221223")</f>
        <v>54810221223</v>
      </c>
      <c r="K126" s="3" t="s">
        <v>33</v>
      </c>
      <c r="L126" s="3"/>
      <c r="M126" s="3" t="s">
        <v>168</v>
      </c>
      <c r="N126" s="3" t="str">
        <f>CONCATENATE("GMNPIO62B27F415D")</f>
        <v>GMNPIO62B27F415D</v>
      </c>
      <c r="O126" s="3" t="s">
        <v>197</v>
      </c>
      <c r="P126" s="3" t="s">
        <v>36</v>
      </c>
      <c r="Q126" s="3" t="s">
        <v>170</v>
      </c>
      <c r="R126" s="4">
        <v>46084</v>
      </c>
      <c r="S126" s="3" t="s">
        <v>38</v>
      </c>
      <c r="T126" s="3" t="s">
        <v>39</v>
      </c>
      <c r="U126" s="3" t="s">
        <v>40</v>
      </c>
      <c r="V126" s="3">
        <v>618.08000000000004</v>
      </c>
      <c r="W126" s="3">
        <v>262.68</v>
      </c>
      <c r="X126" s="3">
        <v>248.78</v>
      </c>
      <c r="Y126" s="3">
        <v>106.62</v>
      </c>
    </row>
    <row r="127" spans="1:25" ht="60.75" x14ac:dyDescent="0.25">
      <c r="A127" s="3" t="s">
        <v>26</v>
      </c>
      <c r="B127" s="3" t="s">
        <v>27</v>
      </c>
      <c r="C127" s="3" t="s">
        <v>28</v>
      </c>
      <c r="D127" s="3" t="s">
        <v>44</v>
      </c>
      <c r="E127" s="3" t="s">
        <v>54</v>
      </c>
      <c r="F127" s="3" t="s">
        <v>46</v>
      </c>
      <c r="G127" s="3" t="s">
        <v>54</v>
      </c>
      <c r="H127" s="3" t="s">
        <v>55</v>
      </c>
      <c r="I127" s="3">
        <v>2025</v>
      </c>
      <c r="J127" s="3" t="str">
        <f>CONCATENATE("54810181765")</f>
        <v>54810181765</v>
      </c>
      <c r="K127" s="3" t="s">
        <v>33</v>
      </c>
      <c r="L127" s="3"/>
      <c r="M127" s="3" t="s">
        <v>168</v>
      </c>
      <c r="N127" s="3" t="str">
        <f>CONCATENATE("SBERRT65P26F415E")</f>
        <v>SBERRT65P26F415E</v>
      </c>
      <c r="O127" s="3" t="s">
        <v>198</v>
      </c>
      <c r="P127" s="3" t="s">
        <v>36</v>
      </c>
      <c r="Q127" s="3" t="s">
        <v>170</v>
      </c>
      <c r="R127" s="4">
        <v>46084</v>
      </c>
      <c r="S127" s="3" t="s">
        <v>38</v>
      </c>
      <c r="T127" s="3" t="s">
        <v>39</v>
      </c>
      <c r="U127" s="3" t="s">
        <v>40</v>
      </c>
      <c r="V127" s="5">
        <v>1185.23</v>
      </c>
      <c r="W127" s="3">
        <v>503.72</v>
      </c>
      <c r="X127" s="3">
        <v>477.06</v>
      </c>
      <c r="Y127" s="3">
        <v>204.45</v>
      </c>
    </row>
    <row r="128" spans="1:25" ht="36.75" x14ac:dyDescent="0.25">
      <c r="A128" s="3" t="s">
        <v>26</v>
      </c>
      <c r="B128" s="3" t="s">
        <v>27</v>
      </c>
      <c r="C128" s="3" t="s">
        <v>28</v>
      </c>
      <c r="D128" s="3" t="s">
        <v>61</v>
      </c>
      <c r="E128" s="3" t="s">
        <v>117</v>
      </c>
      <c r="F128" s="3" t="s">
        <v>63</v>
      </c>
      <c r="G128" s="3" t="s">
        <v>117</v>
      </c>
      <c r="H128" s="3" t="s">
        <v>55</v>
      </c>
      <c r="I128" s="3">
        <v>2025</v>
      </c>
      <c r="J128" s="3" t="str">
        <f>CONCATENATE("54810167020")</f>
        <v>54810167020</v>
      </c>
      <c r="K128" s="3" t="s">
        <v>33</v>
      </c>
      <c r="L128" s="3"/>
      <c r="M128" s="3" t="s">
        <v>168</v>
      </c>
      <c r="N128" s="3" t="str">
        <f>CONCATENATE("00737700443")</f>
        <v>00737700443</v>
      </c>
      <c r="O128" s="3" t="s">
        <v>199</v>
      </c>
      <c r="P128" s="3" t="s">
        <v>36</v>
      </c>
      <c r="Q128" s="3" t="s">
        <v>170</v>
      </c>
      <c r="R128" s="4">
        <v>46084</v>
      </c>
      <c r="S128" s="3" t="s">
        <v>38</v>
      </c>
      <c r="T128" s="3" t="s">
        <v>39</v>
      </c>
      <c r="U128" s="3" t="s">
        <v>40</v>
      </c>
      <c r="V128" s="5">
        <v>1306.78</v>
      </c>
      <c r="W128" s="3">
        <v>555.38</v>
      </c>
      <c r="X128" s="3">
        <v>525.98</v>
      </c>
      <c r="Y128" s="3">
        <v>225.42</v>
      </c>
    </row>
    <row r="129" spans="1:25" ht="60.75" x14ac:dyDescent="0.25">
      <c r="A129" s="3" t="s">
        <v>26</v>
      </c>
      <c r="B129" s="3" t="s">
        <v>27</v>
      </c>
      <c r="C129" s="3" t="s">
        <v>28</v>
      </c>
      <c r="D129" s="3" t="s">
        <v>44</v>
      </c>
      <c r="E129" s="3" t="s">
        <v>200</v>
      </c>
      <c r="F129" s="3" t="s">
        <v>46</v>
      </c>
      <c r="G129" s="3" t="s">
        <v>200</v>
      </c>
      <c r="H129" s="3" t="s">
        <v>78</v>
      </c>
      <c r="I129" s="3">
        <v>2025</v>
      </c>
      <c r="J129" s="3" t="str">
        <f>CONCATENATE("54810660776")</f>
        <v>54810660776</v>
      </c>
      <c r="K129" s="3" t="s">
        <v>33</v>
      </c>
      <c r="L129" s="3"/>
      <c r="M129" s="3" t="s">
        <v>168</v>
      </c>
      <c r="N129" s="3" t="str">
        <f>CONCATENATE("LGIMRC66E25G479J")</f>
        <v>LGIMRC66E25G479J</v>
      </c>
      <c r="O129" s="3" t="s">
        <v>201</v>
      </c>
      <c r="P129" s="3" t="s">
        <v>36</v>
      </c>
      <c r="Q129" s="3" t="s">
        <v>170</v>
      </c>
      <c r="R129" s="4">
        <v>46084</v>
      </c>
      <c r="S129" s="3" t="s">
        <v>38</v>
      </c>
      <c r="T129" s="3" t="s">
        <v>39</v>
      </c>
      <c r="U129" s="3" t="s">
        <v>40</v>
      </c>
      <c r="V129" s="3">
        <v>691.5</v>
      </c>
      <c r="W129" s="3">
        <v>293.89</v>
      </c>
      <c r="X129" s="3">
        <v>278.33</v>
      </c>
      <c r="Y129" s="3">
        <v>119.28</v>
      </c>
    </row>
    <row r="130" spans="1:25" ht="36.75" x14ac:dyDescent="0.25">
      <c r="A130" s="3" t="s">
        <v>26</v>
      </c>
      <c r="B130" s="3" t="s">
        <v>27</v>
      </c>
      <c r="C130" s="3" t="s">
        <v>28</v>
      </c>
      <c r="D130" s="3" t="s">
        <v>29</v>
      </c>
      <c r="E130" s="3" t="s">
        <v>202</v>
      </c>
      <c r="F130" s="3" t="s">
        <v>31</v>
      </c>
      <c r="G130" s="3" t="s">
        <v>202</v>
      </c>
      <c r="H130" s="3" t="s">
        <v>32</v>
      </c>
      <c r="I130" s="3">
        <v>2024</v>
      </c>
      <c r="J130" s="3" t="str">
        <f>CONCATENATE("44810408821")</f>
        <v>44810408821</v>
      </c>
      <c r="K130" s="3" t="s">
        <v>33</v>
      </c>
      <c r="L130" s="3"/>
      <c r="M130" s="3" t="s">
        <v>122</v>
      </c>
      <c r="N130" s="3" t="str">
        <f>CONCATENATE("01915020430")</f>
        <v>01915020430</v>
      </c>
      <c r="O130" s="3" t="s">
        <v>203</v>
      </c>
      <c r="P130" s="3" t="s">
        <v>36</v>
      </c>
      <c r="Q130" s="3" t="s">
        <v>204</v>
      </c>
      <c r="R130" s="4">
        <v>46080</v>
      </c>
      <c r="S130" s="3" t="s">
        <v>38</v>
      </c>
      <c r="T130" s="3" t="s">
        <v>39</v>
      </c>
      <c r="U130" s="3" t="s">
        <v>40</v>
      </c>
      <c r="V130" s="5">
        <v>12448.24</v>
      </c>
      <c r="W130" s="5">
        <v>5290.5</v>
      </c>
      <c r="X130" s="5">
        <v>5010.42</v>
      </c>
      <c r="Y130" s="5">
        <v>2147.3200000000002</v>
      </c>
    </row>
    <row r="131" spans="1:25" ht="60.75" x14ac:dyDescent="0.25">
      <c r="A131" s="3" t="s">
        <v>26</v>
      </c>
      <c r="B131" s="3" t="s">
        <v>27</v>
      </c>
      <c r="C131" s="3" t="s">
        <v>28</v>
      </c>
      <c r="D131" s="3" t="s">
        <v>44</v>
      </c>
      <c r="E131" s="3" t="s">
        <v>205</v>
      </c>
      <c r="F131" s="3" t="s">
        <v>46</v>
      </c>
      <c r="G131" s="3" t="s">
        <v>205</v>
      </c>
      <c r="H131" s="3" t="s">
        <v>32</v>
      </c>
      <c r="I131" s="3">
        <v>2024</v>
      </c>
      <c r="J131" s="3" t="str">
        <f>CONCATENATE("44810602415")</f>
        <v>44810602415</v>
      </c>
      <c r="K131" s="3" t="s">
        <v>33</v>
      </c>
      <c r="L131" s="3"/>
      <c r="M131" s="3" t="s">
        <v>122</v>
      </c>
      <c r="N131" s="3" t="str">
        <f>CONCATENATE("MNTCSR68A25B474L")</f>
        <v>MNTCSR68A25B474L</v>
      </c>
      <c r="O131" s="3" t="s">
        <v>206</v>
      </c>
      <c r="P131" s="3" t="s">
        <v>36</v>
      </c>
      <c r="Q131" s="3" t="s">
        <v>204</v>
      </c>
      <c r="R131" s="4">
        <v>46080</v>
      </c>
      <c r="S131" s="3" t="s">
        <v>38</v>
      </c>
      <c r="T131" s="3" t="s">
        <v>39</v>
      </c>
      <c r="U131" s="3" t="s">
        <v>40</v>
      </c>
      <c r="V131" s="3">
        <v>983.78</v>
      </c>
      <c r="W131" s="3">
        <v>418.11</v>
      </c>
      <c r="X131" s="3">
        <v>395.97</v>
      </c>
      <c r="Y131" s="3">
        <v>169.7</v>
      </c>
    </row>
    <row r="132" spans="1:25" ht="72.75" x14ac:dyDescent="0.25">
      <c r="A132" s="3" t="s">
        <v>26</v>
      </c>
      <c r="B132" s="3" t="s">
        <v>27</v>
      </c>
      <c r="C132" s="3" t="s">
        <v>28</v>
      </c>
      <c r="D132" s="3" t="s">
        <v>61</v>
      </c>
      <c r="E132" s="3" t="s">
        <v>207</v>
      </c>
      <c r="F132" s="3" t="s">
        <v>63</v>
      </c>
      <c r="G132" s="3" t="s">
        <v>207</v>
      </c>
      <c r="H132" s="3" t="s">
        <v>78</v>
      </c>
      <c r="I132" s="3">
        <v>2025</v>
      </c>
      <c r="J132" s="3" t="str">
        <f>CONCATENATE("54820141494")</f>
        <v>54820141494</v>
      </c>
      <c r="K132" s="3" t="s">
        <v>33</v>
      </c>
      <c r="L132" s="3"/>
      <c r="M132" s="3" t="s">
        <v>128</v>
      </c>
      <c r="N132" s="3" t="str">
        <f>CONCATENATE("CSRRNN53B64A639V")</f>
        <v>CSRRNN53B64A639V</v>
      </c>
      <c r="O132" s="3" t="s">
        <v>208</v>
      </c>
      <c r="P132" s="3" t="s">
        <v>36</v>
      </c>
      <c r="Q132" s="3" t="s">
        <v>130</v>
      </c>
      <c r="R132" s="4">
        <v>46084</v>
      </c>
      <c r="S132" s="3" t="s">
        <v>38</v>
      </c>
      <c r="T132" s="3" t="s">
        <v>39</v>
      </c>
      <c r="U132" s="3" t="s">
        <v>40</v>
      </c>
      <c r="V132" s="5">
        <v>1857</v>
      </c>
      <c r="W132" s="3">
        <v>789.23</v>
      </c>
      <c r="X132" s="3">
        <v>747.44</v>
      </c>
      <c r="Y132" s="3">
        <v>320.33</v>
      </c>
    </row>
    <row r="133" spans="1:25" ht="60.75" x14ac:dyDescent="0.25">
      <c r="A133" s="3" t="s">
        <v>26</v>
      </c>
      <c r="B133" s="3" t="s">
        <v>27</v>
      </c>
      <c r="C133" s="3" t="s">
        <v>28</v>
      </c>
      <c r="D133" s="3" t="s">
        <v>61</v>
      </c>
      <c r="E133" s="3" t="s">
        <v>127</v>
      </c>
      <c r="F133" s="3" t="s">
        <v>63</v>
      </c>
      <c r="G133" s="3" t="s">
        <v>127</v>
      </c>
      <c r="H133" s="3" t="s">
        <v>78</v>
      </c>
      <c r="I133" s="3">
        <v>2025</v>
      </c>
      <c r="J133" s="3" t="str">
        <f>CONCATENATE("54820115498")</f>
        <v>54820115498</v>
      </c>
      <c r="K133" s="3" t="s">
        <v>33</v>
      </c>
      <c r="L133" s="3"/>
      <c r="M133" s="3" t="s">
        <v>128</v>
      </c>
      <c r="N133" s="3" t="str">
        <f>CONCATENATE("MRZDLL50P24C830Y")</f>
        <v>MRZDLL50P24C830Y</v>
      </c>
      <c r="O133" s="3" t="s">
        <v>209</v>
      </c>
      <c r="P133" s="3" t="s">
        <v>36</v>
      </c>
      <c r="Q133" s="3" t="s">
        <v>130</v>
      </c>
      <c r="R133" s="4">
        <v>46084</v>
      </c>
      <c r="S133" s="3" t="s">
        <v>38</v>
      </c>
      <c r="T133" s="3" t="s">
        <v>39</v>
      </c>
      <c r="U133" s="3" t="s">
        <v>40</v>
      </c>
      <c r="V133" s="5">
        <v>1039.8599999999999</v>
      </c>
      <c r="W133" s="3">
        <v>441.94</v>
      </c>
      <c r="X133" s="3">
        <v>418.54</v>
      </c>
      <c r="Y133" s="3">
        <v>179.38</v>
      </c>
    </row>
    <row r="134" spans="1:25" ht="60.75" x14ac:dyDescent="0.25">
      <c r="A134" s="3" t="s">
        <v>26</v>
      </c>
      <c r="B134" s="3" t="s">
        <v>27</v>
      </c>
      <c r="C134" s="3" t="s">
        <v>28</v>
      </c>
      <c r="D134" s="3" t="s">
        <v>61</v>
      </c>
      <c r="E134" s="3" t="s">
        <v>127</v>
      </c>
      <c r="F134" s="3" t="s">
        <v>63</v>
      </c>
      <c r="G134" s="3" t="s">
        <v>127</v>
      </c>
      <c r="H134" s="3" t="s">
        <v>78</v>
      </c>
      <c r="I134" s="3">
        <v>2025</v>
      </c>
      <c r="J134" s="3" t="str">
        <f>CONCATENATE("54820084165")</f>
        <v>54820084165</v>
      </c>
      <c r="K134" s="3" t="s">
        <v>33</v>
      </c>
      <c r="L134" s="3"/>
      <c r="M134" s="3" t="s">
        <v>128</v>
      </c>
      <c r="N134" s="3" t="str">
        <f>CONCATENATE("PLAGPP72T29G479I")</f>
        <v>PLAGPP72T29G479I</v>
      </c>
      <c r="O134" s="3" t="s">
        <v>210</v>
      </c>
      <c r="P134" s="3" t="s">
        <v>36</v>
      </c>
      <c r="Q134" s="3" t="s">
        <v>130</v>
      </c>
      <c r="R134" s="4">
        <v>46084</v>
      </c>
      <c r="S134" s="3" t="s">
        <v>38</v>
      </c>
      <c r="T134" s="3" t="s">
        <v>39</v>
      </c>
      <c r="U134" s="3" t="s">
        <v>40</v>
      </c>
      <c r="V134" s="3">
        <v>695.03</v>
      </c>
      <c r="W134" s="3">
        <v>295.39</v>
      </c>
      <c r="X134" s="3">
        <v>279.75</v>
      </c>
      <c r="Y134" s="3">
        <v>119.89</v>
      </c>
    </row>
    <row r="135" spans="1:25" ht="60.75" x14ac:dyDescent="0.25">
      <c r="A135" s="3" t="s">
        <v>26</v>
      </c>
      <c r="B135" s="3" t="s">
        <v>27</v>
      </c>
      <c r="C135" s="3" t="s">
        <v>28</v>
      </c>
      <c r="D135" s="3" t="s">
        <v>61</v>
      </c>
      <c r="E135" s="3" t="s">
        <v>86</v>
      </c>
      <c r="F135" s="3" t="s">
        <v>63</v>
      </c>
      <c r="G135" s="3" t="s">
        <v>86</v>
      </c>
      <c r="H135" s="3" t="s">
        <v>78</v>
      </c>
      <c r="I135" s="3">
        <v>2025</v>
      </c>
      <c r="J135" s="3" t="str">
        <f>CONCATENATE("54820190160")</f>
        <v>54820190160</v>
      </c>
      <c r="K135" s="3" t="s">
        <v>33</v>
      </c>
      <c r="L135" s="3"/>
      <c r="M135" s="3" t="s">
        <v>128</v>
      </c>
      <c r="N135" s="3" t="str">
        <f>CONCATENATE("FRNLDL57M43Z504T")</f>
        <v>FRNLDL57M43Z504T</v>
      </c>
      <c r="O135" s="3" t="s">
        <v>211</v>
      </c>
      <c r="P135" s="3" t="s">
        <v>36</v>
      </c>
      <c r="Q135" s="3" t="s">
        <v>130</v>
      </c>
      <c r="R135" s="4">
        <v>46084</v>
      </c>
      <c r="S135" s="3" t="s">
        <v>38</v>
      </c>
      <c r="T135" s="3" t="s">
        <v>39</v>
      </c>
      <c r="U135" s="3" t="s">
        <v>40</v>
      </c>
      <c r="V135" s="3">
        <v>603.62</v>
      </c>
      <c r="W135" s="3">
        <v>256.54000000000002</v>
      </c>
      <c r="X135" s="3">
        <v>242.96</v>
      </c>
      <c r="Y135" s="3">
        <v>104.12</v>
      </c>
    </row>
    <row r="136" spans="1:25" ht="60.75" x14ac:dyDescent="0.25">
      <c r="A136" s="3" t="s">
        <v>26</v>
      </c>
      <c r="B136" s="3" t="s">
        <v>27</v>
      </c>
      <c r="C136" s="3" t="s">
        <v>28</v>
      </c>
      <c r="D136" s="3" t="s">
        <v>61</v>
      </c>
      <c r="E136" s="3" t="s">
        <v>207</v>
      </c>
      <c r="F136" s="3" t="s">
        <v>63</v>
      </c>
      <c r="G136" s="3" t="s">
        <v>207</v>
      </c>
      <c r="H136" s="3" t="s">
        <v>78</v>
      </c>
      <c r="I136" s="3">
        <v>2025</v>
      </c>
      <c r="J136" s="3" t="str">
        <f>CONCATENATE("54820191606")</f>
        <v>54820191606</v>
      </c>
      <c r="K136" s="3" t="s">
        <v>33</v>
      </c>
      <c r="L136" s="3"/>
      <c r="M136" s="3" t="s">
        <v>128</v>
      </c>
      <c r="N136" s="3" t="str">
        <f>CONCATENATE("FSSLRT95H14D488R")</f>
        <v>FSSLRT95H14D488R</v>
      </c>
      <c r="O136" s="3" t="s">
        <v>212</v>
      </c>
      <c r="P136" s="3" t="s">
        <v>36</v>
      </c>
      <c r="Q136" s="3" t="s">
        <v>130</v>
      </c>
      <c r="R136" s="4">
        <v>46084</v>
      </c>
      <c r="S136" s="3" t="s">
        <v>38</v>
      </c>
      <c r="T136" s="3" t="s">
        <v>39</v>
      </c>
      <c r="U136" s="3" t="s">
        <v>40</v>
      </c>
      <c r="V136" s="5">
        <v>1407.34</v>
      </c>
      <c r="W136" s="3">
        <v>598.12</v>
      </c>
      <c r="X136" s="3">
        <v>566.45000000000005</v>
      </c>
      <c r="Y136" s="3">
        <v>242.77</v>
      </c>
    </row>
    <row r="137" spans="1:25" ht="60.75" x14ac:dyDescent="0.25">
      <c r="A137" s="3" t="s">
        <v>26</v>
      </c>
      <c r="B137" s="3" t="s">
        <v>27</v>
      </c>
      <c r="C137" s="3" t="s">
        <v>28</v>
      </c>
      <c r="D137" s="3" t="s">
        <v>61</v>
      </c>
      <c r="E137" s="3" t="s">
        <v>207</v>
      </c>
      <c r="F137" s="3" t="s">
        <v>63</v>
      </c>
      <c r="G137" s="3" t="s">
        <v>207</v>
      </c>
      <c r="H137" s="3" t="s">
        <v>78</v>
      </c>
      <c r="I137" s="3">
        <v>2025</v>
      </c>
      <c r="J137" s="3" t="str">
        <f>CONCATENATE("54820195466")</f>
        <v>54820195466</v>
      </c>
      <c r="K137" s="3" t="s">
        <v>33</v>
      </c>
      <c r="L137" s="3"/>
      <c r="M137" s="3" t="s">
        <v>128</v>
      </c>
      <c r="N137" s="3" t="str">
        <f>CONCATENATE("FSSDVD63L05F347X")</f>
        <v>FSSDVD63L05F347X</v>
      </c>
      <c r="O137" s="3" t="s">
        <v>213</v>
      </c>
      <c r="P137" s="3" t="s">
        <v>36</v>
      </c>
      <c r="Q137" s="3" t="s">
        <v>130</v>
      </c>
      <c r="R137" s="4">
        <v>46084</v>
      </c>
      <c r="S137" s="3" t="s">
        <v>38</v>
      </c>
      <c r="T137" s="3" t="s">
        <v>39</v>
      </c>
      <c r="U137" s="3" t="s">
        <v>40</v>
      </c>
      <c r="V137" s="5">
        <v>3571.28</v>
      </c>
      <c r="W137" s="5">
        <v>1517.79</v>
      </c>
      <c r="X137" s="5">
        <v>1437.44</v>
      </c>
      <c r="Y137" s="3">
        <v>616.04999999999995</v>
      </c>
    </row>
    <row r="138" spans="1:25" ht="60.75" x14ac:dyDescent="0.25">
      <c r="A138" s="3" t="s">
        <v>26</v>
      </c>
      <c r="B138" s="3" t="s">
        <v>27</v>
      </c>
      <c r="C138" s="3" t="s">
        <v>28</v>
      </c>
      <c r="D138" s="3" t="s">
        <v>61</v>
      </c>
      <c r="E138" s="3" t="s">
        <v>207</v>
      </c>
      <c r="F138" s="3" t="s">
        <v>63</v>
      </c>
      <c r="G138" s="3" t="s">
        <v>207</v>
      </c>
      <c r="H138" s="3" t="s">
        <v>78</v>
      </c>
      <c r="I138" s="3">
        <v>2025</v>
      </c>
      <c r="J138" s="3" t="str">
        <f>CONCATENATE("54820147889")</f>
        <v>54820147889</v>
      </c>
      <c r="K138" s="3" t="s">
        <v>33</v>
      </c>
      <c r="L138" s="3"/>
      <c r="M138" s="3" t="s">
        <v>128</v>
      </c>
      <c r="N138" s="3" t="str">
        <f>CONCATENATE("FRTCDN33P60F589D")</f>
        <v>FRTCDN33P60F589D</v>
      </c>
      <c r="O138" s="3" t="s">
        <v>214</v>
      </c>
      <c r="P138" s="3" t="s">
        <v>36</v>
      </c>
      <c r="Q138" s="3" t="s">
        <v>130</v>
      </c>
      <c r="R138" s="4">
        <v>46084</v>
      </c>
      <c r="S138" s="3" t="s">
        <v>38</v>
      </c>
      <c r="T138" s="3" t="s">
        <v>39</v>
      </c>
      <c r="U138" s="3" t="s">
        <v>40</v>
      </c>
      <c r="V138" s="3">
        <v>405.33</v>
      </c>
      <c r="W138" s="3">
        <v>172.27</v>
      </c>
      <c r="X138" s="3">
        <v>163.15</v>
      </c>
      <c r="Y138" s="3">
        <v>69.91</v>
      </c>
    </row>
    <row r="139" spans="1:25" ht="60.75" x14ac:dyDescent="0.25">
      <c r="A139" s="3" t="s">
        <v>26</v>
      </c>
      <c r="B139" s="3" t="s">
        <v>27</v>
      </c>
      <c r="C139" s="3" t="s">
        <v>28</v>
      </c>
      <c r="D139" s="3" t="s">
        <v>61</v>
      </c>
      <c r="E139" s="3" t="s">
        <v>127</v>
      </c>
      <c r="F139" s="3" t="s">
        <v>63</v>
      </c>
      <c r="G139" s="3" t="s">
        <v>127</v>
      </c>
      <c r="H139" s="3" t="s">
        <v>78</v>
      </c>
      <c r="I139" s="3">
        <v>2025</v>
      </c>
      <c r="J139" s="3" t="str">
        <f>CONCATENATE("54820207295")</f>
        <v>54820207295</v>
      </c>
      <c r="K139" s="3" t="s">
        <v>33</v>
      </c>
      <c r="L139" s="3"/>
      <c r="M139" s="3" t="s">
        <v>128</v>
      </c>
      <c r="N139" s="3" t="str">
        <f>CONCATENATE("GRGLSU50E67I287R")</f>
        <v>GRGLSU50E67I287R</v>
      </c>
      <c r="O139" s="3" t="s">
        <v>215</v>
      </c>
      <c r="P139" s="3" t="s">
        <v>36</v>
      </c>
      <c r="Q139" s="3" t="s">
        <v>130</v>
      </c>
      <c r="R139" s="4">
        <v>46084</v>
      </c>
      <c r="S139" s="3" t="s">
        <v>38</v>
      </c>
      <c r="T139" s="3" t="s">
        <v>39</v>
      </c>
      <c r="U139" s="3" t="s">
        <v>40</v>
      </c>
      <c r="V139" s="5">
        <v>3090.14</v>
      </c>
      <c r="W139" s="5">
        <v>1313.31</v>
      </c>
      <c r="X139" s="5">
        <v>1243.78</v>
      </c>
      <c r="Y139" s="3">
        <v>533.04999999999995</v>
      </c>
    </row>
    <row r="140" spans="1:25" ht="60.75" x14ac:dyDescent="0.25">
      <c r="A140" s="3" t="s">
        <v>26</v>
      </c>
      <c r="B140" s="3" t="s">
        <v>27</v>
      </c>
      <c r="C140" s="3" t="s">
        <v>28</v>
      </c>
      <c r="D140" s="3" t="s">
        <v>61</v>
      </c>
      <c r="E140" s="3" t="s">
        <v>127</v>
      </c>
      <c r="F140" s="3" t="s">
        <v>63</v>
      </c>
      <c r="G140" s="3" t="s">
        <v>127</v>
      </c>
      <c r="H140" s="3" t="s">
        <v>78</v>
      </c>
      <c r="I140" s="3">
        <v>2025</v>
      </c>
      <c r="J140" s="3" t="str">
        <f>CONCATENATE("54820182654")</f>
        <v>54820182654</v>
      </c>
      <c r="K140" s="3" t="s">
        <v>33</v>
      </c>
      <c r="L140" s="3"/>
      <c r="M140" s="3" t="s">
        <v>128</v>
      </c>
      <c r="N140" s="3" t="str">
        <f>CONCATENATE("LZZSRN61R23L498Q")</f>
        <v>LZZSRN61R23L498Q</v>
      </c>
      <c r="O140" s="3" t="s">
        <v>216</v>
      </c>
      <c r="P140" s="3" t="s">
        <v>36</v>
      </c>
      <c r="Q140" s="3" t="s">
        <v>130</v>
      </c>
      <c r="R140" s="4">
        <v>46084</v>
      </c>
      <c r="S140" s="3" t="s">
        <v>38</v>
      </c>
      <c r="T140" s="3" t="s">
        <v>39</v>
      </c>
      <c r="U140" s="3" t="s">
        <v>40</v>
      </c>
      <c r="V140" s="5">
        <v>2636.09</v>
      </c>
      <c r="W140" s="5">
        <v>1120.3399999999999</v>
      </c>
      <c r="X140" s="5">
        <v>1061.03</v>
      </c>
      <c r="Y140" s="3">
        <v>454.72</v>
      </c>
    </row>
    <row r="141" spans="1:25" ht="36.75" x14ac:dyDescent="0.25">
      <c r="A141" s="3" t="s">
        <v>26</v>
      </c>
      <c r="B141" s="3" t="s">
        <v>27</v>
      </c>
      <c r="C141" s="3" t="s">
        <v>28</v>
      </c>
      <c r="D141" s="3" t="s">
        <v>61</v>
      </c>
      <c r="E141" s="3" t="s">
        <v>86</v>
      </c>
      <c r="F141" s="3" t="s">
        <v>63</v>
      </c>
      <c r="G141" s="3" t="s">
        <v>86</v>
      </c>
      <c r="H141" s="3" t="s">
        <v>78</v>
      </c>
      <c r="I141" s="3">
        <v>2025</v>
      </c>
      <c r="J141" s="3" t="str">
        <f>CONCATENATE("54820259262")</f>
        <v>54820259262</v>
      </c>
      <c r="K141" s="3" t="s">
        <v>33</v>
      </c>
      <c r="L141" s="3"/>
      <c r="M141" s="3" t="s">
        <v>128</v>
      </c>
      <c r="N141" s="3" t="str">
        <f>CONCATENATE("02627380419")</f>
        <v>02627380419</v>
      </c>
      <c r="O141" s="3" t="s">
        <v>217</v>
      </c>
      <c r="P141" s="3" t="s">
        <v>36</v>
      </c>
      <c r="Q141" s="3" t="s">
        <v>130</v>
      </c>
      <c r="R141" s="4">
        <v>46084</v>
      </c>
      <c r="S141" s="3" t="s">
        <v>38</v>
      </c>
      <c r="T141" s="3" t="s">
        <v>39</v>
      </c>
      <c r="U141" s="3" t="s">
        <v>40</v>
      </c>
      <c r="V141" s="3">
        <v>643.09</v>
      </c>
      <c r="W141" s="3">
        <v>273.31</v>
      </c>
      <c r="X141" s="3">
        <v>258.83999999999997</v>
      </c>
      <c r="Y141" s="3">
        <v>110.94</v>
      </c>
    </row>
    <row r="142" spans="1:25" ht="60.75" x14ac:dyDescent="0.25">
      <c r="A142" s="3" t="s">
        <v>26</v>
      </c>
      <c r="B142" s="3" t="s">
        <v>27</v>
      </c>
      <c r="C142" s="3" t="s">
        <v>28</v>
      </c>
      <c r="D142" s="3" t="s">
        <v>61</v>
      </c>
      <c r="E142" s="3" t="s">
        <v>127</v>
      </c>
      <c r="F142" s="3" t="s">
        <v>63</v>
      </c>
      <c r="G142" s="3" t="s">
        <v>127</v>
      </c>
      <c r="H142" s="3" t="s">
        <v>78</v>
      </c>
      <c r="I142" s="3">
        <v>2025</v>
      </c>
      <c r="J142" s="3" t="str">
        <f>CONCATENATE("54820153028")</f>
        <v>54820153028</v>
      </c>
      <c r="K142" s="3" t="s">
        <v>33</v>
      </c>
      <c r="L142" s="3"/>
      <c r="M142" s="3" t="s">
        <v>128</v>
      </c>
      <c r="N142" s="3" t="str">
        <f>CONCATENATE("LBNNRC68B11L219G")</f>
        <v>LBNNRC68B11L219G</v>
      </c>
      <c r="O142" s="3" t="s">
        <v>218</v>
      </c>
      <c r="P142" s="3" t="s">
        <v>36</v>
      </c>
      <c r="Q142" s="3" t="s">
        <v>130</v>
      </c>
      <c r="R142" s="4">
        <v>46084</v>
      </c>
      <c r="S142" s="3" t="s">
        <v>38</v>
      </c>
      <c r="T142" s="3" t="s">
        <v>39</v>
      </c>
      <c r="U142" s="3" t="s">
        <v>40</v>
      </c>
      <c r="V142" s="3">
        <v>624.87</v>
      </c>
      <c r="W142" s="3">
        <v>265.57</v>
      </c>
      <c r="X142" s="3">
        <v>251.51</v>
      </c>
      <c r="Y142" s="3">
        <v>107.79</v>
      </c>
    </row>
    <row r="143" spans="1:25" ht="60.75" x14ac:dyDescent="0.25">
      <c r="A143" s="3" t="s">
        <v>26</v>
      </c>
      <c r="B143" s="3" t="s">
        <v>27</v>
      </c>
      <c r="C143" s="3" t="s">
        <v>28</v>
      </c>
      <c r="D143" s="3" t="s">
        <v>61</v>
      </c>
      <c r="E143" s="3" t="s">
        <v>127</v>
      </c>
      <c r="F143" s="3" t="s">
        <v>63</v>
      </c>
      <c r="G143" s="3" t="s">
        <v>127</v>
      </c>
      <c r="H143" s="3" t="s">
        <v>78</v>
      </c>
      <c r="I143" s="3">
        <v>2025</v>
      </c>
      <c r="J143" s="3" t="str">
        <f>CONCATENATE("54820191259")</f>
        <v>54820191259</v>
      </c>
      <c r="K143" s="3" t="s">
        <v>33</v>
      </c>
      <c r="L143" s="3"/>
      <c r="M143" s="3" t="s">
        <v>128</v>
      </c>
      <c r="N143" s="3" t="str">
        <f>CONCATENATE("LNGTMS48T18G416N")</f>
        <v>LNGTMS48T18G416N</v>
      </c>
      <c r="O143" s="3" t="s">
        <v>219</v>
      </c>
      <c r="P143" s="3" t="s">
        <v>36</v>
      </c>
      <c r="Q143" s="3" t="s">
        <v>130</v>
      </c>
      <c r="R143" s="4">
        <v>46084</v>
      </c>
      <c r="S143" s="3" t="s">
        <v>38</v>
      </c>
      <c r="T143" s="3" t="s">
        <v>39</v>
      </c>
      <c r="U143" s="3" t="s">
        <v>40</v>
      </c>
      <c r="V143" s="3">
        <v>839</v>
      </c>
      <c r="W143" s="3">
        <v>356.58</v>
      </c>
      <c r="X143" s="3">
        <v>337.7</v>
      </c>
      <c r="Y143" s="3">
        <v>144.72</v>
      </c>
    </row>
    <row r="144" spans="1:25" ht="72.75" x14ac:dyDescent="0.25">
      <c r="A144" s="3" t="s">
        <v>26</v>
      </c>
      <c r="B144" s="3" t="s">
        <v>27</v>
      </c>
      <c r="C144" s="3" t="s">
        <v>28</v>
      </c>
      <c r="D144" s="3" t="s">
        <v>61</v>
      </c>
      <c r="E144" s="3" t="s">
        <v>127</v>
      </c>
      <c r="F144" s="3" t="s">
        <v>63</v>
      </c>
      <c r="G144" s="3" t="s">
        <v>127</v>
      </c>
      <c r="H144" s="3" t="s">
        <v>78</v>
      </c>
      <c r="I144" s="3">
        <v>2025</v>
      </c>
      <c r="J144" s="3" t="str">
        <f>CONCATENATE("54820166806")</f>
        <v>54820166806</v>
      </c>
      <c r="K144" s="3" t="s">
        <v>33</v>
      </c>
      <c r="L144" s="3"/>
      <c r="M144" s="3" t="s">
        <v>128</v>
      </c>
      <c r="N144" s="3" t="str">
        <f>CONCATENATE("MRTNTN50A06G514R")</f>
        <v>MRTNTN50A06G514R</v>
      </c>
      <c r="O144" s="3" t="s">
        <v>220</v>
      </c>
      <c r="P144" s="3" t="s">
        <v>36</v>
      </c>
      <c r="Q144" s="3" t="s">
        <v>130</v>
      </c>
      <c r="R144" s="4">
        <v>46084</v>
      </c>
      <c r="S144" s="3" t="s">
        <v>38</v>
      </c>
      <c r="T144" s="3" t="s">
        <v>39</v>
      </c>
      <c r="U144" s="3" t="s">
        <v>40</v>
      </c>
      <c r="V144" s="3">
        <v>873.34</v>
      </c>
      <c r="W144" s="3">
        <v>371.17</v>
      </c>
      <c r="X144" s="3">
        <v>351.52</v>
      </c>
      <c r="Y144" s="3">
        <v>150.65</v>
      </c>
    </row>
    <row r="145" spans="1:25" ht="60.75" x14ac:dyDescent="0.25">
      <c r="A145" s="3" t="s">
        <v>26</v>
      </c>
      <c r="B145" s="3" t="s">
        <v>27</v>
      </c>
      <c r="C145" s="3" t="s">
        <v>28</v>
      </c>
      <c r="D145" s="3" t="s">
        <v>61</v>
      </c>
      <c r="E145" s="3" t="s">
        <v>127</v>
      </c>
      <c r="F145" s="3" t="s">
        <v>63</v>
      </c>
      <c r="G145" s="3" t="s">
        <v>127</v>
      </c>
      <c r="H145" s="3" t="s">
        <v>78</v>
      </c>
      <c r="I145" s="3">
        <v>2025</v>
      </c>
      <c r="J145" s="3" t="str">
        <f>CONCATENATE("54820188784")</f>
        <v>54820188784</v>
      </c>
      <c r="K145" s="3" t="s">
        <v>33</v>
      </c>
      <c r="L145" s="3"/>
      <c r="M145" s="3" t="s">
        <v>128</v>
      </c>
      <c r="N145" s="3" t="str">
        <f>CONCATENATE("MDCRCR63R05I287M")</f>
        <v>MDCRCR63R05I287M</v>
      </c>
      <c r="O145" s="3" t="s">
        <v>221</v>
      </c>
      <c r="P145" s="3" t="s">
        <v>36</v>
      </c>
      <c r="Q145" s="3" t="s">
        <v>130</v>
      </c>
      <c r="R145" s="4">
        <v>46084</v>
      </c>
      <c r="S145" s="3" t="s">
        <v>38</v>
      </c>
      <c r="T145" s="3" t="s">
        <v>39</v>
      </c>
      <c r="U145" s="3" t="s">
        <v>40</v>
      </c>
      <c r="V145" s="3">
        <v>657.68</v>
      </c>
      <c r="W145" s="3">
        <v>279.51</v>
      </c>
      <c r="X145" s="3">
        <v>264.72000000000003</v>
      </c>
      <c r="Y145" s="3">
        <v>113.45</v>
      </c>
    </row>
    <row r="146" spans="1:25" ht="60.75" x14ac:dyDescent="0.25">
      <c r="A146" s="3" t="s">
        <v>26</v>
      </c>
      <c r="B146" s="3" t="s">
        <v>27</v>
      </c>
      <c r="C146" s="3" t="s">
        <v>28</v>
      </c>
      <c r="D146" s="3" t="s">
        <v>44</v>
      </c>
      <c r="E146" s="3" t="s">
        <v>205</v>
      </c>
      <c r="F146" s="3" t="s">
        <v>46</v>
      </c>
      <c r="G146" s="3" t="s">
        <v>205</v>
      </c>
      <c r="H146" s="3" t="s">
        <v>32</v>
      </c>
      <c r="I146" s="3">
        <v>2024</v>
      </c>
      <c r="J146" s="3" t="str">
        <f>CONCATENATE("44810602407")</f>
        <v>44810602407</v>
      </c>
      <c r="K146" s="3" t="s">
        <v>33</v>
      </c>
      <c r="L146" s="3"/>
      <c r="M146" s="3" t="s">
        <v>222</v>
      </c>
      <c r="N146" s="3" t="str">
        <f>CONCATENATE("MNTCSR68A25B474L")</f>
        <v>MNTCSR68A25B474L</v>
      </c>
      <c r="O146" s="3" t="s">
        <v>206</v>
      </c>
      <c r="P146" s="3" t="s">
        <v>36</v>
      </c>
      <c r="Q146" s="3" t="s">
        <v>223</v>
      </c>
      <c r="R146" s="4">
        <v>46080</v>
      </c>
      <c r="S146" s="3" t="s">
        <v>38</v>
      </c>
      <c r="T146" s="3" t="s">
        <v>39</v>
      </c>
      <c r="U146" s="3" t="s">
        <v>40</v>
      </c>
      <c r="V146" s="5">
        <v>4198.8500000000004</v>
      </c>
      <c r="W146" s="5">
        <v>1784.51</v>
      </c>
      <c r="X146" s="5">
        <v>1690.04</v>
      </c>
      <c r="Y146" s="3">
        <v>724.3</v>
      </c>
    </row>
    <row r="147" spans="1:25" ht="60.75" x14ac:dyDescent="0.25">
      <c r="A147" s="3" t="s">
        <v>26</v>
      </c>
      <c r="B147" s="3" t="s">
        <v>27</v>
      </c>
      <c r="C147" s="3" t="s">
        <v>28</v>
      </c>
      <c r="D147" s="3" t="s">
        <v>41</v>
      </c>
      <c r="E147" s="3" t="s">
        <v>121</v>
      </c>
      <c r="F147" s="3" t="s">
        <v>41</v>
      </c>
      <c r="G147" s="3" t="s">
        <v>121</v>
      </c>
      <c r="H147" s="3" t="s">
        <v>55</v>
      </c>
      <c r="I147" s="3">
        <v>2025</v>
      </c>
      <c r="J147" s="3" t="str">
        <f>CONCATENATE("54820362512")</f>
        <v>54820362512</v>
      </c>
      <c r="K147" s="3" t="s">
        <v>33</v>
      </c>
      <c r="L147" s="3"/>
      <c r="M147" s="3" t="s">
        <v>128</v>
      </c>
      <c r="N147" s="3" t="str">
        <f>CONCATENATE("RZZMNC79C65A462E")</f>
        <v>RZZMNC79C65A462E</v>
      </c>
      <c r="O147" s="3" t="s">
        <v>224</v>
      </c>
      <c r="P147" s="3" t="s">
        <v>36</v>
      </c>
      <c r="Q147" s="3" t="s">
        <v>225</v>
      </c>
      <c r="R147" s="4">
        <v>46080</v>
      </c>
      <c r="S147" s="3" t="s">
        <v>38</v>
      </c>
      <c r="T147" s="3" t="s">
        <v>39</v>
      </c>
      <c r="U147" s="3" t="s">
        <v>40</v>
      </c>
      <c r="V147" s="5">
        <v>6679.69</v>
      </c>
      <c r="W147" s="5">
        <v>2838.87</v>
      </c>
      <c r="X147" s="5">
        <v>2688.58</v>
      </c>
      <c r="Y147" s="5">
        <v>1152.24</v>
      </c>
    </row>
    <row r="148" spans="1:25" ht="60.75" x14ac:dyDescent="0.25">
      <c r="A148" s="3" t="s">
        <v>26</v>
      </c>
      <c r="B148" s="3" t="s">
        <v>27</v>
      </c>
      <c r="C148" s="3" t="s">
        <v>28</v>
      </c>
      <c r="D148" s="3" t="s">
        <v>61</v>
      </c>
      <c r="E148" s="3" t="s">
        <v>127</v>
      </c>
      <c r="F148" s="3" t="s">
        <v>63</v>
      </c>
      <c r="G148" s="3" t="s">
        <v>127</v>
      </c>
      <c r="H148" s="3" t="s">
        <v>78</v>
      </c>
      <c r="I148" s="3">
        <v>2025</v>
      </c>
      <c r="J148" s="3" t="str">
        <f>CONCATENATE("54820141171")</f>
        <v>54820141171</v>
      </c>
      <c r="K148" s="3" t="s">
        <v>33</v>
      </c>
      <c r="L148" s="3"/>
      <c r="M148" s="3" t="s">
        <v>128</v>
      </c>
      <c r="N148" s="3" t="str">
        <f>CONCATENATE("BLDLRD52H17L500L")</f>
        <v>BLDLRD52H17L500L</v>
      </c>
      <c r="O148" s="3" t="s">
        <v>226</v>
      </c>
      <c r="P148" s="3" t="s">
        <v>36</v>
      </c>
      <c r="Q148" s="3" t="s">
        <v>225</v>
      </c>
      <c r="R148" s="4">
        <v>46080</v>
      </c>
      <c r="S148" s="3" t="s">
        <v>38</v>
      </c>
      <c r="T148" s="3" t="s">
        <v>39</v>
      </c>
      <c r="U148" s="3" t="s">
        <v>40</v>
      </c>
      <c r="V148" s="3">
        <v>989.68</v>
      </c>
      <c r="W148" s="3">
        <v>420.61</v>
      </c>
      <c r="X148" s="3">
        <v>398.35</v>
      </c>
      <c r="Y148" s="3">
        <v>170.72</v>
      </c>
    </row>
    <row r="149" spans="1:25" ht="60.75" x14ac:dyDescent="0.25">
      <c r="A149" s="3" t="s">
        <v>26</v>
      </c>
      <c r="B149" s="3" t="s">
        <v>27</v>
      </c>
      <c r="C149" s="3" t="s">
        <v>28</v>
      </c>
      <c r="D149" s="3" t="s">
        <v>44</v>
      </c>
      <c r="E149" s="3" t="s">
        <v>88</v>
      </c>
      <c r="F149" s="3" t="s">
        <v>46</v>
      </c>
      <c r="G149" s="3" t="s">
        <v>88</v>
      </c>
      <c r="H149" s="3" t="s">
        <v>78</v>
      </c>
      <c r="I149" s="3">
        <v>2025</v>
      </c>
      <c r="J149" s="3" t="str">
        <f>CONCATENATE("54820132709")</f>
        <v>54820132709</v>
      </c>
      <c r="K149" s="3" t="s">
        <v>33</v>
      </c>
      <c r="L149" s="3"/>
      <c r="M149" s="3" t="s">
        <v>128</v>
      </c>
      <c r="N149" s="3" t="str">
        <f>CONCATENATE("SNTMRC72R06D749S")</f>
        <v>SNTMRC72R06D749S</v>
      </c>
      <c r="O149" s="3" t="s">
        <v>227</v>
      </c>
      <c r="P149" s="3" t="s">
        <v>36</v>
      </c>
      <c r="Q149" s="3" t="s">
        <v>225</v>
      </c>
      <c r="R149" s="4">
        <v>46080</v>
      </c>
      <c r="S149" s="3" t="s">
        <v>38</v>
      </c>
      <c r="T149" s="3" t="s">
        <v>39</v>
      </c>
      <c r="U149" s="3" t="s">
        <v>40</v>
      </c>
      <c r="V149" s="3">
        <v>908.85</v>
      </c>
      <c r="W149" s="3">
        <v>386.26</v>
      </c>
      <c r="X149" s="3">
        <v>365.81</v>
      </c>
      <c r="Y149" s="3">
        <v>156.78</v>
      </c>
    </row>
    <row r="150" spans="1:25" ht="60.75" x14ac:dyDescent="0.25">
      <c r="A150" s="3" t="s">
        <v>26</v>
      </c>
      <c r="B150" s="3" t="s">
        <v>27</v>
      </c>
      <c r="C150" s="3" t="s">
        <v>28</v>
      </c>
      <c r="D150" s="3" t="s">
        <v>29</v>
      </c>
      <c r="E150" s="3" t="s">
        <v>30</v>
      </c>
      <c r="F150" s="3" t="s">
        <v>31</v>
      </c>
      <c r="G150" s="3" t="s">
        <v>30</v>
      </c>
      <c r="H150" s="3" t="s">
        <v>32</v>
      </c>
      <c r="I150" s="3">
        <v>2025</v>
      </c>
      <c r="J150" s="3" t="str">
        <f>CONCATENATE("54820254115")</f>
        <v>54820254115</v>
      </c>
      <c r="K150" s="3" t="s">
        <v>33</v>
      </c>
      <c r="L150" s="3"/>
      <c r="M150" s="3" t="s">
        <v>128</v>
      </c>
      <c r="N150" s="3" t="str">
        <f>CONCATENATE("MPCLSN97R22E783X")</f>
        <v>MPCLSN97R22E783X</v>
      </c>
      <c r="O150" s="3" t="s">
        <v>228</v>
      </c>
      <c r="P150" s="3" t="s">
        <v>36</v>
      </c>
      <c r="Q150" s="3" t="s">
        <v>225</v>
      </c>
      <c r="R150" s="4">
        <v>46080</v>
      </c>
      <c r="S150" s="3" t="s">
        <v>38</v>
      </c>
      <c r="T150" s="3" t="s">
        <v>39</v>
      </c>
      <c r="U150" s="3" t="s">
        <v>40</v>
      </c>
      <c r="V150" s="5">
        <v>8295.8799999999992</v>
      </c>
      <c r="W150" s="5">
        <v>3525.75</v>
      </c>
      <c r="X150" s="5">
        <v>3339.09</v>
      </c>
      <c r="Y150" s="5">
        <v>1431.04</v>
      </c>
    </row>
    <row r="151" spans="1:25" ht="60.75" x14ac:dyDescent="0.25">
      <c r="A151" s="3" t="s">
        <v>26</v>
      </c>
      <c r="B151" s="3" t="s">
        <v>27</v>
      </c>
      <c r="C151" s="3" t="s">
        <v>28</v>
      </c>
      <c r="D151" s="3" t="s">
        <v>61</v>
      </c>
      <c r="E151" s="3" t="s">
        <v>62</v>
      </c>
      <c r="F151" s="3" t="s">
        <v>63</v>
      </c>
      <c r="G151" s="3" t="s">
        <v>62</v>
      </c>
      <c r="H151" s="3" t="s">
        <v>47</v>
      </c>
      <c r="I151" s="3">
        <v>2025</v>
      </c>
      <c r="J151" s="3" t="str">
        <f>CONCATENATE("54820040316")</f>
        <v>54820040316</v>
      </c>
      <c r="K151" s="3" t="s">
        <v>33</v>
      </c>
      <c r="L151" s="3"/>
      <c r="M151" s="3" t="s">
        <v>128</v>
      </c>
      <c r="N151" s="3" t="str">
        <f>CONCATENATE("LROSRG59H12I461C")</f>
        <v>LROSRG59H12I461C</v>
      </c>
      <c r="O151" s="3" t="s">
        <v>229</v>
      </c>
      <c r="P151" s="3" t="s">
        <v>36</v>
      </c>
      <c r="Q151" s="3" t="s">
        <v>225</v>
      </c>
      <c r="R151" s="4">
        <v>46080</v>
      </c>
      <c r="S151" s="3" t="s">
        <v>38</v>
      </c>
      <c r="T151" s="3" t="s">
        <v>39</v>
      </c>
      <c r="U151" s="3" t="s">
        <v>40</v>
      </c>
      <c r="V151" s="3">
        <v>121.94</v>
      </c>
      <c r="W151" s="3">
        <v>51.82</v>
      </c>
      <c r="X151" s="3">
        <v>49.08</v>
      </c>
      <c r="Y151" s="3">
        <v>21.04</v>
      </c>
    </row>
    <row r="152" spans="1:25" ht="60.75" x14ac:dyDescent="0.25">
      <c r="A152" s="3" t="s">
        <v>26</v>
      </c>
      <c r="B152" s="3" t="s">
        <v>27</v>
      </c>
      <c r="C152" s="3" t="s">
        <v>28</v>
      </c>
      <c r="D152" s="3" t="s">
        <v>61</v>
      </c>
      <c r="E152" s="3" t="s">
        <v>230</v>
      </c>
      <c r="F152" s="3" t="s">
        <v>63</v>
      </c>
      <c r="G152" s="3" t="s">
        <v>230</v>
      </c>
      <c r="H152" s="3" t="s">
        <v>78</v>
      </c>
      <c r="I152" s="3">
        <v>2025</v>
      </c>
      <c r="J152" s="3" t="str">
        <f>CONCATENATE("54820237862")</f>
        <v>54820237862</v>
      </c>
      <c r="K152" s="3" t="s">
        <v>33</v>
      </c>
      <c r="L152" s="3"/>
      <c r="M152" s="3" t="s">
        <v>128</v>
      </c>
      <c r="N152" s="3" t="str">
        <f>CONCATENATE("LCRGCM79M16B352L")</f>
        <v>LCRGCM79M16B352L</v>
      </c>
      <c r="O152" s="3" t="s">
        <v>231</v>
      </c>
      <c r="P152" s="3" t="s">
        <v>36</v>
      </c>
      <c r="Q152" s="3" t="s">
        <v>225</v>
      </c>
      <c r="R152" s="4">
        <v>46080</v>
      </c>
      <c r="S152" s="3" t="s">
        <v>38</v>
      </c>
      <c r="T152" s="3" t="s">
        <v>39</v>
      </c>
      <c r="U152" s="3" t="s">
        <v>40</v>
      </c>
      <c r="V152" s="3">
        <v>383.12</v>
      </c>
      <c r="W152" s="3">
        <v>162.83000000000001</v>
      </c>
      <c r="X152" s="3">
        <v>154.21</v>
      </c>
      <c r="Y152" s="3">
        <v>66.08</v>
      </c>
    </row>
    <row r="153" spans="1:25" ht="60.75" x14ac:dyDescent="0.25">
      <c r="A153" s="3" t="s">
        <v>26</v>
      </c>
      <c r="B153" s="3" t="s">
        <v>27</v>
      </c>
      <c r="C153" s="3" t="s">
        <v>28</v>
      </c>
      <c r="D153" s="3" t="s">
        <v>29</v>
      </c>
      <c r="E153" s="3" t="s">
        <v>232</v>
      </c>
      <c r="F153" s="3" t="s">
        <v>31</v>
      </c>
      <c r="G153" s="3" t="s">
        <v>232</v>
      </c>
      <c r="H153" s="3" t="s">
        <v>32</v>
      </c>
      <c r="I153" s="3">
        <v>2025</v>
      </c>
      <c r="J153" s="3" t="str">
        <f>CONCATENATE("54820169933")</f>
        <v>54820169933</v>
      </c>
      <c r="K153" s="3" t="s">
        <v>33</v>
      </c>
      <c r="L153" s="3"/>
      <c r="M153" s="3" t="s">
        <v>128</v>
      </c>
      <c r="N153" s="3" t="str">
        <f>CONCATENATE("MSSLCU84B21I156H")</f>
        <v>MSSLCU84B21I156H</v>
      </c>
      <c r="O153" s="3" t="s">
        <v>233</v>
      </c>
      <c r="P153" s="3" t="s">
        <v>36</v>
      </c>
      <c r="Q153" s="3" t="s">
        <v>225</v>
      </c>
      <c r="R153" s="4">
        <v>46080</v>
      </c>
      <c r="S153" s="3" t="s">
        <v>38</v>
      </c>
      <c r="T153" s="3" t="s">
        <v>39</v>
      </c>
      <c r="U153" s="3" t="s">
        <v>40</v>
      </c>
      <c r="V153" s="3">
        <v>131.71</v>
      </c>
      <c r="W153" s="3">
        <v>55.98</v>
      </c>
      <c r="X153" s="3">
        <v>53.01</v>
      </c>
      <c r="Y153" s="3">
        <v>22.72</v>
      </c>
    </row>
    <row r="154" spans="1:25" ht="60.75" x14ac:dyDescent="0.25">
      <c r="A154" s="3" t="s">
        <v>26</v>
      </c>
      <c r="B154" s="3" t="s">
        <v>27</v>
      </c>
      <c r="C154" s="3" t="s">
        <v>28</v>
      </c>
      <c r="D154" s="3" t="s">
        <v>29</v>
      </c>
      <c r="E154" s="3" t="s">
        <v>232</v>
      </c>
      <c r="F154" s="3" t="s">
        <v>31</v>
      </c>
      <c r="G154" s="3" t="s">
        <v>232</v>
      </c>
      <c r="H154" s="3" t="s">
        <v>32</v>
      </c>
      <c r="I154" s="3">
        <v>2025</v>
      </c>
      <c r="J154" s="3" t="str">
        <f>CONCATENATE("54820036959")</f>
        <v>54820036959</v>
      </c>
      <c r="K154" s="3" t="s">
        <v>33</v>
      </c>
      <c r="L154" s="3"/>
      <c r="M154" s="3" t="s">
        <v>128</v>
      </c>
      <c r="N154" s="3" t="str">
        <f>CONCATENATE("MGTFPP97P25I156F")</f>
        <v>MGTFPP97P25I156F</v>
      </c>
      <c r="O154" s="3" t="s">
        <v>234</v>
      </c>
      <c r="P154" s="3" t="s">
        <v>36</v>
      </c>
      <c r="Q154" s="3" t="s">
        <v>225</v>
      </c>
      <c r="R154" s="4">
        <v>46080</v>
      </c>
      <c r="S154" s="3" t="s">
        <v>38</v>
      </c>
      <c r="T154" s="3" t="s">
        <v>39</v>
      </c>
      <c r="U154" s="3" t="s">
        <v>40</v>
      </c>
      <c r="V154" s="3">
        <v>701.86</v>
      </c>
      <c r="W154" s="3">
        <v>298.29000000000002</v>
      </c>
      <c r="X154" s="3">
        <v>282.5</v>
      </c>
      <c r="Y154" s="3">
        <v>121.07</v>
      </c>
    </row>
    <row r="155" spans="1:25" ht="36.75" x14ac:dyDescent="0.25">
      <c r="A155" s="3" t="s">
        <v>26</v>
      </c>
      <c r="B155" s="3" t="s">
        <v>27</v>
      </c>
      <c r="C155" s="3" t="s">
        <v>28</v>
      </c>
      <c r="D155" s="3" t="s">
        <v>61</v>
      </c>
      <c r="E155" s="3" t="s">
        <v>230</v>
      </c>
      <c r="F155" s="3" t="s">
        <v>63</v>
      </c>
      <c r="G155" s="3" t="s">
        <v>230</v>
      </c>
      <c r="H155" s="3" t="s">
        <v>78</v>
      </c>
      <c r="I155" s="3">
        <v>2025</v>
      </c>
      <c r="J155" s="3" t="str">
        <f>CONCATENATE("54820137625")</f>
        <v>54820137625</v>
      </c>
      <c r="K155" s="3" t="s">
        <v>33</v>
      </c>
      <c r="L155" s="3"/>
      <c r="M155" s="3" t="s">
        <v>128</v>
      </c>
      <c r="N155" s="3" t="str">
        <f>CONCATENATE("01052890413")</f>
        <v>01052890413</v>
      </c>
      <c r="O155" s="3" t="s">
        <v>235</v>
      </c>
      <c r="P155" s="3" t="s">
        <v>36</v>
      </c>
      <c r="Q155" s="3" t="s">
        <v>225</v>
      </c>
      <c r="R155" s="4">
        <v>46080</v>
      </c>
      <c r="S155" s="3" t="s">
        <v>38</v>
      </c>
      <c r="T155" s="3" t="s">
        <v>39</v>
      </c>
      <c r="U155" s="3" t="s">
        <v>40</v>
      </c>
      <c r="V155" s="3">
        <v>296.02</v>
      </c>
      <c r="W155" s="3">
        <v>125.81</v>
      </c>
      <c r="X155" s="3">
        <v>119.15</v>
      </c>
      <c r="Y155" s="3">
        <v>51.06</v>
      </c>
    </row>
    <row r="156" spans="1:25" ht="60.75" x14ac:dyDescent="0.25">
      <c r="A156" s="3" t="s">
        <v>26</v>
      </c>
      <c r="B156" s="3" t="s">
        <v>27</v>
      </c>
      <c r="C156" s="3" t="s">
        <v>28</v>
      </c>
      <c r="D156" s="3" t="s">
        <v>29</v>
      </c>
      <c r="E156" s="3" t="s">
        <v>232</v>
      </c>
      <c r="F156" s="3" t="s">
        <v>31</v>
      </c>
      <c r="G156" s="3" t="s">
        <v>232</v>
      </c>
      <c r="H156" s="3" t="s">
        <v>32</v>
      </c>
      <c r="I156" s="3">
        <v>2025</v>
      </c>
      <c r="J156" s="3" t="str">
        <f>CONCATENATE("54820086624")</f>
        <v>54820086624</v>
      </c>
      <c r="K156" s="3" t="s">
        <v>33</v>
      </c>
      <c r="L156" s="3"/>
      <c r="M156" s="3" t="s">
        <v>128</v>
      </c>
      <c r="N156" s="3" t="str">
        <f>CONCATENATE("PRSMHL86S54I156V")</f>
        <v>PRSMHL86S54I156V</v>
      </c>
      <c r="O156" s="3" t="s">
        <v>236</v>
      </c>
      <c r="P156" s="3" t="s">
        <v>36</v>
      </c>
      <c r="Q156" s="3" t="s">
        <v>225</v>
      </c>
      <c r="R156" s="4">
        <v>46080</v>
      </c>
      <c r="S156" s="3" t="s">
        <v>38</v>
      </c>
      <c r="T156" s="3" t="s">
        <v>39</v>
      </c>
      <c r="U156" s="3" t="s">
        <v>40</v>
      </c>
      <c r="V156" s="5">
        <v>2081.63</v>
      </c>
      <c r="W156" s="3">
        <v>884.69</v>
      </c>
      <c r="X156" s="3">
        <v>837.86</v>
      </c>
      <c r="Y156" s="3">
        <v>359.08</v>
      </c>
    </row>
    <row r="157" spans="1:25" ht="48.75" x14ac:dyDescent="0.25">
      <c r="A157" s="3" t="s">
        <v>26</v>
      </c>
      <c r="B157" s="3" t="s">
        <v>27</v>
      </c>
      <c r="C157" s="3" t="s">
        <v>28</v>
      </c>
      <c r="D157" s="3" t="s">
        <v>29</v>
      </c>
      <c r="E157" s="3" t="s">
        <v>232</v>
      </c>
      <c r="F157" s="3" t="s">
        <v>31</v>
      </c>
      <c r="G157" s="3" t="s">
        <v>232</v>
      </c>
      <c r="H157" s="3" t="s">
        <v>32</v>
      </c>
      <c r="I157" s="3">
        <v>2025</v>
      </c>
      <c r="J157" s="3" t="str">
        <f>CONCATENATE("54820066279")</f>
        <v>54820066279</v>
      </c>
      <c r="K157" s="3" t="s">
        <v>33</v>
      </c>
      <c r="L157" s="3"/>
      <c r="M157" s="3" t="s">
        <v>128</v>
      </c>
      <c r="N157" s="3" t="str">
        <f>CONCATENATE("PZZPLA69L26B474L")</f>
        <v>PZZPLA69L26B474L</v>
      </c>
      <c r="O157" s="3" t="s">
        <v>237</v>
      </c>
      <c r="P157" s="3" t="s">
        <v>36</v>
      </c>
      <c r="Q157" s="3" t="s">
        <v>225</v>
      </c>
      <c r="R157" s="4">
        <v>46080</v>
      </c>
      <c r="S157" s="3" t="s">
        <v>38</v>
      </c>
      <c r="T157" s="3" t="s">
        <v>39</v>
      </c>
      <c r="U157" s="3" t="s">
        <v>40</v>
      </c>
      <c r="V157" s="5">
        <v>2579.77</v>
      </c>
      <c r="W157" s="5">
        <v>1096.4000000000001</v>
      </c>
      <c r="X157" s="5">
        <v>1038.3599999999999</v>
      </c>
      <c r="Y157" s="3">
        <v>445.01</v>
      </c>
    </row>
    <row r="158" spans="1:25" ht="60.75" x14ac:dyDescent="0.25">
      <c r="A158" s="3" t="s">
        <v>26</v>
      </c>
      <c r="B158" s="3" t="s">
        <v>27</v>
      </c>
      <c r="C158" s="3" t="s">
        <v>28</v>
      </c>
      <c r="D158" s="3" t="s">
        <v>29</v>
      </c>
      <c r="E158" s="3" t="s">
        <v>238</v>
      </c>
      <c r="F158" s="3" t="s">
        <v>31</v>
      </c>
      <c r="G158" s="3" t="s">
        <v>238</v>
      </c>
      <c r="H158" s="3" t="s">
        <v>78</v>
      </c>
      <c r="I158" s="3">
        <v>2025</v>
      </c>
      <c r="J158" s="3" t="str">
        <f>CONCATENATE("54820088729")</f>
        <v>54820088729</v>
      </c>
      <c r="K158" s="3" t="s">
        <v>33</v>
      </c>
      <c r="L158" s="3"/>
      <c r="M158" s="3" t="s">
        <v>128</v>
      </c>
      <c r="N158" s="3" t="str">
        <f>CONCATENATE("PCCMSM74P14I459T")</f>
        <v>PCCMSM74P14I459T</v>
      </c>
      <c r="O158" s="3" t="s">
        <v>239</v>
      </c>
      <c r="P158" s="3" t="s">
        <v>36</v>
      </c>
      <c r="Q158" s="3" t="s">
        <v>225</v>
      </c>
      <c r="R158" s="4">
        <v>46080</v>
      </c>
      <c r="S158" s="3" t="s">
        <v>38</v>
      </c>
      <c r="T158" s="3" t="s">
        <v>39</v>
      </c>
      <c r="U158" s="3" t="s">
        <v>40</v>
      </c>
      <c r="V158" s="5">
        <v>4854.95</v>
      </c>
      <c r="W158" s="5">
        <v>2063.35</v>
      </c>
      <c r="X158" s="5">
        <v>1954.12</v>
      </c>
      <c r="Y158" s="3">
        <v>837.48</v>
      </c>
    </row>
    <row r="159" spans="1:25" ht="60.75" x14ac:dyDescent="0.25">
      <c r="A159" s="3" t="s">
        <v>26</v>
      </c>
      <c r="B159" s="3" t="s">
        <v>27</v>
      </c>
      <c r="C159" s="3" t="s">
        <v>28</v>
      </c>
      <c r="D159" s="3" t="s">
        <v>44</v>
      </c>
      <c r="E159" s="3" t="s">
        <v>54</v>
      </c>
      <c r="F159" s="3" t="s">
        <v>46</v>
      </c>
      <c r="G159" s="3" t="s">
        <v>54</v>
      </c>
      <c r="H159" s="3" t="s">
        <v>55</v>
      </c>
      <c r="I159" s="3">
        <v>2025</v>
      </c>
      <c r="J159" s="3" t="str">
        <f>CONCATENATE("54820024039")</f>
        <v>54820024039</v>
      </c>
      <c r="K159" s="3" t="s">
        <v>33</v>
      </c>
      <c r="L159" s="3"/>
      <c r="M159" s="3" t="s">
        <v>128</v>
      </c>
      <c r="N159" s="3" t="str">
        <f>CONCATENATE("PCTPTR51T27D691J")</f>
        <v>PCTPTR51T27D691J</v>
      </c>
      <c r="O159" s="3" t="s">
        <v>240</v>
      </c>
      <c r="P159" s="3" t="s">
        <v>36</v>
      </c>
      <c r="Q159" s="3" t="s">
        <v>225</v>
      </c>
      <c r="R159" s="4">
        <v>46080</v>
      </c>
      <c r="S159" s="3" t="s">
        <v>38</v>
      </c>
      <c r="T159" s="3" t="s">
        <v>39</v>
      </c>
      <c r="U159" s="3" t="s">
        <v>40</v>
      </c>
      <c r="V159" s="3">
        <v>371.08</v>
      </c>
      <c r="W159" s="3">
        <v>157.71</v>
      </c>
      <c r="X159" s="3">
        <v>149.36000000000001</v>
      </c>
      <c r="Y159" s="3">
        <v>64.010000000000005</v>
      </c>
    </row>
    <row r="160" spans="1:25" ht="60.75" x14ac:dyDescent="0.25">
      <c r="A160" s="3" t="s">
        <v>26</v>
      </c>
      <c r="B160" s="3" t="s">
        <v>27</v>
      </c>
      <c r="C160" s="3" t="s">
        <v>28</v>
      </c>
      <c r="D160" s="3" t="s">
        <v>61</v>
      </c>
      <c r="E160" s="3" t="s">
        <v>65</v>
      </c>
      <c r="F160" s="3" t="s">
        <v>63</v>
      </c>
      <c r="G160" s="3" t="s">
        <v>65</v>
      </c>
      <c r="H160" s="3" t="s">
        <v>47</v>
      </c>
      <c r="I160" s="3">
        <v>2025</v>
      </c>
      <c r="J160" s="3" t="str">
        <f>CONCATENATE("54820034871")</f>
        <v>54820034871</v>
      </c>
      <c r="K160" s="3" t="s">
        <v>33</v>
      </c>
      <c r="L160" s="3"/>
      <c r="M160" s="3" t="s">
        <v>128</v>
      </c>
      <c r="N160" s="3" t="str">
        <f>CONCATENATE("PRMMNL83M61E388J")</f>
        <v>PRMMNL83M61E388J</v>
      </c>
      <c r="O160" s="3" t="s">
        <v>241</v>
      </c>
      <c r="P160" s="3" t="s">
        <v>36</v>
      </c>
      <c r="Q160" s="3" t="s">
        <v>225</v>
      </c>
      <c r="R160" s="4">
        <v>46080</v>
      </c>
      <c r="S160" s="3" t="s">
        <v>38</v>
      </c>
      <c r="T160" s="3" t="s">
        <v>39</v>
      </c>
      <c r="U160" s="3" t="s">
        <v>40</v>
      </c>
      <c r="V160" s="5">
        <v>1631.88</v>
      </c>
      <c r="W160" s="3">
        <v>693.55</v>
      </c>
      <c r="X160" s="3">
        <v>656.83</v>
      </c>
      <c r="Y160" s="3">
        <v>281.5</v>
      </c>
    </row>
    <row r="161" spans="1:25" ht="60.75" x14ac:dyDescent="0.25">
      <c r="A161" s="3" t="s">
        <v>26</v>
      </c>
      <c r="B161" s="3" t="s">
        <v>27</v>
      </c>
      <c r="C161" s="3" t="s">
        <v>28</v>
      </c>
      <c r="D161" s="3" t="s">
        <v>61</v>
      </c>
      <c r="E161" s="3" t="s">
        <v>230</v>
      </c>
      <c r="F161" s="3" t="s">
        <v>63</v>
      </c>
      <c r="G161" s="3" t="s">
        <v>230</v>
      </c>
      <c r="H161" s="3" t="s">
        <v>78</v>
      </c>
      <c r="I161" s="3">
        <v>2025</v>
      </c>
      <c r="J161" s="3" t="str">
        <f>CONCATENATE("54820093356")</f>
        <v>54820093356</v>
      </c>
      <c r="K161" s="3" t="s">
        <v>33</v>
      </c>
      <c r="L161" s="3"/>
      <c r="M161" s="3" t="s">
        <v>128</v>
      </c>
      <c r="N161" s="3" t="str">
        <f>CONCATENATE("PRCNTN59C16A783K")</f>
        <v>PRCNTN59C16A783K</v>
      </c>
      <c r="O161" s="3" t="s">
        <v>242</v>
      </c>
      <c r="P161" s="3" t="s">
        <v>36</v>
      </c>
      <c r="Q161" s="3" t="s">
        <v>225</v>
      </c>
      <c r="R161" s="4">
        <v>46080</v>
      </c>
      <c r="S161" s="3" t="s">
        <v>38</v>
      </c>
      <c r="T161" s="3" t="s">
        <v>39</v>
      </c>
      <c r="U161" s="3" t="s">
        <v>40</v>
      </c>
      <c r="V161" s="3">
        <v>716.36</v>
      </c>
      <c r="W161" s="3">
        <v>304.45</v>
      </c>
      <c r="X161" s="3">
        <v>288.33</v>
      </c>
      <c r="Y161" s="3">
        <v>123.58</v>
      </c>
    </row>
    <row r="162" spans="1:25" ht="60.75" x14ac:dyDescent="0.25">
      <c r="A162" s="3" t="s">
        <v>26</v>
      </c>
      <c r="B162" s="3" t="s">
        <v>27</v>
      </c>
      <c r="C162" s="3" t="s">
        <v>28</v>
      </c>
      <c r="D162" s="3" t="s">
        <v>61</v>
      </c>
      <c r="E162" s="3" t="s">
        <v>230</v>
      </c>
      <c r="F162" s="3" t="s">
        <v>63</v>
      </c>
      <c r="G162" s="3" t="s">
        <v>230</v>
      </c>
      <c r="H162" s="3" t="s">
        <v>78</v>
      </c>
      <c r="I162" s="3">
        <v>2025</v>
      </c>
      <c r="J162" s="3" t="str">
        <f>CONCATENATE("54820117767")</f>
        <v>54820117767</v>
      </c>
      <c r="K162" s="3" t="s">
        <v>33</v>
      </c>
      <c r="L162" s="3"/>
      <c r="M162" s="3" t="s">
        <v>128</v>
      </c>
      <c r="N162" s="3" t="str">
        <f>CONCATENATE("PPTRNG63P60B352R")</f>
        <v>PPTRNG63P60B352R</v>
      </c>
      <c r="O162" s="3" t="s">
        <v>243</v>
      </c>
      <c r="P162" s="3" t="s">
        <v>36</v>
      </c>
      <c r="Q162" s="3" t="s">
        <v>225</v>
      </c>
      <c r="R162" s="4">
        <v>46080</v>
      </c>
      <c r="S162" s="3" t="s">
        <v>38</v>
      </c>
      <c r="T162" s="3" t="s">
        <v>39</v>
      </c>
      <c r="U162" s="3" t="s">
        <v>40</v>
      </c>
      <c r="V162" s="5">
        <v>1023.69</v>
      </c>
      <c r="W162" s="3">
        <v>435.07</v>
      </c>
      <c r="X162" s="3">
        <v>412.04</v>
      </c>
      <c r="Y162" s="3">
        <v>176.58</v>
      </c>
    </row>
    <row r="163" spans="1:25" ht="60.75" x14ac:dyDescent="0.25">
      <c r="A163" s="3" t="s">
        <v>26</v>
      </c>
      <c r="B163" s="3" t="s">
        <v>27</v>
      </c>
      <c r="C163" s="3" t="s">
        <v>28</v>
      </c>
      <c r="D163" s="3" t="s">
        <v>44</v>
      </c>
      <c r="E163" s="3" t="s">
        <v>244</v>
      </c>
      <c r="F163" s="3" t="s">
        <v>46</v>
      </c>
      <c r="G163" s="3" t="s">
        <v>244</v>
      </c>
      <c r="H163" s="3" t="s">
        <v>78</v>
      </c>
      <c r="I163" s="3">
        <v>2025</v>
      </c>
      <c r="J163" s="3" t="str">
        <f>CONCATENATE("54820158878")</f>
        <v>54820158878</v>
      </c>
      <c r="K163" s="3" t="s">
        <v>33</v>
      </c>
      <c r="L163" s="3"/>
      <c r="M163" s="3" t="s">
        <v>128</v>
      </c>
      <c r="N163" s="3" t="str">
        <f>CONCATENATE("RNZTRZ43E13F502S")</f>
        <v>RNZTRZ43E13F502S</v>
      </c>
      <c r="O163" s="3" t="s">
        <v>245</v>
      </c>
      <c r="P163" s="3" t="s">
        <v>36</v>
      </c>
      <c r="Q163" s="3" t="s">
        <v>225</v>
      </c>
      <c r="R163" s="4">
        <v>46080</v>
      </c>
      <c r="S163" s="3" t="s">
        <v>38</v>
      </c>
      <c r="T163" s="3" t="s">
        <v>39</v>
      </c>
      <c r="U163" s="3" t="s">
        <v>40</v>
      </c>
      <c r="V163" s="3">
        <v>595.16</v>
      </c>
      <c r="W163" s="3">
        <v>252.94</v>
      </c>
      <c r="X163" s="3">
        <v>239.55</v>
      </c>
      <c r="Y163" s="3">
        <v>102.67</v>
      </c>
    </row>
    <row r="164" spans="1:25" ht="60.75" x14ac:dyDescent="0.25">
      <c r="A164" s="3" t="s">
        <v>26</v>
      </c>
      <c r="B164" s="3" t="s">
        <v>27</v>
      </c>
      <c r="C164" s="3" t="s">
        <v>28</v>
      </c>
      <c r="D164" s="3" t="s">
        <v>41</v>
      </c>
      <c r="E164" s="3" t="s">
        <v>121</v>
      </c>
      <c r="F164" s="3" t="s">
        <v>41</v>
      </c>
      <c r="G164" s="3" t="s">
        <v>121</v>
      </c>
      <c r="H164" s="3" t="s">
        <v>55</v>
      </c>
      <c r="I164" s="3">
        <v>2025</v>
      </c>
      <c r="J164" s="3" t="str">
        <f>CONCATENATE("54820282124")</f>
        <v>54820282124</v>
      </c>
      <c r="K164" s="3" t="s">
        <v>33</v>
      </c>
      <c r="L164" s="3"/>
      <c r="M164" s="3" t="s">
        <v>128</v>
      </c>
      <c r="N164" s="3" t="str">
        <f>CONCATENATE("SCCNZR81P07A252X")</f>
        <v>SCCNZR81P07A252X</v>
      </c>
      <c r="O164" s="3" t="s">
        <v>246</v>
      </c>
      <c r="P164" s="3" t="s">
        <v>36</v>
      </c>
      <c r="Q164" s="3" t="s">
        <v>225</v>
      </c>
      <c r="R164" s="4">
        <v>46080</v>
      </c>
      <c r="S164" s="3" t="s">
        <v>38</v>
      </c>
      <c r="T164" s="3" t="s">
        <v>39</v>
      </c>
      <c r="U164" s="3" t="s">
        <v>40</v>
      </c>
      <c r="V164" s="5">
        <v>2468.77</v>
      </c>
      <c r="W164" s="5">
        <v>1049.23</v>
      </c>
      <c r="X164" s="3">
        <v>993.68</v>
      </c>
      <c r="Y164" s="3">
        <v>425.86</v>
      </c>
    </row>
    <row r="165" spans="1:25" ht="36.75" x14ac:dyDescent="0.25">
      <c r="A165" s="3" t="s">
        <v>26</v>
      </c>
      <c r="B165" s="3" t="s">
        <v>27</v>
      </c>
      <c r="C165" s="3" t="s">
        <v>28</v>
      </c>
      <c r="D165" s="3" t="s">
        <v>61</v>
      </c>
      <c r="E165" s="3" t="s">
        <v>127</v>
      </c>
      <c r="F165" s="3" t="s">
        <v>63</v>
      </c>
      <c r="G165" s="3" t="s">
        <v>127</v>
      </c>
      <c r="H165" s="3" t="s">
        <v>78</v>
      </c>
      <c r="I165" s="3">
        <v>2025</v>
      </c>
      <c r="J165" s="3" t="str">
        <f>CONCATENATE("54820253778")</f>
        <v>54820253778</v>
      </c>
      <c r="K165" s="3" t="s">
        <v>33</v>
      </c>
      <c r="L165" s="3"/>
      <c r="M165" s="3" t="s">
        <v>128</v>
      </c>
      <c r="N165" s="3" t="str">
        <f>CONCATENATE("02034000386")</f>
        <v>02034000386</v>
      </c>
      <c r="O165" s="3" t="s">
        <v>247</v>
      </c>
      <c r="P165" s="3" t="s">
        <v>36</v>
      </c>
      <c r="Q165" s="3" t="s">
        <v>225</v>
      </c>
      <c r="R165" s="4">
        <v>46080</v>
      </c>
      <c r="S165" s="3" t="s">
        <v>38</v>
      </c>
      <c r="T165" s="3" t="s">
        <v>39</v>
      </c>
      <c r="U165" s="3" t="s">
        <v>40</v>
      </c>
      <c r="V165" s="5">
        <v>7446.68</v>
      </c>
      <c r="W165" s="5">
        <v>3164.84</v>
      </c>
      <c r="X165" s="5">
        <v>2997.29</v>
      </c>
      <c r="Y165" s="5">
        <v>1284.55</v>
      </c>
    </row>
    <row r="166" spans="1:25" ht="36.75" x14ac:dyDescent="0.25">
      <c r="A166" s="3" t="s">
        <v>26</v>
      </c>
      <c r="B166" s="3" t="s">
        <v>27</v>
      </c>
      <c r="C166" s="3" t="s">
        <v>28</v>
      </c>
      <c r="D166" s="3" t="s">
        <v>29</v>
      </c>
      <c r="E166" s="3" t="s">
        <v>94</v>
      </c>
      <c r="F166" s="3" t="s">
        <v>31</v>
      </c>
      <c r="G166" s="3" t="s">
        <v>94</v>
      </c>
      <c r="H166" s="3" t="s">
        <v>78</v>
      </c>
      <c r="I166" s="3">
        <v>2025</v>
      </c>
      <c r="J166" s="3" t="str">
        <f>CONCATENATE("54820026653")</f>
        <v>54820026653</v>
      </c>
      <c r="K166" s="3" t="s">
        <v>33</v>
      </c>
      <c r="L166" s="3"/>
      <c r="M166" s="3" t="s">
        <v>128</v>
      </c>
      <c r="N166" s="3" t="str">
        <f>CONCATENATE("02557860414")</f>
        <v>02557860414</v>
      </c>
      <c r="O166" s="3" t="s">
        <v>248</v>
      </c>
      <c r="P166" s="3" t="s">
        <v>36</v>
      </c>
      <c r="Q166" s="3" t="s">
        <v>225</v>
      </c>
      <c r="R166" s="4">
        <v>46080</v>
      </c>
      <c r="S166" s="3" t="s">
        <v>38</v>
      </c>
      <c r="T166" s="3" t="s">
        <v>39</v>
      </c>
      <c r="U166" s="3" t="s">
        <v>40</v>
      </c>
      <c r="V166" s="3">
        <v>380.49</v>
      </c>
      <c r="W166" s="3">
        <v>161.71</v>
      </c>
      <c r="X166" s="3">
        <v>153.15</v>
      </c>
      <c r="Y166" s="3">
        <v>65.63</v>
      </c>
    </row>
    <row r="167" spans="1:25" ht="36.75" x14ac:dyDescent="0.25">
      <c r="A167" s="3" t="s">
        <v>26</v>
      </c>
      <c r="B167" s="3" t="s">
        <v>27</v>
      </c>
      <c r="C167" s="3" t="s">
        <v>28</v>
      </c>
      <c r="D167" s="3" t="s">
        <v>29</v>
      </c>
      <c r="E167" s="3" t="s">
        <v>249</v>
      </c>
      <c r="F167" s="3" t="s">
        <v>31</v>
      </c>
      <c r="G167" s="3" t="s">
        <v>249</v>
      </c>
      <c r="H167" s="3" t="s">
        <v>32</v>
      </c>
      <c r="I167" s="3">
        <v>2025</v>
      </c>
      <c r="J167" s="3" t="str">
        <f>CONCATENATE("54820018072")</f>
        <v>54820018072</v>
      </c>
      <c r="K167" s="3" t="s">
        <v>33</v>
      </c>
      <c r="L167" s="3"/>
      <c r="M167" s="3" t="s">
        <v>128</v>
      </c>
      <c r="N167" s="3" t="str">
        <f>CONCATENATE("01947130439")</f>
        <v>01947130439</v>
      </c>
      <c r="O167" s="3" t="s">
        <v>250</v>
      </c>
      <c r="P167" s="3" t="s">
        <v>36</v>
      </c>
      <c r="Q167" s="3" t="s">
        <v>225</v>
      </c>
      <c r="R167" s="4">
        <v>46080</v>
      </c>
      <c r="S167" s="3" t="s">
        <v>38</v>
      </c>
      <c r="T167" s="3" t="s">
        <v>39</v>
      </c>
      <c r="U167" s="3" t="s">
        <v>40</v>
      </c>
      <c r="V167" s="5">
        <v>1670.13</v>
      </c>
      <c r="W167" s="3">
        <v>709.81</v>
      </c>
      <c r="X167" s="3">
        <v>672.23</v>
      </c>
      <c r="Y167" s="3">
        <v>288.08999999999997</v>
      </c>
    </row>
    <row r="168" spans="1:25" ht="36.75" x14ac:dyDescent="0.25">
      <c r="A168" s="3" t="s">
        <v>26</v>
      </c>
      <c r="B168" s="3" t="s">
        <v>27</v>
      </c>
      <c r="C168" s="3" t="s">
        <v>28</v>
      </c>
      <c r="D168" s="3" t="s">
        <v>44</v>
      </c>
      <c r="E168" s="3" t="s">
        <v>244</v>
      </c>
      <c r="F168" s="3" t="s">
        <v>46</v>
      </c>
      <c r="G168" s="3" t="s">
        <v>244</v>
      </c>
      <c r="H168" s="3" t="s">
        <v>78</v>
      </c>
      <c r="I168" s="3">
        <v>2025</v>
      </c>
      <c r="J168" s="3" t="str">
        <f>CONCATENATE("54820211008")</f>
        <v>54820211008</v>
      </c>
      <c r="K168" s="3" t="s">
        <v>33</v>
      </c>
      <c r="L168" s="3"/>
      <c r="M168" s="3" t="s">
        <v>128</v>
      </c>
      <c r="N168" s="3" t="str">
        <f>CONCATENATE("01409470547")</f>
        <v>01409470547</v>
      </c>
      <c r="O168" s="3" t="s">
        <v>251</v>
      </c>
      <c r="P168" s="3" t="s">
        <v>36</v>
      </c>
      <c r="Q168" s="3" t="s">
        <v>225</v>
      </c>
      <c r="R168" s="4">
        <v>46080</v>
      </c>
      <c r="S168" s="3" t="s">
        <v>38</v>
      </c>
      <c r="T168" s="3" t="s">
        <v>39</v>
      </c>
      <c r="U168" s="3" t="s">
        <v>40</v>
      </c>
      <c r="V168" s="5">
        <v>2561.64</v>
      </c>
      <c r="W168" s="5">
        <v>1088.7</v>
      </c>
      <c r="X168" s="5">
        <v>1031.06</v>
      </c>
      <c r="Y168" s="3">
        <v>441.88</v>
      </c>
    </row>
    <row r="169" spans="1:25" ht="60.75" x14ac:dyDescent="0.25">
      <c r="A169" s="3" t="s">
        <v>26</v>
      </c>
      <c r="B169" s="3" t="s">
        <v>27</v>
      </c>
      <c r="C169" s="3" t="s">
        <v>28</v>
      </c>
      <c r="D169" s="3" t="s">
        <v>41</v>
      </c>
      <c r="E169" s="3" t="s">
        <v>121</v>
      </c>
      <c r="F169" s="3" t="s">
        <v>41</v>
      </c>
      <c r="G169" s="3" t="s">
        <v>121</v>
      </c>
      <c r="H169" s="3" t="s">
        <v>55</v>
      </c>
      <c r="I169" s="3">
        <v>2025</v>
      </c>
      <c r="J169" s="3" t="str">
        <f>CONCATENATE("54820144902")</f>
        <v>54820144902</v>
      </c>
      <c r="K169" s="3" t="s">
        <v>33</v>
      </c>
      <c r="L169" s="3"/>
      <c r="M169" s="3" t="s">
        <v>128</v>
      </c>
      <c r="N169" s="3" t="str">
        <f>CONCATENATE("TSSGLI55C26C935L")</f>
        <v>TSSGLI55C26C935L</v>
      </c>
      <c r="O169" s="3" t="s">
        <v>252</v>
      </c>
      <c r="P169" s="3" t="s">
        <v>36</v>
      </c>
      <c r="Q169" s="3" t="s">
        <v>225</v>
      </c>
      <c r="R169" s="4">
        <v>46080</v>
      </c>
      <c r="S169" s="3" t="s">
        <v>38</v>
      </c>
      <c r="T169" s="3" t="s">
        <v>39</v>
      </c>
      <c r="U169" s="3" t="s">
        <v>40</v>
      </c>
      <c r="V169" s="3">
        <v>425.31</v>
      </c>
      <c r="W169" s="3">
        <v>180.76</v>
      </c>
      <c r="X169" s="3">
        <v>171.19</v>
      </c>
      <c r="Y169" s="3">
        <v>73.36</v>
      </c>
    </row>
    <row r="170" spans="1:25" ht="60.75" x14ac:dyDescent="0.25">
      <c r="A170" s="3" t="s">
        <v>26</v>
      </c>
      <c r="B170" s="3" t="s">
        <v>27</v>
      </c>
      <c r="C170" s="3" t="s">
        <v>28</v>
      </c>
      <c r="D170" s="3" t="s">
        <v>44</v>
      </c>
      <c r="E170" s="3" t="s">
        <v>253</v>
      </c>
      <c r="F170" s="3" t="s">
        <v>46</v>
      </c>
      <c r="G170" s="3" t="s">
        <v>253</v>
      </c>
      <c r="H170" s="3" t="s">
        <v>78</v>
      </c>
      <c r="I170" s="3">
        <v>2025</v>
      </c>
      <c r="J170" s="3" t="str">
        <f>CONCATENATE("54820067400")</f>
        <v>54820067400</v>
      </c>
      <c r="K170" s="3" t="s">
        <v>33</v>
      </c>
      <c r="L170" s="3"/>
      <c r="M170" s="3" t="s">
        <v>128</v>
      </c>
      <c r="N170" s="3" t="str">
        <f>CONCATENATE("TPOSFN80M22E785O")</f>
        <v>TPOSFN80M22E785O</v>
      </c>
      <c r="O170" s="3" t="s">
        <v>254</v>
      </c>
      <c r="P170" s="3" t="s">
        <v>36</v>
      </c>
      <c r="Q170" s="3" t="s">
        <v>225</v>
      </c>
      <c r="R170" s="4">
        <v>46080</v>
      </c>
      <c r="S170" s="3" t="s">
        <v>38</v>
      </c>
      <c r="T170" s="3" t="s">
        <v>39</v>
      </c>
      <c r="U170" s="3" t="s">
        <v>40</v>
      </c>
      <c r="V170" s="5">
        <v>5413.73</v>
      </c>
      <c r="W170" s="5">
        <v>2300.84</v>
      </c>
      <c r="X170" s="5">
        <v>2179.0300000000002</v>
      </c>
      <c r="Y170" s="3">
        <v>933.86</v>
      </c>
    </row>
    <row r="171" spans="1:25" ht="72.75" x14ac:dyDescent="0.25">
      <c r="A171" s="3" t="s">
        <v>26</v>
      </c>
      <c r="B171" s="3" t="s">
        <v>27</v>
      </c>
      <c r="C171" s="3" t="s">
        <v>28</v>
      </c>
      <c r="D171" s="3" t="s">
        <v>29</v>
      </c>
      <c r="E171" s="3" t="s">
        <v>249</v>
      </c>
      <c r="F171" s="3" t="s">
        <v>31</v>
      </c>
      <c r="G171" s="3" t="s">
        <v>249</v>
      </c>
      <c r="H171" s="3" t="s">
        <v>32</v>
      </c>
      <c r="I171" s="3">
        <v>2025</v>
      </c>
      <c r="J171" s="3" t="str">
        <f>CONCATENATE("54820018544")</f>
        <v>54820018544</v>
      </c>
      <c r="K171" s="3" t="s">
        <v>33</v>
      </c>
      <c r="L171" s="3"/>
      <c r="M171" s="3" t="s">
        <v>128</v>
      </c>
      <c r="N171" s="3" t="str">
        <f>CONCATENATE("TRGGMN87P20B474L")</f>
        <v>TRGGMN87P20B474L</v>
      </c>
      <c r="O171" s="3" t="s">
        <v>255</v>
      </c>
      <c r="P171" s="3" t="s">
        <v>36</v>
      </c>
      <c r="Q171" s="3" t="s">
        <v>225</v>
      </c>
      <c r="R171" s="4">
        <v>46080</v>
      </c>
      <c r="S171" s="3" t="s">
        <v>38</v>
      </c>
      <c r="T171" s="3" t="s">
        <v>39</v>
      </c>
      <c r="U171" s="3" t="s">
        <v>40</v>
      </c>
      <c r="V171" s="3">
        <v>969.7</v>
      </c>
      <c r="W171" s="3">
        <v>412.12</v>
      </c>
      <c r="X171" s="3">
        <v>390.3</v>
      </c>
      <c r="Y171" s="3">
        <v>167.28</v>
      </c>
    </row>
    <row r="172" spans="1:25" ht="60.75" x14ac:dyDescent="0.25">
      <c r="A172" s="3" t="s">
        <v>26</v>
      </c>
      <c r="B172" s="3" t="s">
        <v>27</v>
      </c>
      <c r="C172" s="3" t="s">
        <v>28</v>
      </c>
      <c r="D172" s="3" t="s">
        <v>44</v>
      </c>
      <c r="E172" s="3" t="s">
        <v>256</v>
      </c>
      <c r="F172" s="3" t="s">
        <v>46</v>
      </c>
      <c r="G172" s="3" t="s">
        <v>256</v>
      </c>
      <c r="H172" s="3" t="s">
        <v>55</v>
      </c>
      <c r="I172" s="3">
        <v>2025</v>
      </c>
      <c r="J172" s="3" t="str">
        <f>CONCATENATE("54820081880")</f>
        <v>54820081880</v>
      </c>
      <c r="K172" s="3" t="s">
        <v>33</v>
      </c>
      <c r="L172" s="3"/>
      <c r="M172" s="3" t="s">
        <v>128</v>
      </c>
      <c r="N172" s="3" t="str">
        <f>CONCATENATE("TRNGZN61H28A462L")</f>
        <v>TRNGZN61H28A462L</v>
      </c>
      <c r="O172" s="3" t="s">
        <v>257</v>
      </c>
      <c r="P172" s="3" t="s">
        <v>36</v>
      </c>
      <c r="Q172" s="3" t="s">
        <v>225</v>
      </c>
      <c r="R172" s="4">
        <v>46080</v>
      </c>
      <c r="S172" s="3" t="s">
        <v>38</v>
      </c>
      <c r="T172" s="3" t="s">
        <v>39</v>
      </c>
      <c r="U172" s="3" t="s">
        <v>40</v>
      </c>
      <c r="V172" s="3">
        <v>317.3</v>
      </c>
      <c r="W172" s="3">
        <v>134.85</v>
      </c>
      <c r="X172" s="3">
        <v>127.71</v>
      </c>
      <c r="Y172" s="3">
        <v>54.74</v>
      </c>
    </row>
    <row r="173" spans="1:25" ht="60.75" x14ac:dyDescent="0.25">
      <c r="A173" s="3" t="s">
        <v>26</v>
      </c>
      <c r="B173" s="3" t="s">
        <v>27</v>
      </c>
      <c r="C173" s="3" t="s">
        <v>28</v>
      </c>
      <c r="D173" s="3" t="s">
        <v>29</v>
      </c>
      <c r="E173" s="3" t="s">
        <v>249</v>
      </c>
      <c r="F173" s="3" t="s">
        <v>31</v>
      </c>
      <c r="G173" s="3" t="s">
        <v>249</v>
      </c>
      <c r="H173" s="3" t="s">
        <v>32</v>
      </c>
      <c r="I173" s="3">
        <v>2025</v>
      </c>
      <c r="J173" s="3" t="str">
        <f>CONCATENATE("54820017306")</f>
        <v>54820017306</v>
      </c>
      <c r="K173" s="3" t="s">
        <v>33</v>
      </c>
      <c r="L173" s="3"/>
      <c r="M173" s="3" t="s">
        <v>128</v>
      </c>
      <c r="N173" s="3" t="str">
        <f>CONCATENATE("PRNMLS59D42G637X")</f>
        <v>PRNMLS59D42G637X</v>
      </c>
      <c r="O173" s="3" t="s">
        <v>258</v>
      </c>
      <c r="P173" s="3" t="s">
        <v>36</v>
      </c>
      <c r="Q173" s="3" t="s">
        <v>225</v>
      </c>
      <c r="R173" s="4">
        <v>46080</v>
      </c>
      <c r="S173" s="3" t="s">
        <v>38</v>
      </c>
      <c r="T173" s="3" t="s">
        <v>39</v>
      </c>
      <c r="U173" s="3" t="s">
        <v>40</v>
      </c>
      <c r="V173" s="5">
        <v>2271.9499999999998</v>
      </c>
      <c r="W173" s="3">
        <v>965.58</v>
      </c>
      <c r="X173" s="3">
        <v>914.46</v>
      </c>
      <c r="Y173" s="3">
        <v>391.91</v>
      </c>
    </row>
    <row r="174" spans="1:25" ht="60.75" x14ac:dyDescent="0.25">
      <c r="A174" s="3" t="s">
        <v>26</v>
      </c>
      <c r="B174" s="3" t="s">
        <v>27</v>
      </c>
      <c r="C174" s="3" t="s">
        <v>28</v>
      </c>
      <c r="D174" s="3" t="s">
        <v>44</v>
      </c>
      <c r="E174" s="3" t="s">
        <v>88</v>
      </c>
      <c r="F174" s="3" t="s">
        <v>46</v>
      </c>
      <c r="G174" s="3" t="s">
        <v>88</v>
      </c>
      <c r="H174" s="3" t="s">
        <v>78</v>
      </c>
      <c r="I174" s="3">
        <v>2025</v>
      </c>
      <c r="J174" s="3" t="str">
        <f>CONCATENATE("54820089388")</f>
        <v>54820089388</v>
      </c>
      <c r="K174" s="3" t="s">
        <v>33</v>
      </c>
      <c r="L174" s="3"/>
      <c r="M174" s="3" t="s">
        <v>128</v>
      </c>
      <c r="N174" s="3" t="str">
        <f>CONCATENATE("RMTJTH95E31D488L")</f>
        <v>RMTJTH95E31D488L</v>
      </c>
      <c r="O174" s="3" t="s">
        <v>259</v>
      </c>
      <c r="P174" s="3" t="s">
        <v>36</v>
      </c>
      <c r="Q174" s="3" t="s">
        <v>225</v>
      </c>
      <c r="R174" s="4">
        <v>46080</v>
      </c>
      <c r="S174" s="3" t="s">
        <v>38</v>
      </c>
      <c r="T174" s="3" t="s">
        <v>39</v>
      </c>
      <c r="U174" s="3" t="s">
        <v>40</v>
      </c>
      <c r="V174" s="5">
        <v>1369.04</v>
      </c>
      <c r="W174" s="3">
        <v>581.84</v>
      </c>
      <c r="X174" s="3">
        <v>551.04</v>
      </c>
      <c r="Y174" s="3">
        <v>236.16</v>
      </c>
    </row>
    <row r="175" spans="1:25" ht="72.75" x14ac:dyDescent="0.25">
      <c r="A175" s="3" t="s">
        <v>26</v>
      </c>
      <c r="B175" s="3" t="s">
        <v>27</v>
      </c>
      <c r="C175" s="3" t="s">
        <v>28</v>
      </c>
      <c r="D175" s="3" t="s">
        <v>29</v>
      </c>
      <c r="E175" s="3" t="s">
        <v>232</v>
      </c>
      <c r="F175" s="3" t="s">
        <v>31</v>
      </c>
      <c r="G175" s="3" t="s">
        <v>232</v>
      </c>
      <c r="H175" s="3" t="s">
        <v>32</v>
      </c>
      <c r="I175" s="3">
        <v>2025</v>
      </c>
      <c r="J175" s="3" t="str">
        <f>CONCATENATE("54820413794")</f>
        <v>54820413794</v>
      </c>
      <c r="K175" s="3" t="s">
        <v>33</v>
      </c>
      <c r="L175" s="3"/>
      <c r="M175" s="3" t="s">
        <v>128</v>
      </c>
      <c r="N175" s="3" t="str">
        <f>CONCATENATE("SBSDMN91B16I156V")</f>
        <v>SBSDMN91B16I156V</v>
      </c>
      <c r="O175" s="3" t="s">
        <v>260</v>
      </c>
      <c r="P175" s="3" t="s">
        <v>36</v>
      </c>
      <c r="Q175" s="3" t="s">
        <v>225</v>
      </c>
      <c r="R175" s="4">
        <v>46080</v>
      </c>
      <c r="S175" s="3" t="s">
        <v>38</v>
      </c>
      <c r="T175" s="3" t="s">
        <v>39</v>
      </c>
      <c r="U175" s="3" t="s">
        <v>40</v>
      </c>
      <c r="V175" s="3">
        <v>843.98</v>
      </c>
      <c r="W175" s="3">
        <v>358.69</v>
      </c>
      <c r="X175" s="3">
        <v>339.7</v>
      </c>
      <c r="Y175" s="3">
        <v>145.59</v>
      </c>
    </row>
    <row r="176" spans="1:25" ht="60.75" x14ac:dyDescent="0.25">
      <c r="A176" s="3" t="s">
        <v>26</v>
      </c>
      <c r="B176" s="3" t="s">
        <v>27</v>
      </c>
      <c r="C176" s="3" t="s">
        <v>28</v>
      </c>
      <c r="D176" s="3" t="s">
        <v>29</v>
      </c>
      <c r="E176" s="3" t="s">
        <v>232</v>
      </c>
      <c r="F176" s="3" t="s">
        <v>31</v>
      </c>
      <c r="G176" s="3" t="s">
        <v>232</v>
      </c>
      <c r="H176" s="3" t="s">
        <v>32</v>
      </c>
      <c r="I176" s="3">
        <v>2025</v>
      </c>
      <c r="J176" s="3" t="str">
        <f>CONCATENATE("54820172796")</f>
        <v>54820172796</v>
      </c>
      <c r="K176" s="3" t="s">
        <v>33</v>
      </c>
      <c r="L176" s="3"/>
      <c r="M176" s="3" t="s">
        <v>128</v>
      </c>
      <c r="N176" s="3" t="str">
        <f>CONCATENATE("SBSMRC95P04I156J")</f>
        <v>SBSMRC95P04I156J</v>
      </c>
      <c r="O176" s="3" t="s">
        <v>261</v>
      </c>
      <c r="P176" s="3" t="s">
        <v>36</v>
      </c>
      <c r="Q176" s="3" t="s">
        <v>225</v>
      </c>
      <c r="R176" s="4">
        <v>46080</v>
      </c>
      <c r="S176" s="3" t="s">
        <v>38</v>
      </c>
      <c r="T176" s="3" t="s">
        <v>39</v>
      </c>
      <c r="U176" s="3" t="s">
        <v>40</v>
      </c>
      <c r="V176" s="3">
        <v>581.57000000000005</v>
      </c>
      <c r="W176" s="3">
        <v>247.17</v>
      </c>
      <c r="X176" s="3">
        <v>234.08</v>
      </c>
      <c r="Y176" s="3">
        <v>100.32</v>
      </c>
    </row>
    <row r="177" spans="1:25" ht="60.75" x14ac:dyDescent="0.25">
      <c r="A177" s="3" t="s">
        <v>26</v>
      </c>
      <c r="B177" s="3" t="s">
        <v>27</v>
      </c>
      <c r="C177" s="3" t="s">
        <v>28</v>
      </c>
      <c r="D177" s="3" t="s">
        <v>75</v>
      </c>
      <c r="E177" s="3" t="s">
        <v>76</v>
      </c>
      <c r="F177" s="3" t="s">
        <v>77</v>
      </c>
      <c r="G177" s="3" t="s">
        <v>76</v>
      </c>
      <c r="H177" s="3" t="s">
        <v>78</v>
      </c>
      <c r="I177" s="3">
        <v>2025</v>
      </c>
      <c r="J177" s="3" t="str">
        <f>CONCATENATE("54820207469")</f>
        <v>54820207469</v>
      </c>
      <c r="K177" s="3" t="s">
        <v>33</v>
      </c>
      <c r="L177" s="3"/>
      <c r="M177" s="3" t="s">
        <v>128</v>
      </c>
      <c r="N177" s="3" t="str">
        <f>CONCATENATE("SNSMLE65B41A366F")</f>
        <v>SNSMLE65B41A366F</v>
      </c>
      <c r="O177" s="3" t="s">
        <v>262</v>
      </c>
      <c r="P177" s="3" t="s">
        <v>36</v>
      </c>
      <c r="Q177" s="3" t="s">
        <v>225</v>
      </c>
      <c r="R177" s="4">
        <v>46080</v>
      </c>
      <c r="S177" s="3" t="s">
        <v>38</v>
      </c>
      <c r="T177" s="3" t="s">
        <v>39</v>
      </c>
      <c r="U177" s="3" t="s">
        <v>40</v>
      </c>
      <c r="V177" s="3">
        <v>422.28</v>
      </c>
      <c r="W177" s="3">
        <v>179.47</v>
      </c>
      <c r="X177" s="3">
        <v>169.97</v>
      </c>
      <c r="Y177" s="3">
        <v>72.84</v>
      </c>
    </row>
    <row r="178" spans="1:25" ht="48.75" x14ac:dyDescent="0.25">
      <c r="A178" s="3" t="s">
        <v>26</v>
      </c>
      <c r="B178" s="3" t="s">
        <v>27</v>
      </c>
      <c r="C178" s="3" t="s">
        <v>28</v>
      </c>
      <c r="D178" s="3" t="s">
        <v>41</v>
      </c>
      <c r="E178" s="3" t="s">
        <v>121</v>
      </c>
      <c r="F178" s="3" t="s">
        <v>41</v>
      </c>
      <c r="G178" s="3" t="s">
        <v>121</v>
      </c>
      <c r="H178" s="3" t="s">
        <v>55</v>
      </c>
      <c r="I178" s="3">
        <v>2025</v>
      </c>
      <c r="J178" s="3" t="str">
        <f>CONCATENATE("54820144852")</f>
        <v>54820144852</v>
      </c>
      <c r="K178" s="3" t="s">
        <v>33</v>
      </c>
      <c r="L178" s="3"/>
      <c r="M178" s="3" t="s">
        <v>128</v>
      </c>
      <c r="N178" s="3" t="str">
        <f>CONCATENATE("SLQLNI63E58F509C")</f>
        <v>SLQLNI63E58F509C</v>
      </c>
      <c r="O178" s="3" t="s">
        <v>263</v>
      </c>
      <c r="P178" s="3" t="s">
        <v>36</v>
      </c>
      <c r="Q178" s="3" t="s">
        <v>225</v>
      </c>
      <c r="R178" s="4">
        <v>46080</v>
      </c>
      <c r="S178" s="3" t="s">
        <v>38</v>
      </c>
      <c r="T178" s="3" t="s">
        <v>39</v>
      </c>
      <c r="U178" s="3" t="s">
        <v>40</v>
      </c>
      <c r="V178" s="5">
        <v>1912.17</v>
      </c>
      <c r="W178" s="3">
        <v>812.67</v>
      </c>
      <c r="X178" s="3">
        <v>769.65</v>
      </c>
      <c r="Y178" s="3">
        <v>329.85</v>
      </c>
    </row>
    <row r="179" spans="1:25" ht="36.75" x14ac:dyDescent="0.25">
      <c r="A179" s="3" t="s">
        <v>26</v>
      </c>
      <c r="B179" s="3" t="s">
        <v>27</v>
      </c>
      <c r="C179" s="3" t="s">
        <v>28</v>
      </c>
      <c r="D179" s="3" t="s">
        <v>61</v>
      </c>
      <c r="E179" s="3" t="s">
        <v>230</v>
      </c>
      <c r="F179" s="3" t="s">
        <v>63</v>
      </c>
      <c r="G179" s="3" t="s">
        <v>230</v>
      </c>
      <c r="H179" s="3" t="s">
        <v>78</v>
      </c>
      <c r="I179" s="3">
        <v>2025</v>
      </c>
      <c r="J179" s="3" t="str">
        <f>CONCATENATE("54820211438")</f>
        <v>54820211438</v>
      </c>
      <c r="K179" s="3" t="s">
        <v>33</v>
      </c>
      <c r="L179" s="3"/>
      <c r="M179" s="3" t="s">
        <v>128</v>
      </c>
      <c r="N179" s="3" t="str">
        <f>CONCATENATE("02596960415")</f>
        <v>02596960415</v>
      </c>
      <c r="O179" s="3" t="s">
        <v>264</v>
      </c>
      <c r="P179" s="3" t="s">
        <v>36</v>
      </c>
      <c r="Q179" s="3" t="s">
        <v>225</v>
      </c>
      <c r="R179" s="4">
        <v>46080</v>
      </c>
      <c r="S179" s="3" t="s">
        <v>38</v>
      </c>
      <c r="T179" s="3" t="s">
        <v>39</v>
      </c>
      <c r="U179" s="3" t="s">
        <v>40</v>
      </c>
      <c r="V179" s="5">
        <v>1927.53</v>
      </c>
      <c r="W179" s="3">
        <v>819.2</v>
      </c>
      <c r="X179" s="3">
        <v>775.83</v>
      </c>
      <c r="Y179" s="3">
        <v>332.5</v>
      </c>
    </row>
    <row r="180" spans="1:25" ht="36.75" x14ac:dyDescent="0.25">
      <c r="A180" s="3" t="s">
        <v>26</v>
      </c>
      <c r="B180" s="3" t="s">
        <v>27</v>
      </c>
      <c r="C180" s="3" t="s">
        <v>28</v>
      </c>
      <c r="D180" s="3" t="s">
        <v>29</v>
      </c>
      <c r="E180" s="3" t="s">
        <v>265</v>
      </c>
      <c r="F180" s="3" t="s">
        <v>31</v>
      </c>
      <c r="G180" s="3" t="s">
        <v>265</v>
      </c>
      <c r="H180" s="3" t="s">
        <v>32</v>
      </c>
      <c r="I180" s="3">
        <v>2025</v>
      </c>
      <c r="J180" s="3" t="str">
        <f>CONCATENATE("54820144217")</f>
        <v>54820144217</v>
      </c>
      <c r="K180" s="3" t="s">
        <v>33</v>
      </c>
      <c r="L180" s="3"/>
      <c r="M180" s="3" t="s">
        <v>128</v>
      </c>
      <c r="N180" s="3" t="str">
        <f>CONCATENATE("01661010437")</f>
        <v>01661010437</v>
      </c>
      <c r="O180" s="3" t="s">
        <v>266</v>
      </c>
      <c r="P180" s="3" t="s">
        <v>36</v>
      </c>
      <c r="Q180" s="3" t="s">
        <v>225</v>
      </c>
      <c r="R180" s="4">
        <v>46080</v>
      </c>
      <c r="S180" s="3" t="s">
        <v>38</v>
      </c>
      <c r="T180" s="3" t="s">
        <v>39</v>
      </c>
      <c r="U180" s="3" t="s">
        <v>40</v>
      </c>
      <c r="V180" s="5">
        <v>4971.1400000000003</v>
      </c>
      <c r="W180" s="5">
        <v>2112.73</v>
      </c>
      <c r="X180" s="5">
        <v>2000.88</v>
      </c>
      <c r="Y180" s="3">
        <v>857.53</v>
      </c>
    </row>
    <row r="181" spans="1:25" ht="36.75" x14ac:dyDescent="0.25">
      <c r="A181" s="3" t="s">
        <v>26</v>
      </c>
      <c r="B181" s="3" t="s">
        <v>27</v>
      </c>
      <c r="C181" s="3" t="s">
        <v>28</v>
      </c>
      <c r="D181" s="3" t="s">
        <v>29</v>
      </c>
      <c r="E181" s="3" t="s">
        <v>232</v>
      </c>
      <c r="F181" s="3" t="s">
        <v>31</v>
      </c>
      <c r="G181" s="3" t="s">
        <v>232</v>
      </c>
      <c r="H181" s="3" t="s">
        <v>32</v>
      </c>
      <c r="I181" s="3">
        <v>2025</v>
      </c>
      <c r="J181" s="3" t="str">
        <f>CONCATENATE("54820360755")</f>
        <v>54820360755</v>
      </c>
      <c r="K181" s="3" t="s">
        <v>33</v>
      </c>
      <c r="L181" s="3"/>
      <c r="M181" s="3" t="s">
        <v>128</v>
      </c>
      <c r="N181" s="3" t="str">
        <f>CONCATENATE("01434100432")</f>
        <v>01434100432</v>
      </c>
      <c r="O181" s="3" t="s">
        <v>267</v>
      </c>
      <c r="P181" s="3" t="s">
        <v>36</v>
      </c>
      <c r="Q181" s="3" t="s">
        <v>225</v>
      </c>
      <c r="R181" s="4">
        <v>46080</v>
      </c>
      <c r="S181" s="3" t="s">
        <v>38</v>
      </c>
      <c r="T181" s="3" t="s">
        <v>39</v>
      </c>
      <c r="U181" s="3" t="s">
        <v>40</v>
      </c>
      <c r="V181" s="3">
        <v>105.62</v>
      </c>
      <c r="W181" s="3">
        <v>44.89</v>
      </c>
      <c r="X181" s="3">
        <v>42.51</v>
      </c>
      <c r="Y181" s="3">
        <v>18.22</v>
      </c>
    </row>
    <row r="182" spans="1:25" ht="36.75" x14ac:dyDescent="0.25">
      <c r="A182" s="3" t="s">
        <v>26</v>
      </c>
      <c r="B182" s="3" t="s">
        <v>27</v>
      </c>
      <c r="C182" s="3" t="s">
        <v>28</v>
      </c>
      <c r="D182" s="3" t="s">
        <v>41</v>
      </c>
      <c r="E182" s="3" t="s">
        <v>121</v>
      </c>
      <c r="F182" s="3" t="s">
        <v>41</v>
      </c>
      <c r="G182" s="3" t="s">
        <v>121</v>
      </c>
      <c r="H182" s="3" t="s">
        <v>55</v>
      </c>
      <c r="I182" s="3">
        <v>2025</v>
      </c>
      <c r="J182" s="3" t="str">
        <f>CONCATENATE("54820137476")</f>
        <v>54820137476</v>
      </c>
      <c r="K182" s="3" t="s">
        <v>33</v>
      </c>
      <c r="L182" s="3"/>
      <c r="M182" s="3" t="s">
        <v>128</v>
      </c>
      <c r="N182" s="3" t="str">
        <f>CONCATENATE("01940810441")</f>
        <v>01940810441</v>
      </c>
      <c r="O182" s="3" t="s">
        <v>268</v>
      </c>
      <c r="P182" s="3" t="s">
        <v>36</v>
      </c>
      <c r="Q182" s="3" t="s">
        <v>225</v>
      </c>
      <c r="R182" s="4">
        <v>46080</v>
      </c>
      <c r="S182" s="3" t="s">
        <v>38</v>
      </c>
      <c r="T182" s="3" t="s">
        <v>39</v>
      </c>
      <c r="U182" s="3" t="s">
        <v>40</v>
      </c>
      <c r="V182" s="3">
        <v>696.99</v>
      </c>
      <c r="W182" s="3">
        <v>296.22000000000003</v>
      </c>
      <c r="X182" s="3">
        <v>280.54000000000002</v>
      </c>
      <c r="Y182" s="3">
        <v>120.23</v>
      </c>
    </row>
    <row r="183" spans="1:25" ht="36.75" x14ac:dyDescent="0.25">
      <c r="A183" s="3" t="s">
        <v>26</v>
      </c>
      <c r="B183" s="3" t="s">
        <v>27</v>
      </c>
      <c r="C183" s="3" t="s">
        <v>28</v>
      </c>
      <c r="D183" s="3" t="s">
        <v>75</v>
      </c>
      <c r="E183" s="3" t="s">
        <v>76</v>
      </c>
      <c r="F183" s="3" t="s">
        <v>77</v>
      </c>
      <c r="G183" s="3" t="s">
        <v>76</v>
      </c>
      <c r="H183" s="3" t="s">
        <v>78</v>
      </c>
      <c r="I183" s="3">
        <v>2025</v>
      </c>
      <c r="J183" s="3" t="str">
        <f>CONCATENATE("54820229083")</f>
        <v>54820229083</v>
      </c>
      <c r="K183" s="3" t="s">
        <v>33</v>
      </c>
      <c r="L183" s="3"/>
      <c r="M183" s="3" t="s">
        <v>128</v>
      </c>
      <c r="N183" s="3" t="str">
        <f>CONCATENATE("00626110415")</f>
        <v>00626110415</v>
      </c>
      <c r="O183" s="3" t="s">
        <v>269</v>
      </c>
      <c r="P183" s="3" t="s">
        <v>36</v>
      </c>
      <c r="Q183" s="3" t="s">
        <v>225</v>
      </c>
      <c r="R183" s="4">
        <v>46080</v>
      </c>
      <c r="S183" s="3" t="s">
        <v>38</v>
      </c>
      <c r="T183" s="3" t="s">
        <v>39</v>
      </c>
      <c r="U183" s="3" t="s">
        <v>40</v>
      </c>
      <c r="V183" s="3">
        <v>706.31</v>
      </c>
      <c r="W183" s="3">
        <v>300.18</v>
      </c>
      <c r="X183" s="3">
        <v>284.29000000000002</v>
      </c>
      <c r="Y183" s="3">
        <v>121.84</v>
      </c>
    </row>
    <row r="184" spans="1:25" ht="36.75" x14ac:dyDescent="0.25">
      <c r="A184" s="3" t="s">
        <v>26</v>
      </c>
      <c r="B184" s="3" t="s">
        <v>27</v>
      </c>
      <c r="C184" s="3" t="s">
        <v>28</v>
      </c>
      <c r="D184" s="3" t="s">
        <v>61</v>
      </c>
      <c r="E184" s="3" t="s">
        <v>230</v>
      </c>
      <c r="F184" s="3" t="s">
        <v>63</v>
      </c>
      <c r="G184" s="3" t="s">
        <v>230</v>
      </c>
      <c r="H184" s="3" t="s">
        <v>78</v>
      </c>
      <c r="I184" s="3">
        <v>2025</v>
      </c>
      <c r="J184" s="3" t="str">
        <f>CONCATENATE("54820213889")</f>
        <v>54820213889</v>
      </c>
      <c r="K184" s="3" t="s">
        <v>33</v>
      </c>
      <c r="L184" s="3"/>
      <c r="M184" s="3" t="s">
        <v>128</v>
      </c>
      <c r="N184" s="3" t="str">
        <f>CONCATENATE("02588690418")</f>
        <v>02588690418</v>
      </c>
      <c r="O184" s="3" t="s">
        <v>270</v>
      </c>
      <c r="P184" s="3" t="s">
        <v>36</v>
      </c>
      <c r="Q184" s="3" t="s">
        <v>225</v>
      </c>
      <c r="R184" s="4">
        <v>46080</v>
      </c>
      <c r="S184" s="3" t="s">
        <v>38</v>
      </c>
      <c r="T184" s="3" t="s">
        <v>39</v>
      </c>
      <c r="U184" s="3" t="s">
        <v>40</v>
      </c>
      <c r="V184" s="3">
        <v>68.459999999999994</v>
      </c>
      <c r="W184" s="3">
        <v>29.1</v>
      </c>
      <c r="X184" s="3">
        <v>27.56</v>
      </c>
      <c r="Y184" s="3">
        <v>11.8</v>
      </c>
    </row>
    <row r="185" spans="1:25" ht="36.75" x14ac:dyDescent="0.25">
      <c r="A185" s="3" t="s">
        <v>26</v>
      </c>
      <c r="B185" s="3" t="s">
        <v>27</v>
      </c>
      <c r="C185" s="3" t="s">
        <v>28</v>
      </c>
      <c r="D185" s="3" t="s">
        <v>61</v>
      </c>
      <c r="E185" s="3" t="s">
        <v>117</v>
      </c>
      <c r="F185" s="3" t="s">
        <v>63</v>
      </c>
      <c r="G185" s="3" t="s">
        <v>117</v>
      </c>
      <c r="H185" s="3" t="s">
        <v>55</v>
      </c>
      <c r="I185" s="3">
        <v>2025</v>
      </c>
      <c r="J185" s="3" t="str">
        <f>CONCATENATE("54820254123")</f>
        <v>54820254123</v>
      </c>
      <c r="K185" s="3" t="s">
        <v>33</v>
      </c>
      <c r="L185" s="3"/>
      <c r="M185" s="3" t="s">
        <v>128</v>
      </c>
      <c r="N185" s="3" t="str">
        <f>CONCATENATE("02333100440")</f>
        <v>02333100440</v>
      </c>
      <c r="O185" s="3" t="s">
        <v>271</v>
      </c>
      <c r="P185" s="3" t="s">
        <v>36</v>
      </c>
      <c r="Q185" s="3" t="s">
        <v>225</v>
      </c>
      <c r="R185" s="4">
        <v>46080</v>
      </c>
      <c r="S185" s="3" t="s">
        <v>38</v>
      </c>
      <c r="T185" s="3" t="s">
        <v>39</v>
      </c>
      <c r="U185" s="3" t="s">
        <v>40</v>
      </c>
      <c r="V185" s="3">
        <v>569.49</v>
      </c>
      <c r="W185" s="3">
        <v>242.03</v>
      </c>
      <c r="X185" s="3">
        <v>229.22</v>
      </c>
      <c r="Y185" s="3">
        <v>98.24</v>
      </c>
    </row>
    <row r="186" spans="1:25" ht="36.75" x14ac:dyDescent="0.25">
      <c r="A186" s="3" t="s">
        <v>26</v>
      </c>
      <c r="B186" s="3" t="s">
        <v>27</v>
      </c>
      <c r="C186" s="3" t="s">
        <v>28</v>
      </c>
      <c r="D186" s="3" t="s">
        <v>44</v>
      </c>
      <c r="E186" s="3" t="s">
        <v>253</v>
      </c>
      <c r="F186" s="3" t="s">
        <v>46</v>
      </c>
      <c r="G186" s="3" t="s">
        <v>253</v>
      </c>
      <c r="H186" s="3" t="s">
        <v>78</v>
      </c>
      <c r="I186" s="3">
        <v>2025</v>
      </c>
      <c r="J186" s="3" t="str">
        <f>CONCATENATE("54820044789")</f>
        <v>54820044789</v>
      </c>
      <c r="K186" s="3" t="s">
        <v>33</v>
      </c>
      <c r="L186" s="3"/>
      <c r="M186" s="3" t="s">
        <v>128</v>
      </c>
      <c r="N186" s="3" t="str">
        <f>CONCATENATE("02710070414")</f>
        <v>02710070414</v>
      </c>
      <c r="O186" s="3" t="s">
        <v>272</v>
      </c>
      <c r="P186" s="3" t="s">
        <v>36</v>
      </c>
      <c r="Q186" s="3" t="s">
        <v>225</v>
      </c>
      <c r="R186" s="4">
        <v>46080</v>
      </c>
      <c r="S186" s="3" t="s">
        <v>38</v>
      </c>
      <c r="T186" s="3" t="s">
        <v>39</v>
      </c>
      <c r="U186" s="3" t="s">
        <v>40</v>
      </c>
      <c r="V186" s="5">
        <v>4794.17</v>
      </c>
      <c r="W186" s="5">
        <v>2037.52</v>
      </c>
      <c r="X186" s="5">
        <v>1929.65</v>
      </c>
      <c r="Y186" s="3">
        <v>827</v>
      </c>
    </row>
    <row r="187" spans="1:25" ht="60.75" x14ac:dyDescent="0.25">
      <c r="A187" s="3" t="s">
        <v>26</v>
      </c>
      <c r="B187" s="3" t="s">
        <v>27</v>
      </c>
      <c r="C187" s="3" t="s">
        <v>28</v>
      </c>
      <c r="D187" s="3" t="s">
        <v>61</v>
      </c>
      <c r="E187" s="3" t="s">
        <v>62</v>
      </c>
      <c r="F187" s="3" t="s">
        <v>63</v>
      </c>
      <c r="G187" s="3" t="s">
        <v>62</v>
      </c>
      <c r="H187" s="3" t="s">
        <v>47</v>
      </c>
      <c r="I187" s="3">
        <v>2025</v>
      </c>
      <c r="J187" s="3" t="str">
        <f>CONCATENATE("54820039771")</f>
        <v>54820039771</v>
      </c>
      <c r="K187" s="3" t="s">
        <v>33</v>
      </c>
      <c r="L187" s="3"/>
      <c r="M187" s="3" t="s">
        <v>128</v>
      </c>
      <c r="N187" s="3" t="str">
        <f>CONCATENATE("STZMTR65C41D451N")</f>
        <v>STZMTR65C41D451N</v>
      </c>
      <c r="O187" s="3" t="s">
        <v>273</v>
      </c>
      <c r="P187" s="3" t="s">
        <v>36</v>
      </c>
      <c r="Q187" s="3" t="s">
        <v>225</v>
      </c>
      <c r="R187" s="4">
        <v>46080</v>
      </c>
      <c r="S187" s="3" t="s">
        <v>38</v>
      </c>
      <c r="T187" s="3" t="s">
        <v>39</v>
      </c>
      <c r="U187" s="3" t="s">
        <v>40</v>
      </c>
      <c r="V187" s="5">
        <v>1044.03</v>
      </c>
      <c r="W187" s="3">
        <v>443.71</v>
      </c>
      <c r="X187" s="3">
        <v>420.22</v>
      </c>
      <c r="Y187" s="3">
        <v>180.1</v>
      </c>
    </row>
    <row r="188" spans="1:25" ht="60.75" x14ac:dyDescent="0.25">
      <c r="A188" s="3" t="s">
        <v>26</v>
      </c>
      <c r="B188" s="3" t="s">
        <v>27</v>
      </c>
      <c r="C188" s="3" t="s">
        <v>28</v>
      </c>
      <c r="D188" s="3" t="s">
        <v>29</v>
      </c>
      <c r="E188" s="3" t="s">
        <v>232</v>
      </c>
      <c r="F188" s="3" t="s">
        <v>31</v>
      </c>
      <c r="G188" s="3" t="s">
        <v>232</v>
      </c>
      <c r="H188" s="3" t="s">
        <v>47</v>
      </c>
      <c r="I188" s="3">
        <v>2025</v>
      </c>
      <c r="J188" s="3" t="str">
        <f>CONCATENATE("54820077821")</f>
        <v>54820077821</v>
      </c>
      <c r="K188" s="3" t="s">
        <v>33</v>
      </c>
      <c r="L188" s="3"/>
      <c r="M188" s="3" t="s">
        <v>128</v>
      </c>
      <c r="N188" s="3" t="str">
        <f>CONCATENATE("TTTCRS88H30D451K")</f>
        <v>TTTCRS88H30D451K</v>
      </c>
      <c r="O188" s="3" t="s">
        <v>274</v>
      </c>
      <c r="P188" s="3" t="s">
        <v>36</v>
      </c>
      <c r="Q188" s="3" t="s">
        <v>225</v>
      </c>
      <c r="R188" s="4">
        <v>46080</v>
      </c>
      <c r="S188" s="3" t="s">
        <v>38</v>
      </c>
      <c r="T188" s="3" t="s">
        <v>39</v>
      </c>
      <c r="U188" s="3" t="s">
        <v>40</v>
      </c>
      <c r="V188" s="3">
        <v>659.3</v>
      </c>
      <c r="W188" s="3">
        <v>280.2</v>
      </c>
      <c r="X188" s="3">
        <v>265.37</v>
      </c>
      <c r="Y188" s="3">
        <v>113.73</v>
      </c>
    </row>
    <row r="189" spans="1:25" ht="36.75" x14ac:dyDescent="0.25">
      <c r="A189" s="3" t="s">
        <v>26</v>
      </c>
      <c r="B189" s="3" t="s">
        <v>27</v>
      </c>
      <c r="C189" s="3" t="s">
        <v>28</v>
      </c>
      <c r="D189" s="3" t="s">
        <v>61</v>
      </c>
      <c r="E189" s="3" t="s">
        <v>127</v>
      </c>
      <c r="F189" s="3" t="s">
        <v>63</v>
      </c>
      <c r="G189" s="3" t="s">
        <v>127</v>
      </c>
      <c r="H189" s="3" t="s">
        <v>78</v>
      </c>
      <c r="I189" s="3">
        <v>2025</v>
      </c>
      <c r="J189" s="3" t="str">
        <f>CONCATENATE("54820107610")</f>
        <v>54820107610</v>
      </c>
      <c r="K189" s="3" t="s">
        <v>33</v>
      </c>
      <c r="L189" s="3"/>
      <c r="M189" s="3" t="s">
        <v>128</v>
      </c>
      <c r="N189" s="3" t="str">
        <f>CONCATENATE("02587400413")</f>
        <v>02587400413</v>
      </c>
      <c r="O189" s="3" t="s">
        <v>275</v>
      </c>
      <c r="P189" s="3" t="s">
        <v>36</v>
      </c>
      <c r="Q189" s="3" t="s">
        <v>225</v>
      </c>
      <c r="R189" s="4">
        <v>46080</v>
      </c>
      <c r="S189" s="3" t="s">
        <v>38</v>
      </c>
      <c r="T189" s="3" t="s">
        <v>39</v>
      </c>
      <c r="U189" s="3" t="s">
        <v>40</v>
      </c>
      <c r="V189" s="3">
        <v>378.02</v>
      </c>
      <c r="W189" s="3">
        <v>160.66</v>
      </c>
      <c r="X189" s="3">
        <v>152.15</v>
      </c>
      <c r="Y189" s="3">
        <v>65.209999999999994</v>
      </c>
    </row>
    <row r="190" spans="1:25" ht="36.75" x14ac:dyDescent="0.25">
      <c r="A190" s="3" t="s">
        <v>26</v>
      </c>
      <c r="B190" s="3" t="s">
        <v>27</v>
      </c>
      <c r="C190" s="3" t="s">
        <v>28</v>
      </c>
      <c r="D190" s="3" t="s">
        <v>44</v>
      </c>
      <c r="E190" s="3" t="s">
        <v>88</v>
      </c>
      <c r="F190" s="3" t="s">
        <v>46</v>
      </c>
      <c r="G190" s="3" t="s">
        <v>88</v>
      </c>
      <c r="H190" s="3" t="s">
        <v>78</v>
      </c>
      <c r="I190" s="3">
        <v>2025</v>
      </c>
      <c r="J190" s="3" t="str">
        <f>CONCATENATE("54820432869")</f>
        <v>54820432869</v>
      </c>
      <c r="K190" s="3" t="s">
        <v>33</v>
      </c>
      <c r="L190" s="3"/>
      <c r="M190" s="3" t="s">
        <v>128</v>
      </c>
      <c r="N190" s="3" t="str">
        <f>CONCATENATE("01406540417")</f>
        <v>01406540417</v>
      </c>
      <c r="O190" s="3" t="s">
        <v>276</v>
      </c>
      <c r="P190" s="3" t="s">
        <v>36</v>
      </c>
      <c r="Q190" s="3" t="s">
        <v>225</v>
      </c>
      <c r="R190" s="4">
        <v>46080</v>
      </c>
      <c r="S190" s="3" t="s">
        <v>38</v>
      </c>
      <c r="T190" s="3" t="s">
        <v>39</v>
      </c>
      <c r="U190" s="3" t="s">
        <v>40</v>
      </c>
      <c r="V190" s="5">
        <v>8128.74</v>
      </c>
      <c r="W190" s="5">
        <v>3454.71</v>
      </c>
      <c r="X190" s="5">
        <v>3271.82</v>
      </c>
      <c r="Y190" s="5">
        <v>1402.21</v>
      </c>
    </row>
    <row r="191" spans="1:25" ht="60.75" x14ac:dyDescent="0.25">
      <c r="A191" s="3" t="s">
        <v>26</v>
      </c>
      <c r="B191" s="3" t="s">
        <v>27</v>
      </c>
      <c r="C191" s="3" t="s">
        <v>28</v>
      </c>
      <c r="D191" s="3" t="s">
        <v>61</v>
      </c>
      <c r="E191" s="3" t="s">
        <v>65</v>
      </c>
      <c r="F191" s="3" t="s">
        <v>63</v>
      </c>
      <c r="G191" s="3" t="s">
        <v>65</v>
      </c>
      <c r="H191" s="3" t="s">
        <v>47</v>
      </c>
      <c r="I191" s="3">
        <v>2025</v>
      </c>
      <c r="J191" s="3" t="str">
        <f>CONCATENATE("54820071261")</f>
        <v>54820071261</v>
      </c>
      <c r="K191" s="3" t="s">
        <v>33</v>
      </c>
      <c r="L191" s="3"/>
      <c r="M191" s="3" t="s">
        <v>128</v>
      </c>
      <c r="N191" s="3" t="str">
        <f>CONCATENATE("TNGFNC38A45I461V")</f>
        <v>TNGFNC38A45I461V</v>
      </c>
      <c r="O191" s="3" t="s">
        <v>277</v>
      </c>
      <c r="P191" s="3" t="s">
        <v>36</v>
      </c>
      <c r="Q191" s="3" t="s">
        <v>225</v>
      </c>
      <c r="R191" s="4">
        <v>46080</v>
      </c>
      <c r="S191" s="3" t="s">
        <v>38</v>
      </c>
      <c r="T191" s="3" t="s">
        <v>39</v>
      </c>
      <c r="U191" s="3" t="s">
        <v>40</v>
      </c>
      <c r="V191" s="5">
        <v>1120.75</v>
      </c>
      <c r="W191" s="3">
        <v>476.32</v>
      </c>
      <c r="X191" s="3">
        <v>451.1</v>
      </c>
      <c r="Y191" s="3">
        <v>193.33</v>
      </c>
    </row>
    <row r="192" spans="1:25" ht="72.75" x14ac:dyDescent="0.25">
      <c r="A192" s="3" t="s">
        <v>26</v>
      </c>
      <c r="B192" s="3" t="s">
        <v>27</v>
      </c>
      <c r="C192" s="3" t="s">
        <v>28</v>
      </c>
      <c r="D192" s="3" t="s">
        <v>41</v>
      </c>
      <c r="E192" s="3" t="s">
        <v>121</v>
      </c>
      <c r="F192" s="3" t="s">
        <v>41</v>
      </c>
      <c r="G192" s="3" t="s">
        <v>121</v>
      </c>
      <c r="H192" s="3" t="s">
        <v>55</v>
      </c>
      <c r="I192" s="3">
        <v>2025</v>
      </c>
      <c r="J192" s="3" t="str">
        <f>CONCATENATE("54820276647")</f>
        <v>54820276647</v>
      </c>
      <c r="K192" s="3" t="s">
        <v>33</v>
      </c>
      <c r="L192" s="3"/>
      <c r="M192" s="3" t="s">
        <v>128</v>
      </c>
      <c r="N192" s="3" t="str">
        <f>CONCATENATE("TSCGPP49R56A044R")</f>
        <v>TSCGPP49R56A044R</v>
      </c>
      <c r="O192" s="3" t="s">
        <v>278</v>
      </c>
      <c r="P192" s="3" t="s">
        <v>36</v>
      </c>
      <c r="Q192" s="3" t="s">
        <v>225</v>
      </c>
      <c r="R192" s="4">
        <v>46080</v>
      </c>
      <c r="S192" s="3" t="s">
        <v>38</v>
      </c>
      <c r="T192" s="3" t="s">
        <v>39</v>
      </c>
      <c r="U192" s="3" t="s">
        <v>40</v>
      </c>
      <c r="V192" s="3">
        <v>372.48</v>
      </c>
      <c r="W192" s="3">
        <v>158.30000000000001</v>
      </c>
      <c r="X192" s="3">
        <v>149.91999999999999</v>
      </c>
      <c r="Y192" s="3">
        <v>64.260000000000005</v>
      </c>
    </row>
    <row r="193" spans="1:25" ht="60.75" x14ac:dyDescent="0.25">
      <c r="A193" s="3" t="s">
        <v>26</v>
      </c>
      <c r="B193" s="3" t="s">
        <v>27</v>
      </c>
      <c r="C193" s="3" t="s">
        <v>28</v>
      </c>
      <c r="D193" s="3" t="s">
        <v>44</v>
      </c>
      <c r="E193" s="3" t="s">
        <v>54</v>
      </c>
      <c r="F193" s="3" t="s">
        <v>46</v>
      </c>
      <c r="G193" s="3" t="s">
        <v>54</v>
      </c>
      <c r="H193" s="3" t="s">
        <v>55</v>
      </c>
      <c r="I193" s="3">
        <v>2025</v>
      </c>
      <c r="J193" s="3" t="str">
        <f>CONCATENATE("54820153507")</f>
        <v>54820153507</v>
      </c>
      <c r="K193" s="3" t="s">
        <v>33</v>
      </c>
      <c r="L193" s="3"/>
      <c r="M193" s="3" t="s">
        <v>128</v>
      </c>
      <c r="N193" s="3" t="str">
        <f>CONCATENATE("TBRSLL79A63I156U")</f>
        <v>TBRSLL79A63I156U</v>
      </c>
      <c r="O193" s="3" t="s">
        <v>279</v>
      </c>
      <c r="P193" s="3" t="s">
        <v>36</v>
      </c>
      <c r="Q193" s="3" t="s">
        <v>225</v>
      </c>
      <c r="R193" s="4">
        <v>46080</v>
      </c>
      <c r="S193" s="3" t="s">
        <v>38</v>
      </c>
      <c r="T193" s="3" t="s">
        <v>39</v>
      </c>
      <c r="U193" s="3" t="s">
        <v>40</v>
      </c>
      <c r="V193" s="5">
        <v>1321.4</v>
      </c>
      <c r="W193" s="3">
        <v>561.6</v>
      </c>
      <c r="X193" s="3">
        <v>531.86</v>
      </c>
      <c r="Y193" s="3">
        <v>227.94</v>
      </c>
    </row>
    <row r="194" spans="1:25" ht="36.75" x14ac:dyDescent="0.25">
      <c r="A194" s="3" t="s">
        <v>26</v>
      </c>
      <c r="B194" s="3" t="s">
        <v>27</v>
      </c>
      <c r="C194" s="3" t="s">
        <v>28</v>
      </c>
      <c r="D194" s="3" t="s">
        <v>61</v>
      </c>
      <c r="E194" s="3" t="s">
        <v>230</v>
      </c>
      <c r="F194" s="3" t="s">
        <v>63</v>
      </c>
      <c r="G194" s="3" t="s">
        <v>230</v>
      </c>
      <c r="H194" s="3" t="s">
        <v>78</v>
      </c>
      <c r="I194" s="3">
        <v>2025</v>
      </c>
      <c r="J194" s="3" t="str">
        <f>CONCATENATE("54820171863")</f>
        <v>54820171863</v>
      </c>
      <c r="K194" s="3" t="s">
        <v>33</v>
      </c>
      <c r="L194" s="3"/>
      <c r="M194" s="3" t="s">
        <v>128</v>
      </c>
      <c r="N194" s="3" t="str">
        <f>CONCATENATE("02167940416")</f>
        <v>02167940416</v>
      </c>
      <c r="O194" s="3" t="s">
        <v>280</v>
      </c>
      <c r="P194" s="3" t="s">
        <v>36</v>
      </c>
      <c r="Q194" s="3" t="s">
        <v>225</v>
      </c>
      <c r="R194" s="4">
        <v>46080</v>
      </c>
      <c r="S194" s="3" t="s">
        <v>38</v>
      </c>
      <c r="T194" s="3" t="s">
        <v>39</v>
      </c>
      <c r="U194" s="3" t="s">
        <v>40</v>
      </c>
      <c r="V194" s="3">
        <v>668.65</v>
      </c>
      <c r="W194" s="3">
        <v>284.18</v>
      </c>
      <c r="X194" s="3">
        <v>269.13</v>
      </c>
      <c r="Y194" s="3">
        <v>115.34</v>
      </c>
    </row>
    <row r="195" spans="1:25" ht="60.75" x14ac:dyDescent="0.25">
      <c r="A195" s="3" t="s">
        <v>26</v>
      </c>
      <c r="B195" s="3" t="s">
        <v>27</v>
      </c>
      <c r="C195" s="3" t="s">
        <v>28</v>
      </c>
      <c r="D195" s="3" t="s">
        <v>44</v>
      </c>
      <c r="E195" s="3" t="s">
        <v>205</v>
      </c>
      <c r="F195" s="3" t="s">
        <v>46</v>
      </c>
      <c r="G195" s="3" t="s">
        <v>205</v>
      </c>
      <c r="H195" s="3" t="s">
        <v>32</v>
      </c>
      <c r="I195" s="3">
        <v>2025</v>
      </c>
      <c r="J195" s="3" t="str">
        <f>CONCATENATE("54820165303")</f>
        <v>54820165303</v>
      </c>
      <c r="K195" s="3" t="s">
        <v>33</v>
      </c>
      <c r="L195" s="3"/>
      <c r="M195" s="3" t="s">
        <v>128</v>
      </c>
      <c r="N195" s="3" t="str">
        <f>CONCATENATE("VCCLSN85P14C615R")</f>
        <v>VCCLSN85P14C615R</v>
      </c>
      <c r="O195" s="3" t="s">
        <v>281</v>
      </c>
      <c r="P195" s="3" t="s">
        <v>36</v>
      </c>
      <c r="Q195" s="3" t="s">
        <v>225</v>
      </c>
      <c r="R195" s="4">
        <v>46080</v>
      </c>
      <c r="S195" s="3" t="s">
        <v>38</v>
      </c>
      <c r="T195" s="3" t="s">
        <v>39</v>
      </c>
      <c r="U195" s="3" t="s">
        <v>40</v>
      </c>
      <c r="V195" s="3">
        <v>364.13</v>
      </c>
      <c r="W195" s="3">
        <v>154.76</v>
      </c>
      <c r="X195" s="3">
        <v>146.56</v>
      </c>
      <c r="Y195" s="3">
        <v>62.81</v>
      </c>
    </row>
    <row r="196" spans="1:25" ht="60.75" x14ac:dyDescent="0.25">
      <c r="A196" s="3" t="s">
        <v>26</v>
      </c>
      <c r="B196" s="3" t="s">
        <v>27</v>
      </c>
      <c r="C196" s="3" t="s">
        <v>28</v>
      </c>
      <c r="D196" s="3" t="s">
        <v>44</v>
      </c>
      <c r="E196" s="3" t="s">
        <v>54</v>
      </c>
      <c r="F196" s="3" t="s">
        <v>46</v>
      </c>
      <c r="G196" s="3" t="s">
        <v>54</v>
      </c>
      <c r="H196" s="3" t="s">
        <v>55</v>
      </c>
      <c r="I196" s="3">
        <v>2025</v>
      </c>
      <c r="J196" s="3" t="str">
        <f>CONCATENATE("54820075213")</f>
        <v>54820075213</v>
      </c>
      <c r="K196" s="3" t="s">
        <v>33</v>
      </c>
      <c r="L196" s="3"/>
      <c r="M196" s="3" t="s">
        <v>128</v>
      </c>
      <c r="N196" s="3" t="str">
        <f>CONCATENATE("VNRRLL65A42D691Q")</f>
        <v>VNRRLL65A42D691Q</v>
      </c>
      <c r="O196" s="3" t="s">
        <v>282</v>
      </c>
      <c r="P196" s="3" t="s">
        <v>36</v>
      </c>
      <c r="Q196" s="3" t="s">
        <v>225</v>
      </c>
      <c r="R196" s="4">
        <v>46080</v>
      </c>
      <c r="S196" s="3" t="s">
        <v>38</v>
      </c>
      <c r="T196" s="3" t="s">
        <v>39</v>
      </c>
      <c r="U196" s="3" t="s">
        <v>40</v>
      </c>
      <c r="V196" s="3">
        <v>337.44</v>
      </c>
      <c r="W196" s="3">
        <v>143.41</v>
      </c>
      <c r="X196" s="3">
        <v>135.82</v>
      </c>
      <c r="Y196" s="3">
        <v>58.21</v>
      </c>
    </row>
    <row r="197" spans="1:25" ht="60.75" x14ac:dyDescent="0.25">
      <c r="A197" s="3" t="s">
        <v>26</v>
      </c>
      <c r="B197" s="3" t="s">
        <v>27</v>
      </c>
      <c r="C197" s="3" t="s">
        <v>28</v>
      </c>
      <c r="D197" s="3" t="s">
        <v>61</v>
      </c>
      <c r="E197" s="3" t="s">
        <v>127</v>
      </c>
      <c r="F197" s="3" t="s">
        <v>63</v>
      </c>
      <c r="G197" s="3" t="s">
        <v>127</v>
      </c>
      <c r="H197" s="3" t="s">
        <v>78</v>
      </c>
      <c r="I197" s="3">
        <v>2025</v>
      </c>
      <c r="J197" s="3" t="str">
        <f>CONCATENATE("54820192307")</f>
        <v>54820192307</v>
      </c>
      <c r="K197" s="3" t="s">
        <v>33</v>
      </c>
      <c r="L197" s="3"/>
      <c r="M197" s="3" t="s">
        <v>128</v>
      </c>
      <c r="N197" s="3" t="str">
        <f>CONCATENATE("VLPGNN60L18C830X")</f>
        <v>VLPGNN60L18C830X</v>
      </c>
      <c r="O197" s="3" t="s">
        <v>283</v>
      </c>
      <c r="P197" s="3" t="s">
        <v>36</v>
      </c>
      <c r="Q197" s="3" t="s">
        <v>225</v>
      </c>
      <c r="R197" s="4">
        <v>46080</v>
      </c>
      <c r="S197" s="3" t="s">
        <v>38</v>
      </c>
      <c r="T197" s="3" t="s">
        <v>39</v>
      </c>
      <c r="U197" s="3" t="s">
        <v>40</v>
      </c>
      <c r="V197" s="3">
        <v>331.67</v>
      </c>
      <c r="W197" s="3">
        <v>140.96</v>
      </c>
      <c r="X197" s="3">
        <v>133.5</v>
      </c>
      <c r="Y197" s="3">
        <v>57.21</v>
      </c>
    </row>
    <row r="198" spans="1:25" ht="60.75" x14ac:dyDescent="0.25">
      <c r="A198" s="3" t="s">
        <v>26</v>
      </c>
      <c r="B198" s="3" t="s">
        <v>27</v>
      </c>
      <c r="C198" s="3" t="s">
        <v>28</v>
      </c>
      <c r="D198" s="3" t="s">
        <v>29</v>
      </c>
      <c r="E198" s="3" t="s">
        <v>249</v>
      </c>
      <c r="F198" s="3" t="s">
        <v>31</v>
      </c>
      <c r="G198" s="3" t="s">
        <v>249</v>
      </c>
      <c r="H198" s="3" t="s">
        <v>32</v>
      </c>
      <c r="I198" s="3">
        <v>2025</v>
      </c>
      <c r="J198" s="3" t="str">
        <f>CONCATENATE("54820018841")</f>
        <v>54820018841</v>
      </c>
      <c r="K198" s="3" t="s">
        <v>33</v>
      </c>
      <c r="L198" s="3"/>
      <c r="M198" s="3" t="s">
        <v>128</v>
      </c>
      <c r="N198" s="3" t="str">
        <f>CONCATENATE("ZFFLVZ53A23G637Y")</f>
        <v>ZFFLVZ53A23G637Y</v>
      </c>
      <c r="O198" s="3" t="s">
        <v>284</v>
      </c>
      <c r="P198" s="3" t="s">
        <v>36</v>
      </c>
      <c r="Q198" s="3" t="s">
        <v>225</v>
      </c>
      <c r="R198" s="4">
        <v>46080</v>
      </c>
      <c r="S198" s="3" t="s">
        <v>38</v>
      </c>
      <c r="T198" s="3" t="s">
        <v>39</v>
      </c>
      <c r="U198" s="3" t="s">
        <v>40</v>
      </c>
      <c r="V198" s="5">
        <v>3174.34</v>
      </c>
      <c r="W198" s="5">
        <v>1349.09</v>
      </c>
      <c r="X198" s="5">
        <v>1277.67</v>
      </c>
      <c r="Y198" s="3">
        <v>547.58000000000004</v>
      </c>
    </row>
    <row r="199" spans="1:25" ht="60.75" x14ac:dyDescent="0.25">
      <c r="A199" s="3" t="s">
        <v>26</v>
      </c>
      <c r="B199" s="3" t="s">
        <v>27</v>
      </c>
      <c r="C199" s="3" t="s">
        <v>28</v>
      </c>
      <c r="D199" s="3" t="s">
        <v>75</v>
      </c>
      <c r="E199" s="3" t="s">
        <v>285</v>
      </c>
      <c r="F199" s="3" t="s">
        <v>77</v>
      </c>
      <c r="G199" s="3" t="s">
        <v>285</v>
      </c>
      <c r="H199" s="3" t="s">
        <v>32</v>
      </c>
      <c r="I199" s="3">
        <v>2025</v>
      </c>
      <c r="J199" s="3" t="str">
        <f>CONCATENATE("54820195862")</f>
        <v>54820195862</v>
      </c>
      <c r="K199" s="3" t="s">
        <v>33</v>
      </c>
      <c r="L199" s="3"/>
      <c r="M199" s="3" t="s">
        <v>128</v>
      </c>
      <c r="N199" s="3" t="str">
        <f>CONCATENATE("ZCCGNN55P03B474T")</f>
        <v>ZCCGNN55P03B474T</v>
      </c>
      <c r="O199" s="3" t="s">
        <v>286</v>
      </c>
      <c r="P199" s="3" t="s">
        <v>36</v>
      </c>
      <c r="Q199" s="3" t="s">
        <v>225</v>
      </c>
      <c r="R199" s="4">
        <v>46080</v>
      </c>
      <c r="S199" s="3" t="s">
        <v>38</v>
      </c>
      <c r="T199" s="3" t="s">
        <v>39</v>
      </c>
      <c r="U199" s="3" t="s">
        <v>40</v>
      </c>
      <c r="V199" s="5">
        <v>1354.93</v>
      </c>
      <c r="W199" s="3">
        <v>575.85</v>
      </c>
      <c r="X199" s="3">
        <v>545.36</v>
      </c>
      <c r="Y199" s="3">
        <v>233.72</v>
      </c>
    </row>
    <row r="200" spans="1:25" ht="60.75" x14ac:dyDescent="0.25">
      <c r="A200" s="3" t="s">
        <v>26</v>
      </c>
      <c r="B200" s="3" t="s">
        <v>27</v>
      </c>
      <c r="C200" s="3" t="s">
        <v>28</v>
      </c>
      <c r="D200" s="3" t="s">
        <v>29</v>
      </c>
      <c r="E200" s="3" t="s">
        <v>249</v>
      </c>
      <c r="F200" s="3" t="s">
        <v>31</v>
      </c>
      <c r="G200" s="3" t="s">
        <v>249</v>
      </c>
      <c r="H200" s="3" t="s">
        <v>32</v>
      </c>
      <c r="I200" s="3">
        <v>2025</v>
      </c>
      <c r="J200" s="3" t="str">
        <f>CONCATENATE("54820017504")</f>
        <v>54820017504</v>
      </c>
      <c r="K200" s="3" t="s">
        <v>33</v>
      </c>
      <c r="L200" s="3"/>
      <c r="M200" s="3" t="s">
        <v>128</v>
      </c>
      <c r="N200" s="3" t="str">
        <f>CONCATENATE("SLVSNT61C41D564Q")</f>
        <v>SLVSNT61C41D564Q</v>
      </c>
      <c r="O200" s="3" t="s">
        <v>287</v>
      </c>
      <c r="P200" s="3" t="s">
        <v>36</v>
      </c>
      <c r="Q200" s="3" t="s">
        <v>225</v>
      </c>
      <c r="R200" s="4">
        <v>46080</v>
      </c>
      <c r="S200" s="3" t="s">
        <v>38</v>
      </c>
      <c r="T200" s="3" t="s">
        <v>39</v>
      </c>
      <c r="U200" s="3" t="s">
        <v>40</v>
      </c>
      <c r="V200" s="5">
        <v>1122.94</v>
      </c>
      <c r="W200" s="3">
        <v>477.25</v>
      </c>
      <c r="X200" s="3">
        <v>451.98</v>
      </c>
      <c r="Y200" s="3">
        <v>193.71</v>
      </c>
    </row>
    <row r="201" spans="1:25" ht="36.75" x14ac:dyDescent="0.25">
      <c r="A201" s="3" t="s">
        <v>26</v>
      </c>
      <c r="B201" s="3" t="s">
        <v>27</v>
      </c>
      <c r="C201" s="3" t="s">
        <v>28</v>
      </c>
      <c r="D201" s="3" t="s">
        <v>29</v>
      </c>
      <c r="E201" s="3" t="s">
        <v>94</v>
      </c>
      <c r="F201" s="3" t="s">
        <v>31</v>
      </c>
      <c r="G201" s="3" t="s">
        <v>94</v>
      </c>
      <c r="H201" s="3" t="s">
        <v>78</v>
      </c>
      <c r="I201" s="3">
        <v>2025</v>
      </c>
      <c r="J201" s="3" t="str">
        <f>CONCATENATE("54820030234")</f>
        <v>54820030234</v>
      </c>
      <c r="K201" s="3" t="s">
        <v>33</v>
      </c>
      <c r="L201" s="3"/>
      <c r="M201" s="3" t="s">
        <v>128</v>
      </c>
      <c r="N201" s="3" t="str">
        <f>CONCATENATE("02462540416")</f>
        <v>02462540416</v>
      </c>
      <c r="O201" s="3" t="s">
        <v>288</v>
      </c>
      <c r="P201" s="3" t="s">
        <v>36</v>
      </c>
      <c r="Q201" s="3" t="s">
        <v>225</v>
      </c>
      <c r="R201" s="4">
        <v>46080</v>
      </c>
      <c r="S201" s="3" t="s">
        <v>38</v>
      </c>
      <c r="T201" s="3" t="s">
        <v>39</v>
      </c>
      <c r="U201" s="3" t="s">
        <v>40</v>
      </c>
      <c r="V201" s="3">
        <v>644.16</v>
      </c>
      <c r="W201" s="3">
        <v>273.77</v>
      </c>
      <c r="X201" s="3">
        <v>259.27</v>
      </c>
      <c r="Y201" s="3">
        <v>111.12</v>
      </c>
    </row>
    <row r="202" spans="1:25" ht="60.75" x14ac:dyDescent="0.25">
      <c r="A202" s="3" t="s">
        <v>26</v>
      </c>
      <c r="B202" s="3" t="s">
        <v>27</v>
      </c>
      <c r="C202" s="3" t="s">
        <v>28</v>
      </c>
      <c r="D202" s="3" t="s">
        <v>29</v>
      </c>
      <c r="E202" s="3" t="s">
        <v>232</v>
      </c>
      <c r="F202" s="3" t="s">
        <v>31</v>
      </c>
      <c r="G202" s="3" t="s">
        <v>232</v>
      </c>
      <c r="H202" s="3" t="s">
        <v>32</v>
      </c>
      <c r="I202" s="3">
        <v>2025</v>
      </c>
      <c r="J202" s="3" t="str">
        <f>CONCATENATE("54820019088")</f>
        <v>54820019088</v>
      </c>
      <c r="K202" s="3" t="s">
        <v>33</v>
      </c>
      <c r="L202" s="3"/>
      <c r="M202" s="3" t="s">
        <v>128</v>
      </c>
      <c r="N202" s="3" t="str">
        <f>CONCATENATE("SPTNRC76E27F051W")</f>
        <v>SPTNRC76E27F051W</v>
      </c>
      <c r="O202" s="3" t="s">
        <v>289</v>
      </c>
      <c r="P202" s="3" t="s">
        <v>36</v>
      </c>
      <c r="Q202" s="3" t="s">
        <v>225</v>
      </c>
      <c r="R202" s="4">
        <v>46080</v>
      </c>
      <c r="S202" s="3" t="s">
        <v>38</v>
      </c>
      <c r="T202" s="3" t="s">
        <v>39</v>
      </c>
      <c r="U202" s="3" t="s">
        <v>40</v>
      </c>
      <c r="V202" s="3">
        <v>720.34</v>
      </c>
      <c r="W202" s="3">
        <v>306.14</v>
      </c>
      <c r="X202" s="3">
        <v>289.94</v>
      </c>
      <c r="Y202" s="3">
        <v>124.26</v>
      </c>
    </row>
    <row r="203" spans="1:25" ht="60.75" x14ac:dyDescent="0.25">
      <c r="A203" s="3" t="s">
        <v>26</v>
      </c>
      <c r="B203" s="3" t="s">
        <v>27</v>
      </c>
      <c r="C203" s="3" t="s">
        <v>28</v>
      </c>
      <c r="D203" s="3" t="s">
        <v>61</v>
      </c>
      <c r="E203" s="3" t="s">
        <v>177</v>
      </c>
      <c r="F203" s="3" t="s">
        <v>63</v>
      </c>
      <c r="G203" s="3" t="s">
        <v>177</v>
      </c>
      <c r="H203" s="3" t="s">
        <v>78</v>
      </c>
      <c r="I203" s="3">
        <v>2025</v>
      </c>
      <c r="J203" s="3" t="str">
        <f>CONCATENATE("54820124771")</f>
        <v>54820124771</v>
      </c>
      <c r="K203" s="3" t="s">
        <v>33</v>
      </c>
      <c r="L203" s="3"/>
      <c r="M203" s="3" t="s">
        <v>128</v>
      </c>
      <c r="N203" s="3" t="str">
        <f>CONCATENATE("VLPPPN49C14C830J")</f>
        <v>VLPPPN49C14C830J</v>
      </c>
      <c r="O203" s="3" t="s">
        <v>290</v>
      </c>
      <c r="P203" s="3" t="s">
        <v>36</v>
      </c>
      <c r="Q203" s="3" t="s">
        <v>225</v>
      </c>
      <c r="R203" s="4">
        <v>46080</v>
      </c>
      <c r="S203" s="3" t="s">
        <v>38</v>
      </c>
      <c r="T203" s="3" t="s">
        <v>39</v>
      </c>
      <c r="U203" s="3" t="s">
        <v>40</v>
      </c>
      <c r="V203" s="3">
        <v>498.24</v>
      </c>
      <c r="W203" s="3">
        <v>211.75</v>
      </c>
      <c r="X203" s="3">
        <v>200.54</v>
      </c>
      <c r="Y203" s="3">
        <v>85.95</v>
      </c>
    </row>
    <row r="204" spans="1:25" ht="36.75" x14ac:dyDescent="0.25">
      <c r="A204" s="3" t="s">
        <v>26</v>
      </c>
      <c r="B204" s="3" t="s">
        <v>27</v>
      </c>
      <c r="C204" s="3" t="s">
        <v>28</v>
      </c>
      <c r="D204" s="3" t="s">
        <v>44</v>
      </c>
      <c r="E204" s="3" t="s">
        <v>186</v>
      </c>
      <c r="F204" s="3" t="s">
        <v>46</v>
      </c>
      <c r="G204" s="3" t="s">
        <v>186</v>
      </c>
      <c r="H204" s="3" t="s">
        <v>47</v>
      </c>
      <c r="I204" s="3">
        <v>2025</v>
      </c>
      <c r="J204" s="3" t="str">
        <f>CONCATENATE("54811115085")</f>
        <v>54811115085</v>
      </c>
      <c r="K204" s="3" t="s">
        <v>33</v>
      </c>
      <c r="L204" s="3"/>
      <c r="M204" s="3" t="s">
        <v>168</v>
      </c>
      <c r="N204" s="3" t="str">
        <f>CONCATENATE("02466630429")</f>
        <v>02466630429</v>
      </c>
      <c r="O204" s="3" t="s">
        <v>291</v>
      </c>
      <c r="P204" s="3" t="s">
        <v>36</v>
      </c>
      <c r="Q204" s="3" t="s">
        <v>170</v>
      </c>
      <c r="R204" s="4">
        <v>46084</v>
      </c>
      <c r="S204" s="3" t="s">
        <v>38</v>
      </c>
      <c r="T204" s="3" t="s">
        <v>39</v>
      </c>
      <c r="U204" s="3" t="s">
        <v>40</v>
      </c>
      <c r="V204" s="5">
        <v>1055.3</v>
      </c>
      <c r="W204" s="3">
        <v>448.5</v>
      </c>
      <c r="X204" s="3">
        <v>424.76</v>
      </c>
      <c r="Y204" s="3">
        <v>182.04</v>
      </c>
    </row>
    <row r="205" spans="1:25" ht="60.75" x14ac:dyDescent="0.25">
      <c r="A205" s="3" t="s">
        <v>26</v>
      </c>
      <c r="B205" s="3" t="s">
        <v>27</v>
      </c>
      <c r="C205" s="3" t="s">
        <v>28</v>
      </c>
      <c r="D205" s="3" t="s">
        <v>44</v>
      </c>
      <c r="E205" s="3" t="s">
        <v>88</v>
      </c>
      <c r="F205" s="3" t="s">
        <v>46</v>
      </c>
      <c r="G205" s="3" t="s">
        <v>88</v>
      </c>
      <c r="H205" s="3" t="s">
        <v>78</v>
      </c>
      <c r="I205" s="3">
        <v>2025</v>
      </c>
      <c r="J205" s="3" t="str">
        <f>CONCATENATE("54820062492")</f>
        <v>54820062492</v>
      </c>
      <c r="K205" s="3" t="s">
        <v>33</v>
      </c>
      <c r="L205" s="3"/>
      <c r="M205" s="3" t="s">
        <v>128</v>
      </c>
      <c r="N205" s="3" t="str">
        <f>CONCATENATE("CNTGCR45L24F497Z")</f>
        <v>CNTGCR45L24F497Z</v>
      </c>
      <c r="O205" s="3" t="s">
        <v>292</v>
      </c>
      <c r="P205" s="3" t="s">
        <v>36</v>
      </c>
      <c r="Q205" s="3" t="s">
        <v>225</v>
      </c>
      <c r="R205" s="4">
        <v>46080</v>
      </c>
      <c r="S205" s="3" t="s">
        <v>38</v>
      </c>
      <c r="T205" s="3" t="s">
        <v>39</v>
      </c>
      <c r="U205" s="3" t="s">
        <v>40</v>
      </c>
      <c r="V205" s="3">
        <v>351.15</v>
      </c>
      <c r="W205" s="3">
        <v>149.24</v>
      </c>
      <c r="X205" s="3">
        <v>141.34</v>
      </c>
      <c r="Y205" s="3">
        <v>60.57</v>
      </c>
    </row>
    <row r="206" spans="1:25" ht="60.75" x14ac:dyDescent="0.25">
      <c r="A206" s="3" t="s">
        <v>26</v>
      </c>
      <c r="B206" s="3" t="s">
        <v>27</v>
      </c>
      <c r="C206" s="3" t="s">
        <v>28</v>
      </c>
      <c r="D206" s="3" t="s">
        <v>41</v>
      </c>
      <c r="E206" s="3" t="s">
        <v>121</v>
      </c>
      <c r="F206" s="3" t="s">
        <v>41</v>
      </c>
      <c r="G206" s="3" t="s">
        <v>121</v>
      </c>
      <c r="H206" s="3" t="s">
        <v>55</v>
      </c>
      <c r="I206" s="3">
        <v>2025</v>
      </c>
      <c r="J206" s="3" t="str">
        <f>CONCATENATE("54820277538")</f>
        <v>54820277538</v>
      </c>
      <c r="K206" s="3" t="s">
        <v>33</v>
      </c>
      <c r="L206" s="3"/>
      <c r="M206" s="3" t="s">
        <v>128</v>
      </c>
      <c r="N206" s="3" t="str">
        <f>CONCATENATE("CRBMNL80C60D542R")</f>
        <v>CRBMNL80C60D542R</v>
      </c>
      <c r="O206" s="3" t="s">
        <v>293</v>
      </c>
      <c r="P206" s="3" t="s">
        <v>36</v>
      </c>
      <c r="Q206" s="3" t="s">
        <v>225</v>
      </c>
      <c r="R206" s="4">
        <v>46080</v>
      </c>
      <c r="S206" s="3" t="s">
        <v>38</v>
      </c>
      <c r="T206" s="3" t="s">
        <v>39</v>
      </c>
      <c r="U206" s="3" t="s">
        <v>40</v>
      </c>
      <c r="V206" s="3">
        <v>504.17</v>
      </c>
      <c r="W206" s="3">
        <v>214.27</v>
      </c>
      <c r="X206" s="3">
        <v>202.93</v>
      </c>
      <c r="Y206" s="3">
        <v>86.97</v>
      </c>
    </row>
    <row r="207" spans="1:25" ht="60.75" x14ac:dyDescent="0.25">
      <c r="A207" s="3" t="s">
        <v>26</v>
      </c>
      <c r="B207" s="3" t="s">
        <v>27</v>
      </c>
      <c r="C207" s="3" t="s">
        <v>28</v>
      </c>
      <c r="D207" s="3" t="s">
        <v>44</v>
      </c>
      <c r="E207" s="3" t="s">
        <v>244</v>
      </c>
      <c r="F207" s="3" t="s">
        <v>46</v>
      </c>
      <c r="G207" s="3" t="s">
        <v>244</v>
      </c>
      <c r="H207" s="3" t="s">
        <v>78</v>
      </c>
      <c r="I207" s="3">
        <v>2025</v>
      </c>
      <c r="J207" s="3" t="str">
        <f>CONCATENATE("54820106414")</f>
        <v>54820106414</v>
      </c>
      <c r="K207" s="3" t="s">
        <v>33</v>
      </c>
      <c r="L207" s="3"/>
      <c r="M207" s="3" t="s">
        <v>128</v>
      </c>
      <c r="N207" s="3" t="str">
        <f>CONCATENATE("DNGGCR48M13L500B")</f>
        <v>DNGGCR48M13L500B</v>
      </c>
      <c r="O207" s="3" t="s">
        <v>294</v>
      </c>
      <c r="P207" s="3" t="s">
        <v>36</v>
      </c>
      <c r="Q207" s="3" t="s">
        <v>225</v>
      </c>
      <c r="R207" s="4">
        <v>46080</v>
      </c>
      <c r="S207" s="3" t="s">
        <v>38</v>
      </c>
      <c r="T207" s="3" t="s">
        <v>39</v>
      </c>
      <c r="U207" s="3" t="s">
        <v>40</v>
      </c>
      <c r="V207" s="3">
        <v>963.76</v>
      </c>
      <c r="W207" s="3">
        <v>409.6</v>
      </c>
      <c r="X207" s="3">
        <v>387.91</v>
      </c>
      <c r="Y207" s="3">
        <v>166.25</v>
      </c>
    </row>
    <row r="208" spans="1:25" ht="60.75" x14ac:dyDescent="0.25">
      <c r="A208" s="3" t="s">
        <v>26</v>
      </c>
      <c r="B208" s="3" t="s">
        <v>27</v>
      </c>
      <c r="C208" s="3" t="s">
        <v>28</v>
      </c>
      <c r="D208" s="3" t="s">
        <v>41</v>
      </c>
      <c r="E208" s="3" t="s">
        <v>121</v>
      </c>
      <c r="F208" s="3" t="s">
        <v>41</v>
      </c>
      <c r="G208" s="3" t="s">
        <v>121</v>
      </c>
      <c r="H208" s="3" t="s">
        <v>55</v>
      </c>
      <c r="I208" s="3">
        <v>2025</v>
      </c>
      <c r="J208" s="3" t="str">
        <f>CONCATENATE("54820280854")</f>
        <v>54820280854</v>
      </c>
      <c r="K208" s="3" t="s">
        <v>33</v>
      </c>
      <c r="L208" s="3"/>
      <c r="M208" s="3" t="s">
        <v>128</v>
      </c>
      <c r="N208" s="3" t="str">
        <f>CONCATENATE("DLCVTR68D09F516E")</f>
        <v>DLCVTR68D09F516E</v>
      </c>
      <c r="O208" s="3" t="s">
        <v>295</v>
      </c>
      <c r="P208" s="3" t="s">
        <v>36</v>
      </c>
      <c r="Q208" s="3" t="s">
        <v>225</v>
      </c>
      <c r="R208" s="4">
        <v>46080</v>
      </c>
      <c r="S208" s="3" t="s">
        <v>38</v>
      </c>
      <c r="T208" s="3" t="s">
        <v>39</v>
      </c>
      <c r="U208" s="3" t="s">
        <v>40</v>
      </c>
      <c r="V208" s="3">
        <v>608.4</v>
      </c>
      <c r="W208" s="3">
        <v>258.57</v>
      </c>
      <c r="X208" s="3">
        <v>244.88</v>
      </c>
      <c r="Y208" s="3">
        <v>104.95</v>
      </c>
    </row>
    <row r="209" spans="1:25" ht="60.75" x14ac:dyDescent="0.25">
      <c r="A209" s="3" t="s">
        <v>26</v>
      </c>
      <c r="B209" s="3" t="s">
        <v>27</v>
      </c>
      <c r="C209" s="3" t="s">
        <v>28</v>
      </c>
      <c r="D209" s="3" t="s">
        <v>41</v>
      </c>
      <c r="E209" s="3" t="s">
        <v>121</v>
      </c>
      <c r="F209" s="3" t="s">
        <v>41</v>
      </c>
      <c r="G209" s="3" t="s">
        <v>121</v>
      </c>
      <c r="H209" s="3" t="s">
        <v>55</v>
      </c>
      <c r="I209" s="3">
        <v>2025</v>
      </c>
      <c r="J209" s="3" t="str">
        <f>CONCATENATE("54820142898")</f>
        <v>54820142898</v>
      </c>
      <c r="K209" s="3" t="s">
        <v>33</v>
      </c>
      <c r="L209" s="3"/>
      <c r="M209" s="3" t="s">
        <v>128</v>
      </c>
      <c r="N209" s="3" t="str">
        <f>CONCATENATE("DSDNMR45L49F509G")</f>
        <v>DSDNMR45L49F509G</v>
      </c>
      <c r="O209" s="3" t="s">
        <v>296</v>
      </c>
      <c r="P209" s="3" t="s">
        <v>36</v>
      </c>
      <c r="Q209" s="3" t="s">
        <v>225</v>
      </c>
      <c r="R209" s="4">
        <v>46080</v>
      </c>
      <c r="S209" s="3" t="s">
        <v>38</v>
      </c>
      <c r="T209" s="3" t="s">
        <v>39</v>
      </c>
      <c r="U209" s="3" t="s">
        <v>40</v>
      </c>
      <c r="V209" s="3">
        <v>756.75</v>
      </c>
      <c r="W209" s="3">
        <v>321.62</v>
      </c>
      <c r="X209" s="3">
        <v>304.58999999999997</v>
      </c>
      <c r="Y209" s="3">
        <v>130.54</v>
      </c>
    </row>
    <row r="210" spans="1:25" ht="60.75" x14ac:dyDescent="0.25">
      <c r="A210" s="3" t="s">
        <v>26</v>
      </c>
      <c r="B210" s="3" t="s">
        <v>27</v>
      </c>
      <c r="C210" s="3" t="s">
        <v>28</v>
      </c>
      <c r="D210" s="3" t="s">
        <v>44</v>
      </c>
      <c r="E210" s="3" t="s">
        <v>256</v>
      </c>
      <c r="F210" s="3" t="s">
        <v>46</v>
      </c>
      <c r="G210" s="3" t="s">
        <v>256</v>
      </c>
      <c r="H210" s="3" t="s">
        <v>55</v>
      </c>
      <c r="I210" s="3">
        <v>2025</v>
      </c>
      <c r="J210" s="3" t="str">
        <f>CONCATENATE("54820037320")</f>
        <v>54820037320</v>
      </c>
      <c r="K210" s="3" t="s">
        <v>33</v>
      </c>
      <c r="L210" s="3"/>
      <c r="M210" s="3" t="s">
        <v>128</v>
      </c>
      <c r="N210" s="3" t="str">
        <f>CONCATENATE("DCRDNL90E31H769F")</f>
        <v>DCRDNL90E31H769F</v>
      </c>
      <c r="O210" s="3" t="s">
        <v>297</v>
      </c>
      <c r="P210" s="3" t="s">
        <v>36</v>
      </c>
      <c r="Q210" s="3" t="s">
        <v>225</v>
      </c>
      <c r="R210" s="4">
        <v>46080</v>
      </c>
      <c r="S210" s="3" t="s">
        <v>38</v>
      </c>
      <c r="T210" s="3" t="s">
        <v>39</v>
      </c>
      <c r="U210" s="3" t="s">
        <v>40</v>
      </c>
      <c r="V210" s="5">
        <v>1459.32</v>
      </c>
      <c r="W210" s="3">
        <v>620.21</v>
      </c>
      <c r="X210" s="3">
        <v>587.38</v>
      </c>
      <c r="Y210" s="3">
        <v>251.73</v>
      </c>
    </row>
    <row r="211" spans="1:25" ht="72.75" x14ac:dyDescent="0.25">
      <c r="A211" s="3" t="s">
        <v>26</v>
      </c>
      <c r="B211" s="3" t="s">
        <v>27</v>
      </c>
      <c r="C211" s="3" t="s">
        <v>28</v>
      </c>
      <c r="D211" s="3" t="s">
        <v>44</v>
      </c>
      <c r="E211" s="3" t="s">
        <v>54</v>
      </c>
      <c r="F211" s="3" t="s">
        <v>46</v>
      </c>
      <c r="G211" s="3" t="s">
        <v>54</v>
      </c>
      <c r="H211" s="3" t="s">
        <v>55</v>
      </c>
      <c r="I211" s="3">
        <v>2025</v>
      </c>
      <c r="J211" s="3" t="str">
        <f>CONCATENATE("54820024666")</f>
        <v>54820024666</v>
      </c>
      <c r="K211" s="3" t="s">
        <v>33</v>
      </c>
      <c r="L211" s="3"/>
      <c r="M211" s="3" t="s">
        <v>128</v>
      </c>
      <c r="N211" s="3" t="str">
        <f>CONCATENATE("DMNPLA62M24H588V")</f>
        <v>DMNPLA62M24H588V</v>
      </c>
      <c r="O211" s="3" t="s">
        <v>298</v>
      </c>
      <c r="P211" s="3" t="s">
        <v>36</v>
      </c>
      <c r="Q211" s="3" t="s">
        <v>225</v>
      </c>
      <c r="R211" s="4">
        <v>46080</v>
      </c>
      <c r="S211" s="3" t="s">
        <v>38</v>
      </c>
      <c r="T211" s="3" t="s">
        <v>39</v>
      </c>
      <c r="U211" s="3" t="s">
        <v>40</v>
      </c>
      <c r="V211" s="3">
        <v>437.57</v>
      </c>
      <c r="W211" s="3">
        <v>185.97</v>
      </c>
      <c r="X211" s="3">
        <v>176.12</v>
      </c>
      <c r="Y211" s="3">
        <v>75.48</v>
      </c>
    </row>
    <row r="212" spans="1:25" ht="60.75" x14ac:dyDescent="0.25">
      <c r="A212" s="3" t="s">
        <v>26</v>
      </c>
      <c r="B212" s="3" t="s">
        <v>27</v>
      </c>
      <c r="C212" s="3" t="s">
        <v>28</v>
      </c>
      <c r="D212" s="3" t="s">
        <v>29</v>
      </c>
      <c r="E212" s="3" t="s">
        <v>232</v>
      </c>
      <c r="F212" s="3" t="s">
        <v>31</v>
      </c>
      <c r="G212" s="3" t="s">
        <v>232</v>
      </c>
      <c r="H212" s="3" t="s">
        <v>32</v>
      </c>
      <c r="I212" s="3">
        <v>2025</v>
      </c>
      <c r="J212" s="3" t="str">
        <f>CONCATENATE("54820093497")</f>
        <v>54820093497</v>
      </c>
      <c r="K212" s="3" t="s">
        <v>33</v>
      </c>
      <c r="L212" s="3"/>
      <c r="M212" s="3" t="s">
        <v>128</v>
      </c>
      <c r="N212" s="3" t="str">
        <f>CONCATENATE("FLCNMR51L60I569U")</f>
        <v>FLCNMR51L60I569U</v>
      </c>
      <c r="O212" s="3" t="s">
        <v>299</v>
      </c>
      <c r="P212" s="3" t="s">
        <v>36</v>
      </c>
      <c r="Q212" s="3" t="s">
        <v>225</v>
      </c>
      <c r="R212" s="4">
        <v>46080</v>
      </c>
      <c r="S212" s="3" t="s">
        <v>38</v>
      </c>
      <c r="T212" s="3" t="s">
        <v>39</v>
      </c>
      <c r="U212" s="3" t="s">
        <v>40</v>
      </c>
      <c r="V212" s="5">
        <v>2207.31</v>
      </c>
      <c r="W212" s="3">
        <v>938.11</v>
      </c>
      <c r="X212" s="3">
        <v>888.44</v>
      </c>
      <c r="Y212" s="3">
        <v>380.76</v>
      </c>
    </row>
    <row r="213" spans="1:25" ht="72.75" x14ac:dyDescent="0.25">
      <c r="A213" s="3" t="s">
        <v>26</v>
      </c>
      <c r="B213" s="3" t="s">
        <v>27</v>
      </c>
      <c r="C213" s="3" t="s">
        <v>28</v>
      </c>
      <c r="D213" s="3" t="s">
        <v>29</v>
      </c>
      <c r="E213" s="3" t="s">
        <v>249</v>
      </c>
      <c r="F213" s="3" t="s">
        <v>31</v>
      </c>
      <c r="G213" s="3" t="s">
        <v>249</v>
      </c>
      <c r="H213" s="3" t="s">
        <v>32</v>
      </c>
      <c r="I213" s="3">
        <v>2025</v>
      </c>
      <c r="J213" s="3" t="str">
        <f>CONCATENATE("54820016035")</f>
        <v>54820016035</v>
      </c>
      <c r="K213" s="3" t="s">
        <v>33</v>
      </c>
      <c r="L213" s="3"/>
      <c r="M213" s="3" t="s">
        <v>128</v>
      </c>
      <c r="N213" s="3" t="str">
        <f>CONCATENATE("FDLGDM58C26D653O")</f>
        <v>FDLGDM58C26D653O</v>
      </c>
      <c r="O213" s="3" t="s">
        <v>300</v>
      </c>
      <c r="P213" s="3" t="s">
        <v>36</v>
      </c>
      <c r="Q213" s="3" t="s">
        <v>225</v>
      </c>
      <c r="R213" s="4">
        <v>46080</v>
      </c>
      <c r="S213" s="3" t="s">
        <v>38</v>
      </c>
      <c r="T213" s="3" t="s">
        <v>39</v>
      </c>
      <c r="U213" s="3" t="s">
        <v>40</v>
      </c>
      <c r="V213" s="5">
        <v>1561.2</v>
      </c>
      <c r="W213" s="3">
        <v>663.51</v>
      </c>
      <c r="X213" s="3">
        <v>628.38</v>
      </c>
      <c r="Y213" s="3">
        <v>269.31</v>
      </c>
    </row>
    <row r="214" spans="1:25" ht="60.75" x14ac:dyDescent="0.25">
      <c r="A214" s="3" t="s">
        <v>26</v>
      </c>
      <c r="B214" s="3" t="s">
        <v>27</v>
      </c>
      <c r="C214" s="3" t="s">
        <v>28</v>
      </c>
      <c r="D214" s="3" t="s">
        <v>44</v>
      </c>
      <c r="E214" s="3" t="s">
        <v>253</v>
      </c>
      <c r="F214" s="3" t="s">
        <v>46</v>
      </c>
      <c r="G214" s="3" t="s">
        <v>253</v>
      </c>
      <c r="H214" s="3" t="s">
        <v>78</v>
      </c>
      <c r="I214" s="3">
        <v>2025</v>
      </c>
      <c r="J214" s="3" t="str">
        <f>CONCATENATE("54820028899")</f>
        <v>54820028899</v>
      </c>
      <c r="K214" s="3" t="s">
        <v>33</v>
      </c>
      <c r="L214" s="3"/>
      <c r="M214" s="3" t="s">
        <v>128</v>
      </c>
      <c r="N214" s="3" t="str">
        <f>CONCATENATE("FSSMLD45E47G551A")</f>
        <v>FSSMLD45E47G551A</v>
      </c>
      <c r="O214" s="3" t="s">
        <v>301</v>
      </c>
      <c r="P214" s="3" t="s">
        <v>36</v>
      </c>
      <c r="Q214" s="3" t="s">
        <v>225</v>
      </c>
      <c r="R214" s="4">
        <v>46080</v>
      </c>
      <c r="S214" s="3" t="s">
        <v>38</v>
      </c>
      <c r="T214" s="3" t="s">
        <v>39</v>
      </c>
      <c r="U214" s="3" t="s">
        <v>40</v>
      </c>
      <c r="V214" s="5">
        <v>1569.42</v>
      </c>
      <c r="W214" s="3">
        <v>667</v>
      </c>
      <c r="X214" s="3">
        <v>631.69000000000005</v>
      </c>
      <c r="Y214" s="3">
        <v>270.73</v>
      </c>
    </row>
    <row r="215" spans="1:25" ht="60.75" x14ac:dyDescent="0.25">
      <c r="A215" s="3" t="s">
        <v>26</v>
      </c>
      <c r="B215" s="3" t="s">
        <v>27</v>
      </c>
      <c r="C215" s="3" t="s">
        <v>28</v>
      </c>
      <c r="D215" s="3" t="s">
        <v>44</v>
      </c>
      <c r="E215" s="3" t="s">
        <v>253</v>
      </c>
      <c r="F215" s="3" t="s">
        <v>46</v>
      </c>
      <c r="G215" s="3" t="s">
        <v>253</v>
      </c>
      <c r="H215" s="3" t="s">
        <v>78</v>
      </c>
      <c r="I215" s="3">
        <v>2025</v>
      </c>
      <c r="J215" s="3" t="str">
        <f>CONCATENATE("54820172564")</f>
        <v>54820172564</v>
      </c>
      <c r="K215" s="3" t="s">
        <v>33</v>
      </c>
      <c r="L215" s="3"/>
      <c r="M215" s="3" t="s">
        <v>128</v>
      </c>
      <c r="N215" s="3" t="str">
        <f>CONCATENATE("FRTNDR93P22I459C")</f>
        <v>FRTNDR93P22I459C</v>
      </c>
      <c r="O215" s="3" t="s">
        <v>302</v>
      </c>
      <c r="P215" s="3" t="s">
        <v>36</v>
      </c>
      <c r="Q215" s="3" t="s">
        <v>225</v>
      </c>
      <c r="R215" s="4">
        <v>46080</v>
      </c>
      <c r="S215" s="3" t="s">
        <v>38</v>
      </c>
      <c r="T215" s="3" t="s">
        <v>39</v>
      </c>
      <c r="U215" s="3" t="s">
        <v>40</v>
      </c>
      <c r="V215" s="5">
        <v>1800.41</v>
      </c>
      <c r="W215" s="3">
        <v>765.17</v>
      </c>
      <c r="X215" s="3">
        <v>724.67</v>
      </c>
      <c r="Y215" s="3">
        <v>310.57</v>
      </c>
    </row>
    <row r="216" spans="1:25" ht="60.75" x14ac:dyDescent="0.25">
      <c r="A216" s="3" t="s">
        <v>26</v>
      </c>
      <c r="B216" s="3" t="s">
        <v>27</v>
      </c>
      <c r="C216" s="3" t="s">
        <v>28</v>
      </c>
      <c r="D216" s="3" t="s">
        <v>61</v>
      </c>
      <c r="E216" s="3" t="s">
        <v>86</v>
      </c>
      <c r="F216" s="3" t="s">
        <v>63</v>
      </c>
      <c r="G216" s="3" t="s">
        <v>86</v>
      </c>
      <c r="H216" s="3" t="s">
        <v>78</v>
      </c>
      <c r="I216" s="3">
        <v>2025</v>
      </c>
      <c r="J216" s="3" t="str">
        <f>CONCATENATE("54820184502")</f>
        <v>54820184502</v>
      </c>
      <c r="K216" s="3" t="s">
        <v>33</v>
      </c>
      <c r="L216" s="3"/>
      <c r="M216" s="3" t="s">
        <v>128</v>
      </c>
      <c r="N216" s="3" t="str">
        <f>CONCATENATE("GLSMTT79S28D749F")</f>
        <v>GLSMTT79S28D749F</v>
      </c>
      <c r="O216" s="3" t="s">
        <v>303</v>
      </c>
      <c r="P216" s="3" t="s">
        <v>36</v>
      </c>
      <c r="Q216" s="3" t="s">
        <v>225</v>
      </c>
      <c r="R216" s="4">
        <v>46080</v>
      </c>
      <c r="S216" s="3" t="s">
        <v>38</v>
      </c>
      <c r="T216" s="3" t="s">
        <v>39</v>
      </c>
      <c r="U216" s="3" t="s">
        <v>40</v>
      </c>
      <c r="V216" s="3">
        <v>228.15</v>
      </c>
      <c r="W216" s="3">
        <v>96.96</v>
      </c>
      <c r="X216" s="3">
        <v>91.83</v>
      </c>
      <c r="Y216" s="3">
        <v>39.36</v>
      </c>
    </row>
    <row r="217" spans="1:25" ht="60.75" x14ac:dyDescent="0.25">
      <c r="A217" s="3" t="s">
        <v>26</v>
      </c>
      <c r="B217" s="3" t="s">
        <v>27</v>
      </c>
      <c r="C217" s="3" t="s">
        <v>28</v>
      </c>
      <c r="D217" s="3" t="s">
        <v>61</v>
      </c>
      <c r="E217" s="3" t="s">
        <v>230</v>
      </c>
      <c r="F217" s="3" t="s">
        <v>63</v>
      </c>
      <c r="G217" s="3" t="s">
        <v>230</v>
      </c>
      <c r="H217" s="3" t="s">
        <v>47</v>
      </c>
      <c r="I217" s="3">
        <v>2025</v>
      </c>
      <c r="J217" s="3" t="str">
        <f>CONCATENATE("54820117551")</f>
        <v>54820117551</v>
      </c>
      <c r="K217" s="3" t="s">
        <v>33</v>
      </c>
      <c r="L217" s="3"/>
      <c r="M217" s="3" t="s">
        <v>128</v>
      </c>
      <c r="N217" s="3" t="str">
        <f>CONCATENATE("GRGDVD92E26H501C")</f>
        <v>GRGDVD92E26H501C</v>
      </c>
      <c r="O217" s="3" t="s">
        <v>304</v>
      </c>
      <c r="P217" s="3" t="s">
        <v>36</v>
      </c>
      <c r="Q217" s="3" t="s">
        <v>225</v>
      </c>
      <c r="R217" s="4">
        <v>46080</v>
      </c>
      <c r="S217" s="3" t="s">
        <v>38</v>
      </c>
      <c r="T217" s="3" t="s">
        <v>39</v>
      </c>
      <c r="U217" s="3" t="s">
        <v>40</v>
      </c>
      <c r="V217" s="5">
        <v>1137.3599999999999</v>
      </c>
      <c r="W217" s="3">
        <v>483.38</v>
      </c>
      <c r="X217" s="3">
        <v>457.79</v>
      </c>
      <c r="Y217" s="3">
        <v>196.19</v>
      </c>
    </row>
    <row r="218" spans="1:25" ht="60.75" x14ac:dyDescent="0.25">
      <c r="A218" s="3" t="s">
        <v>26</v>
      </c>
      <c r="B218" s="3" t="s">
        <v>27</v>
      </c>
      <c r="C218" s="3" t="s">
        <v>28</v>
      </c>
      <c r="D218" s="3" t="s">
        <v>44</v>
      </c>
      <c r="E218" s="3" t="s">
        <v>244</v>
      </c>
      <c r="F218" s="3" t="s">
        <v>46</v>
      </c>
      <c r="G218" s="3" t="s">
        <v>244</v>
      </c>
      <c r="H218" s="3" t="s">
        <v>78</v>
      </c>
      <c r="I218" s="3">
        <v>2025</v>
      </c>
      <c r="J218" s="3" t="str">
        <f>CONCATENATE("54820139126")</f>
        <v>54820139126</v>
      </c>
      <c r="K218" s="3" t="s">
        <v>33</v>
      </c>
      <c r="L218" s="3"/>
      <c r="M218" s="3" t="s">
        <v>128</v>
      </c>
      <c r="N218" s="3" t="str">
        <f>CONCATENATE("GNCPLA66T54G514A")</f>
        <v>GNCPLA66T54G514A</v>
      </c>
      <c r="O218" s="3" t="s">
        <v>305</v>
      </c>
      <c r="P218" s="3" t="s">
        <v>36</v>
      </c>
      <c r="Q218" s="3" t="s">
        <v>225</v>
      </c>
      <c r="R218" s="4">
        <v>46080</v>
      </c>
      <c r="S218" s="3" t="s">
        <v>38</v>
      </c>
      <c r="T218" s="3" t="s">
        <v>39</v>
      </c>
      <c r="U218" s="3" t="s">
        <v>40</v>
      </c>
      <c r="V218" s="5">
        <v>1463.54</v>
      </c>
      <c r="W218" s="3">
        <v>622</v>
      </c>
      <c r="X218" s="3">
        <v>589.07000000000005</v>
      </c>
      <c r="Y218" s="3">
        <v>252.47</v>
      </c>
    </row>
    <row r="219" spans="1:25" ht="60.75" x14ac:dyDescent="0.25">
      <c r="A219" s="3" t="s">
        <v>26</v>
      </c>
      <c r="B219" s="3" t="s">
        <v>27</v>
      </c>
      <c r="C219" s="3" t="s">
        <v>28</v>
      </c>
      <c r="D219" s="3" t="s">
        <v>29</v>
      </c>
      <c r="E219" s="3" t="s">
        <v>238</v>
      </c>
      <c r="F219" s="3" t="s">
        <v>31</v>
      </c>
      <c r="G219" s="3" t="s">
        <v>238</v>
      </c>
      <c r="H219" s="3" t="s">
        <v>78</v>
      </c>
      <c r="I219" s="3">
        <v>2025</v>
      </c>
      <c r="J219" s="3" t="str">
        <f>CONCATENATE("54820059720")</f>
        <v>54820059720</v>
      </c>
      <c r="K219" s="3" t="s">
        <v>33</v>
      </c>
      <c r="L219" s="3"/>
      <c r="M219" s="3" t="s">
        <v>128</v>
      </c>
      <c r="N219" s="3" t="str">
        <f>CONCATENATE("LRGGNN54P26G551G")</f>
        <v>LRGGNN54P26G551G</v>
      </c>
      <c r="O219" s="3" t="s">
        <v>306</v>
      </c>
      <c r="P219" s="3" t="s">
        <v>36</v>
      </c>
      <c r="Q219" s="3" t="s">
        <v>225</v>
      </c>
      <c r="R219" s="4">
        <v>46080</v>
      </c>
      <c r="S219" s="3" t="s">
        <v>38</v>
      </c>
      <c r="T219" s="3" t="s">
        <v>39</v>
      </c>
      <c r="U219" s="3" t="s">
        <v>40</v>
      </c>
      <c r="V219" s="5">
        <v>3072.89</v>
      </c>
      <c r="W219" s="5">
        <v>1305.98</v>
      </c>
      <c r="X219" s="5">
        <v>1236.8399999999999</v>
      </c>
      <c r="Y219" s="3">
        <v>530.07000000000005</v>
      </c>
    </row>
    <row r="220" spans="1:25" ht="72.75" x14ac:dyDescent="0.25">
      <c r="A220" s="3" t="s">
        <v>26</v>
      </c>
      <c r="B220" s="3" t="s">
        <v>27</v>
      </c>
      <c r="C220" s="3" t="s">
        <v>28</v>
      </c>
      <c r="D220" s="3" t="s">
        <v>29</v>
      </c>
      <c r="E220" s="3" t="s">
        <v>249</v>
      </c>
      <c r="F220" s="3" t="s">
        <v>31</v>
      </c>
      <c r="G220" s="3" t="s">
        <v>249</v>
      </c>
      <c r="H220" s="3" t="s">
        <v>32</v>
      </c>
      <c r="I220" s="3">
        <v>2025</v>
      </c>
      <c r="J220" s="3" t="str">
        <f>CONCATENATE("54820016431")</f>
        <v>54820016431</v>
      </c>
      <c r="K220" s="3" t="s">
        <v>33</v>
      </c>
      <c r="L220" s="3"/>
      <c r="M220" s="3" t="s">
        <v>128</v>
      </c>
      <c r="N220" s="3" t="str">
        <f>CONCATENATE("MNCFVN59A31B474M")</f>
        <v>MNCFVN59A31B474M</v>
      </c>
      <c r="O220" s="3" t="s">
        <v>307</v>
      </c>
      <c r="P220" s="3" t="s">
        <v>36</v>
      </c>
      <c r="Q220" s="3" t="s">
        <v>225</v>
      </c>
      <c r="R220" s="4">
        <v>46080</v>
      </c>
      <c r="S220" s="3" t="s">
        <v>38</v>
      </c>
      <c r="T220" s="3" t="s">
        <v>39</v>
      </c>
      <c r="U220" s="3" t="s">
        <v>40</v>
      </c>
      <c r="V220" s="3">
        <v>318.58</v>
      </c>
      <c r="W220" s="3">
        <v>135.4</v>
      </c>
      <c r="X220" s="3">
        <v>128.22999999999999</v>
      </c>
      <c r="Y220" s="3">
        <v>54.95</v>
      </c>
    </row>
    <row r="221" spans="1:25" ht="60.75" x14ac:dyDescent="0.25">
      <c r="A221" s="3" t="s">
        <v>26</v>
      </c>
      <c r="B221" s="3" t="s">
        <v>27</v>
      </c>
      <c r="C221" s="3" t="s">
        <v>28</v>
      </c>
      <c r="D221" s="3" t="s">
        <v>29</v>
      </c>
      <c r="E221" s="3" t="s">
        <v>238</v>
      </c>
      <c r="F221" s="3" t="s">
        <v>31</v>
      </c>
      <c r="G221" s="3" t="s">
        <v>238</v>
      </c>
      <c r="H221" s="3" t="s">
        <v>78</v>
      </c>
      <c r="I221" s="3">
        <v>2025</v>
      </c>
      <c r="J221" s="3" t="str">
        <f>CONCATENATE("54820071030")</f>
        <v>54820071030</v>
      </c>
      <c r="K221" s="3" t="s">
        <v>33</v>
      </c>
      <c r="L221" s="3"/>
      <c r="M221" s="3" t="s">
        <v>128</v>
      </c>
      <c r="N221" s="3" t="str">
        <f>CONCATENATE("MNCMRA73L18D007R")</f>
        <v>MNCMRA73L18D007R</v>
      </c>
      <c r="O221" s="3" t="s">
        <v>308</v>
      </c>
      <c r="P221" s="3" t="s">
        <v>36</v>
      </c>
      <c r="Q221" s="3" t="s">
        <v>225</v>
      </c>
      <c r="R221" s="4">
        <v>46080</v>
      </c>
      <c r="S221" s="3" t="s">
        <v>38</v>
      </c>
      <c r="T221" s="3" t="s">
        <v>39</v>
      </c>
      <c r="U221" s="3" t="s">
        <v>40</v>
      </c>
      <c r="V221" s="5">
        <v>1677.82</v>
      </c>
      <c r="W221" s="3">
        <v>713.07</v>
      </c>
      <c r="X221" s="3">
        <v>675.32</v>
      </c>
      <c r="Y221" s="3">
        <v>289.43</v>
      </c>
    </row>
    <row r="222" spans="1:25" ht="60.75" x14ac:dyDescent="0.25">
      <c r="A222" s="3" t="s">
        <v>26</v>
      </c>
      <c r="B222" s="3" t="s">
        <v>27</v>
      </c>
      <c r="C222" s="3" t="s">
        <v>28</v>
      </c>
      <c r="D222" s="3" t="s">
        <v>44</v>
      </c>
      <c r="E222" s="3" t="s">
        <v>115</v>
      </c>
      <c r="F222" s="3" t="s">
        <v>46</v>
      </c>
      <c r="G222" s="3" t="s">
        <v>115</v>
      </c>
      <c r="H222" s="3" t="s">
        <v>78</v>
      </c>
      <c r="I222" s="3">
        <v>2025</v>
      </c>
      <c r="J222" s="3" t="str">
        <f>CONCATENATE("54820174644")</f>
        <v>54820174644</v>
      </c>
      <c r="K222" s="3" t="s">
        <v>33</v>
      </c>
      <c r="L222" s="3"/>
      <c r="M222" s="3" t="s">
        <v>128</v>
      </c>
      <c r="N222" s="3" t="str">
        <f>CONCATENATE("MSSMRZ81C24F347G")</f>
        <v>MSSMRZ81C24F347G</v>
      </c>
      <c r="O222" s="3" t="s">
        <v>309</v>
      </c>
      <c r="P222" s="3" t="s">
        <v>36</v>
      </c>
      <c r="Q222" s="3" t="s">
        <v>225</v>
      </c>
      <c r="R222" s="4">
        <v>46080</v>
      </c>
      <c r="S222" s="3" t="s">
        <v>38</v>
      </c>
      <c r="T222" s="3" t="s">
        <v>39</v>
      </c>
      <c r="U222" s="3" t="s">
        <v>40</v>
      </c>
      <c r="V222" s="5">
        <v>1612.41</v>
      </c>
      <c r="W222" s="3">
        <v>685.27</v>
      </c>
      <c r="X222" s="3">
        <v>649</v>
      </c>
      <c r="Y222" s="3">
        <v>278.14</v>
      </c>
    </row>
    <row r="223" spans="1:25" ht="60.75" x14ac:dyDescent="0.25">
      <c r="A223" s="3" t="s">
        <v>26</v>
      </c>
      <c r="B223" s="3" t="s">
        <v>27</v>
      </c>
      <c r="C223" s="3" t="s">
        <v>28</v>
      </c>
      <c r="D223" s="3" t="s">
        <v>29</v>
      </c>
      <c r="E223" s="3" t="s">
        <v>249</v>
      </c>
      <c r="F223" s="3" t="s">
        <v>31</v>
      </c>
      <c r="G223" s="3" t="s">
        <v>249</v>
      </c>
      <c r="H223" s="3" t="s">
        <v>32</v>
      </c>
      <c r="I223" s="3">
        <v>2025</v>
      </c>
      <c r="J223" s="3" t="str">
        <f>CONCATENATE("54820016480")</f>
        <v>54820016480</v>
      </c>
      <c r="K223" s="3" t="s">
        <v>33</v>
      </c>
      <c r="L223" s="3"/>
      <c r="M223" s="3" t="s">
        <v>128</v>
      </c>
      <c r="N223" s="3" t="str">
        <f>CONCATENATE("MCZFNC48C30D609F")</f>
        <v>MCZFNC48C30D609F</v>
      </c>
      <c r="O223" s="3" t="s">
        <v>310</v>
      </c>
      <c r="P223" s="3" t="s">
        <v>36</v>
      </c>
      <c r="Q223" s="3" t="s">
        <v>225</v>
      </c>
      <c r="R223" s="4">
        <v>46080</v>
      </c>
      <c r="S223" s="3" t="s">
        <v>38</v>
      </c>
      <c r="T223" s="3" t="s">
        <v>39</v>
      </c>
      <c r="U223" s="3" t="s">
        <v>40</v>
      </c>
      <c r="V223" s="3">
        <v>314.16000000000003</v>
      </c>
      <c r="W223" s="3">
        <v>133.52000000000001</v>
      </c>
      <c r="X223" s="3">
        <v>126.45</v>
      </c>
      <c r="Y223" s="3">
        <v>54.19</v>
      </c>
    </row>
    <row r="224" spans="1:25" ht="60.75" x14ac:dyDescent="0.25">
      <c r="A224" s="3" t="s">
        <v>26</v>
      </c>
      <c r="B224" s="3" t="s">
        <v>27</v>
      </c>
      <c r="C224" s="3" t="s">
        <v>28</v>
      </c>
      <c r="D224" s="3" t="s">
        <v>44</v>
      </c>
      <c r="E224" s="3" t="s">
        <v>253</v>
      </c>
      <c r="F224" s="3" t="s">
        <v>46</v>
      </c>
      <c r="G224" s="3" t="s">
        <v>253</v>
      </c>
      <c r="H224" s="3" t="s">
        <v>78</v>
      </c>
      <c r="I224" s="3">
        <v>2025</v>
      </c>
      <c r="J224" s="3" t="str">
        <f>CONCATENATE("54820069539")</f>
        <v>54820069539</v>
      </c>
      <c r="K224" s="3" t="s">
        <v>33</v>
      </c>
      <c r="L224" s="3"/>
      <c r="M224" s="3" t="s">
        <v>128</v>
      </c>
      <c r="N224" s="3" t="str">
        <f>CONCATENATE("NNNDNL82L16I459P")</f>
        <v>NNNDNL82L16I459P</v>
      </c>
      <c r="O224" s="3" t="s">
        <v>311</v>
      </c>
      <c r="P224" s="3" t="s">
        <v>36</v>
      </c>
      <c r="Q224" s="3" t="s">
        <v>225</v>
      </c>
      <c r="R224" s="4">
        <v>46080</v>
      </c>
      <c r="S224" s="3" t="s">
        <v>38</v>
      </c>
      <c r="T224" s="3" t="s">
        <v>39</v>
      </c>
      <c r="U224" s="3" t="s">
        <v>40</v>
      </c>
      <c r="V224" s="5">
        <v>1844.25</v>
      </c>
      <c r="W224" s="3">
        <v>783.81</v>
      </c>
      <c r="X224" s="3">
        <v>742.31</v>
      </c>
      <c r="Y224" s="3">
        <v>318.13</v>
      </c>
    </row>
    <row r="225" spans="1:25" ht="60.75" x14ac:dyDescent="0.25">
      <c r="A225" s="3" t="s">
        <v>26</v>
      </c>
      <c r="B225" s="3" t="s">
        <v>27</v>
      </c>
      <c r="C225" s="3" t="s">
        <v>28</v>
      </c>
      <c r="D225" s="3" t="s">
        <v>61</v>
      </c>
      <c r="E225" s="3" t="s">
        <v>86</v>
      </c>
      <c r="F225" s="3" t="s">
        <v>63</v>
      </c>
      <c r="G225" s="3" t="s">
        <v>86</v>
      </c>
      <c r="H225" s="3" t="s">
        <v>78</v>
      </c>
      <c r="I225" s="3">
        <v>2025</v>
      </c>
      <c r="J225" s="3" t="str">
        <f>CONCATENATE("54820193545")</f>
        <v>54820193545</v>
      </c>
      <c r="K225" s="3" t="s">
        <v>33</v>
      </c>
      <c r="L225" s="3"/>
      <c r="M225" s="3" t="s">
        <v>128</v>
      </c>
      <c r="N225" s="3" t="str">
        <f>CONCATENATE("CCHNNL65E67D749J")</f>
        <v>CCHNNL65E67D749J</v>
      </c>
      <c r="O225" s="3" t="s">
        <v>312</v>
      </c>
      <c r="P225" s="3" t="s">
        <v>36</v>
      </c>
      <c r="Q225" s="3" t="s">
        <v>225</v>
      </c>
      <c r="R225" s="4">
        <v>46080</v>
      </c>
      <c r="S225" s="3" t="s">
        <v>38</v>
      </c>
      <c r="T225" s="3" t="s">
        <v>39</v>
      </c>
      <c r="U225" s="3" t="s">
        <v>40</v>
      </c>
      <c r="V225" s="3">
        <v>385.94</v>
      </c>
      <c r="W225" s="3">
        <v>164.02</v>
      </c>
      <c r="X225" s="3">
        <v>155.34</v>
      </c>
      <c r="Y225" s="3">
        <v>66.58</v>
      </c>
    </row>
    <row r="226" spans="1:25" ht="60.75" x14ac:dyDescent="0.25">
      <c r="A226" s="3" t="s">
        <v>26</v>
      </c>
      <c r="B226" s="3" t="s">
        <v>27</v>
      </c>
      <c r="C226" s="3" t="s">
        <v>28</v>
      </c>
      <c r="D226" s="3" t="s">
        <v>61</v>
      </c>
      <c r="E226" s="3" t="s">
        <v>127</v>
      </c>
      <c r="F226" s="3" t="s">
        <v>63</v>
      </c>
      <c r="G226" s="3" t="s">
        <v>127</v>
      </c>
      <c r="H226" s="3" t="s">
        <v>78</v>
      </c>
      <c r="I226" s="3">
        <v>2025</v>
      </c>
      <c r="J226" s="3" t="str">
        <f>CONCATENATE("54820180237")</f>
        <v>54820180237</v>
      </c>
      <c r="K226" s="3" t="s">
        <v>33</v>
      </c>
      <c r="L226" s="3"/>
      <c r="M226" s="3" t="s">
        <v>128</v>
      </c>
      <c r="N226" s="3" t="str">
        <f>CONCATENATE("PLTSRG54A26L500Q")</f>
        <v>PLTSRG54A26L500Q</v>
      </c>
      <c r="O226" s="3" t="s">
        <v>313</v>
      </c>
      <c r="P226" s="3" t="s">
        <v>36</v>
      </c>
      <c r="Q226" s="3" t="s">
        <v>225</v>
      </c>
      <c r="R226" s="4">
        <v>46080</v>
      </c>
      <c r="S226" s="3" t="s">
        <v>38</v>
      </c>
      <c r="T226" s="3" t="s">
        <v>39</v>
      </c>
      <c r="U226" s="3" t="s">
        <v>40</v>
      </c>
      <c r="V226" s="5">
        <v>1693.05</v>
      </c>
      <c r="W226" s="3">
        <v>719.55</v>
      </c>
      <c r="X226" s="3">
        <v>681.45</v>
      </c>
      <c r="Y226" s="3">
        <v>292.05</v>
      </c>
    </row>
    <row r="227" spans="1:25" ht="72.75" x14ac:dyDescent="0.25">
      <c r="A227" s="3" t="s">
        <v>26</v>
      </c>
      <c r="B227" s="3" t="s">
        <v>27</v>
      </c>
      <c r="C227" s="3" t="s">
        <v>28</v>
      </c>
      <c r="D227" s="3" t="s">
        <v>44</v>
      </c>
      <c r="E227" s="3" t="s">
        <v>256</v>
      </c>
      <c r="F227" s="3" t="s">
        <v>46</v>
      </c>
      <c r="G227" s="3" t="s">
        <v>256</v>
      </c>
      <c r="H227" s="3" t="s">
        <v>55</v>
      </c>
      <c r="I227" s="3">
        <v>2025</v>
      </c>
      <c r="J227" s="3" t="str">
        <f>CONCATENATE("54820027859")</f>
        <v>54820027859</v>
      </c>
      <c r="K227" s="3" t="s">
        <v>33</v>
      </c>
      <c r="L227" s="3"/>
      <c r="M227" s="3" t="s">
        <v>128</v>
      </c>
      <c r="N227" s="3" t="str">
        <f>CONCATENATE("CMCMSM75H24A462Y")</f>
        <v>CMCMSM75H24A462Y</v>
      </c>
      <c r="O227" s="3" t="s">
        <v>314</v>
      </c>
      <c r="P227" s="3" t="s">
        <v>36</v>
      </c>
      <c r="Q227" s="3" t="s">
        <v>225</v>
      </c>
      <c r="R227" s="4">
        <v>46080</v>
      </c>
      <c r="S227" s="3" t="s">
        <v>38</v>
      </c>
      <c r="T227" s="3" t="s">
        <v>39</v>
      </c>
      <c r="U227" s="3" t="s">
        <v>40</v>
      </c>
      <c r="V227" s="3">
        <v>718.19</v>
      </c>
      <c r="W227" s="3">
        <v>305.23</v>
      </c>
      <c r="X227" s="3">
        <v>289.07</v>
      </c>
      <c r="Y227" s="3">
        <v>123.89</v>
      </c>
    </row>
    <row r="228" spans="1:25" ht="60.75" x14ac:dyDescent="0.25">
      <c r="A228" s="3" t="s">
        <v>26</v>
      </c>
      <c r="B228" s="3" t="s">
        <v>27</v>
      </c>
      <c r="C228" s="3" t="s">
        <v>28</v>
      </c>
      <c r="D228" s="3" t="s">
        <v>29</v>
      </c>
      <c r="E228" s="3" t="s">
        <v>232</v>
      </c>
      <c r="F228" s="3" t="s">
        <v>31</v>
      </c>
      <c r="G228" s="3" t="s">
        <v>232</v>
      </c>
      <c r="H228" s="3" t="s">
        <v>32</v>
      </c>
      <c r="I228" s="3">
        <v>2025</v>
      </c>
      <c r="J228" s="3" t="str">
        <f>CONCATENATE("54820130406")</f>
        <v>54820130406</v>
      </c>
      <c r="K228" s="3" t="s">
        <v>33</v>
      </c>
      <c r="L228" s="3"/>
      <c r="M228" s="3" t="s">
        <v>128</v>
      </c>
      <c r="N228" s="3" t="str">
        <f>CONCATENATE("CRFPPN66A10M078Z")</f>
        <v>CRFPPN66A10M078Z</v>
      </c>
      <c r="O228" s="3" t="s">
        <v>315</v>
      </c>
      <c r="P228" s="3" t="s">
        <v>36</v>
      </c>
      <c r="Q228" s="3" t="s">
        <v>225</v>
      </c>
      <c r="R228" s="4">
        <v>46080</v>
      </c>
      <c r="S228" s="3" t="s">
        <v>38</v>
      </c>
      <c r="T228" s="3" t="s">
        <v>39</v>
      </c>
      <c r="U228" s="3" t="s">
        <v>40</v>
      </c>
      <c r="V228" s="5">
        <v>1984.69</v>
      </c>
      <c r="W228" s="3">
        <v>843.49</v>
      </c>
      <c r="X228" s="3">
        <v>798.84</v>
      </c>
      <c r="Y228" s="3">
        <v>342.36</v>
      </c>
    </row>
    <row r="229" spans="1:25" ht="60.75" x14ac:dyDescent="0.25">
      <c r="A229" s="3" t="s">
        <v>26</v>
      </c>
      <c r="B229" s="3" t="s">
        <v>27</v>
      </c>
      <c r="C229" s="3" t="s">
        <v>28</v>
      </c>
      <c r="D229" s="3" t="s">
        <v>44</v>
      </c>
      <c r="E229" s="3" t="s">
        <v>316</v>
      </c>
      <c r="F229" s="3" t="s">
        <v>46</v>
      </c>
      <c r="G229" s="3" t="s">
        <v>316</v>
      </c>
      <c r="H229" s="3" t="s">
        <v>78</v>
      </c>
      <c r="I229" s="3">
        <v>2025</v>
      </c>
      <c r="J229" s="3" t="str">
        <f>CONCATENATE("54820038567")</f>
        <v>54820038567</v>
      </c>
      <c r="K229" s="3" t="s">
        <v>33</v>
      </c>
      <c r="L229" s="3"/>
      <c r="M229" s="3" t="s">
        <v>128</v>
      </c>
      <c r="N229" s="3" t="str">
        <f>CONCATENATE("CCCPQL55A11I287Y")</f>
        <v>CCCPQL55A11I287Y</v>
      </c>
      <c r="O229" s="3" t="s">
        <v>317</v>
      </c>
      <c r="P229" s="3" t="s">
        <v>36</v>
      </c>
      <c r="Q229" s="3" t="s">
        <v>225</v>
      </c>
      <c r="R229" s="4">
        <v>46080</v>
      </c>
      <c r="S229" s="3" t="s">
        <v>38</v>
      </c>
      <c r="T229" s="3" t="s">
        <v>39</v>
      </c>
      <c r="U229" s="3" t="s">
        <v>40</v>
      </c>
      <c r="V229" s="3">
        <v>669.09</v>
      </c>
      <c r="W229" s="3">
        <v>284.36</v>
      </c>
      <c r="X229" s="3">
        <v>269.31</v>
      </c>
      <c r="Y229" s="3">
        <v>115.42</v>
      </c>
    </row>
    <row r="230" spans="1:25" ht="60.75" x14ac:dyDescent="0.25">
      <c r="A230" s="3" t="s">
        <v>26</v>
      </c>
      <c r="B230" s="3" t="s">
        <v>27</v>
      </c>
      <c r="C230" s="3" t="s">
        <v>28</v>
      </c>
      <c r="D230" s="3" t="s">
        <v>41</v>
      </c>
      <c r="E230" s="3" t="s">
        <v>121</v>
      </c>
      <c r="F230" s="3" t="s">
        <v>41</v>
      </c>
      <c r="G230" s="3" t="s">
        <v>121</v>
      </c>
      <c r="H230" s="3" t="s">
        <v>55</v>
      </c>
      <c r="I230" s="3">
        <v>2025</v>
      </c>
      <c r="J230" s="3" t="str">
        <f>CONCATENATE("54820281910")</f>
        <v>54820281910</v>
      </c>
      <c r="K230" s="3" t="s">
        <v>33</v>
      </c>
      <c r="L230" s="3"/>
      <c r="M230" s="3" t="s">
        <v>128</v>
      </c>
      <c r="N230" s="3" t="str">
        <f>CONCATENATE("CRTGRL71M70L597Z")</f>
        <v>CRTGRL71M70L597Z</v>
      </c>
      <c r="O230" s="3" t="s">
        <v>318</v>
      </c>
      <c r="P230" s="3" t="s">
        <v>36</v>
      </c>
      <c r="Q230" s="3" t="s">
        <v>225</v>
      </c>
      <c r="R230" s="4">
        <v>46080</v>
      </c>
      <c r="S230" s="3" t="s">
        <v>38</v>
      </c>
      <c r="T230" s="3" t="s">
        <v>39</v>
      </c>
      <c r="U230" s="3" t="s">
        <v>40</v>
      </c>
      <c r="V230" s="5">
        <v>7031.25</v>
      </c>
      <c r="W230" s="5">
        <v>2988.28</v>
      </c>
      <c r="X230" s="5">
        <v>2830.08</v>
      </c>
      <c r="Y230" s="5">
        <v>1212.8900000000001</v>
      </c>
    </row>
    <row r="231" spans="1:25" ht="60.75" x14ac:dyDescent="0.25">
      <c r="A231" s="3" t="s">
        <v>26</v>
      </c>
      <c r="B231" s="3" t="s">
        <v>27</v>
      </c>
      <c r="C231" s="3" t="s">
        <v>28</v>
      </c>
      <c r="D231" s="3" t="s">
        <v>41</v>
      </c>
      <c r="E231" s="3" t="s">
        <v>121</v>
      </c>
      <c r="F231" s="3" t="s">
        <v>41</v>
      </c>
      <c r="G231" s="3" t="s">
        <v>121</v>
      </c>
      <c r="H231" s="3" t="s">
        <v>55</v>
      </c>
      <c r="I231" s="3">
        <v>2025</v>
      </c>
      <c r="J231" s="3" t="str">
        <f>CONCATENATE("54820277595")</f>
        <v>54820277595</v>
      </c>
      <c r="K231" s="3" t="s">
        <v>33</v>
      </c>
      <c r="L231" s="3"/>
      <c r="M231" s="3" t="s">
        <v>128</v>
      </c>
      <c r="N231" s="3" t="str">
        <f>CONCATENATE("DVTNDR83D23A252C")</f>
        <v>DVTNDR83D23A252C</v>
      </c>
      <c r="O231" s="3" t="s">
        <v>319</v>
      </c>
      <c r="P231" s="3" t="s">
        <v>36</v>
      </c>
      <c r="Q231" s="3" t="s">
        <v>225</v>
      </c>
      <c r="R231" s="4">
        <v>46080</v>
      </c>
      <c r="S231" s="3" t="s">
        <v>38</v>
      </c>
      <c r="T231" s="3" t="s">
        <v>39</v>
      </c>
      <c r="U231" s="3" t="s">
        <v>40</v>
      </c>
      <c r="V231" s="5">
        <v>1030.3499999999999</v>
      </c>
      <c r="W231" s="3">
        <v>437.9</v>
      </c>
      <c r="X231" s="3">
        <v>414.72</v>
      </c>
      <c r="Y231" s="3">
        <v>177.73</v>
      </c>
    </row>
    <row r="232" spans="1:25" ht="60.75" x14ac:dyDescent="0.25">
      <c r="A232" s="3" t="s">
        <v>26</v>
      </c>
      <c r="B232" s="3" t="s">
        <v>27</v>
      </c>
      <c r="C232" s="3" t="s">
        <v>28</v>
      </c>
      <c r="D232" s="3" t="s">
        <v>41</v>
      </c>
      <c r="E232" s="3" t="s">
        <v>121</v>
      </c>
      <c r="F232" s="3" t="s">
        <v>41</v>
      </c>
      <c r="G232" s="3" t="s">
        <v>121</v>
      </c>
      <c r="H232" s="3" t="s">
        <v>55</v>
      </c>
      <c r="I232" s="3">
        <v>2025</v>
      </c>
      <c r="J232" s="3" t="str">
        <f>CONCATENATE("54820283429")</f>
        <v>54820283429</v>
      </c>
      <c r="K232" s="3" t="s">
        <v>33</v>
      </c>
      <c r="L232" s="3"/>
      <c r="M232" s="3" t="s">
        <v>128</v>
      </c>
      <c r="N232" s="3" t="str">
        <f>CONCATENATE("DMSVCN83H42H501I")</f>
        <v>DMSVCN83H42H501I</v>
      </c>
      <c r="O232" s="3" t="s">
        <v>320</v>
      </c>
      <c r="P232" s="3" t="s">
        <v>36</v>
      </c>
      <c r="Q232" s="3" t="s">
        <v>225</v>
      </c>
      <c r="R232" s="4">
        <v>46080</v>
      </c>
      <c r="S232" s="3" t="s">
        <v>38</v>
      </c>
      <c r="T232" s="3" t="s">
        <v>39</v>
      </c>
      <c r="U232" s="3" t="s">
        <v>40</v>
      </c>
      <c r="V232" s="5">
        <v>5375.35</v>
      </c>
      <c r="W232" s="5">
        <v>2284.52</v>
      </c>
      <c r="X232" s="5">
        <v>2163.58</v>
      </c>
      <c r="Y232" s="3">
        <v>927.25</v>
      </c>
    </row>
    <row r="233" spans="1:25" ht="60.75" x14ac:dyDescent="0.25">
      <c r="A233" s="3" t="s">
        <v>26</v>
      </c>
      <c r="B233" s="3" t="s">
        <v>27</v>
      </c>
      <c r="C233" s="3" t="s">
        <v>28</v>
      </c>
      <c r="D233" s="3" t="s">
        <v>44</v>
      </c>
      <c r="E233" s="3" t="s">
        <v>253</v>
      </c>
      <c r="F233" s="3" t="s">
        <v>46</v>
      </c>
      <c r="G233" s="3" t="s">
        <v>253</v>
      </c>
      <c r="H233" s="3" t="s">
        <v>78</v>
      </c>
      <c r="I233" s="3">
        <v>2025</v>
      </c>
      <c r="J233" s="3" t="str">
        <f>CONCATENATE("54820046974")</f>
        <v>54820046974</v>
      </c>
      <c r="K233" s="3" t="s">
        <v>33</v>
      </c>
      <c r="L233" s="3"/>
      <c r="M233" s="3" t="s">
        <v>128</v>
      </c>
      <c r="N233" s="3" t="str">
        <f>CONCATENATE("CCCGGN68P50I459R")</f>
        <v>CCCGGN68P50I459R</v>
      </c>
      <c r="O233" s="3" t="s">
        <v>321</v>
      </c>
      <c r="P233" s="3" t="s">
        <v>36</v>
      </c>
      <c r="Q233" s="3" t="s">
        <v>225</v>
      </c>
      <c r="R233" s="4">
        <v>46080</v>
      </c>
      <c r="S233" s="3" t="s">
        <v>38</v>
      </c>
      <c r="T233" s="3" t="s">
        <v>39</v>
      </c>
      <c r="U233" s="3" t="s">
        <v>40</v>
      </c>
      <c r="V233" s="5">
        <v>3602.58</v>
      </c>
      <c r="W233" s="5">
        <v>1531.1</v>
      </c>
      <c r="X233" s="5">
        <v>1450.04</v>
      </c>
      <c r="Y233" s="3">
        <v>621.44000000000005</v>
      </c>
    </row>
    <row r="234" spans="1:25" ht="60.75" x14ac:dyDescent="0.25">
      <c r="A234" s="3" t="s">
        <v>26</v>
      </c>
      <c r="B234" s="3" t="s">
        <v>27</v>
      </c>
      <c r="C234" s="3" t="s">
        <v>28</v>
      </c>
      <c r="D234" s="3" t="s">
        <v>44</v>
      </c>
      <c r="E234" s="3" t="s">
        <v>253</v>
      </c>
      <c r="F234" s="3" t="s">
        <v>46</v>
      </c>
      <c r="G234" s="3" t="s">
        <v>253</v>
      </c>
      <c r="H234" s="3" t="s">
        <v>78</v>
      </c>
      <c r="I234" s="3">
        <v>2025</v>
      </c>
      <c r="J234" s="3" t="str">
        <f>CONCATENATE("54820027172")</f>
        <v>54820027172</v>
      </c>
      <c r="K234" s="3" t="s">
        <v>33</v>
      </c>
      <c r="L234" s="3"/>
      <c r="M234" s="3" t="s">
        <v>128</v>
      </c>
      <c r="N234" s="3" t="str">
        <f>CONCATENATE("CNDPLA73C17I459A")</f>
        <v>CNDPLA73C17I459A</v>
      </c>
      <c r="O234" s="3" t="s">
        <v>322</v>
      </c>
      <c r="P234" s="3" t="s">
        <v>36</v>
      </c>
      <c r="Q234" s="3" t="s">
        <v>225</v>
      </c>
      <c r="R234" s="4">
        <v>46080</v>
      </c>
      <c r="S234" s="3" t="s">
        <v>38</v>
      </c>
      <c r="T234" s="3" t="s">
        <v>39</v>
      </c>
      <c r="U234" s="3" t="s">
        <v>40</v>
      </c>
      <c r="V234" s="5">
        <v>1725.16</v>
      </c>
      <c r="W234" s="3">
        <v>733.19</v>
      </c>
      <c r="X234" s="3">
        <v>694.38</v>
      </c>
      <c r="Y234" s="3">
        <v>297.58999999999997</v>
      </c>
    </row>
    <row r="235" spans="1:25" ht="60.75" x14ac:dyDescent="0.25">
      <c r="A235" s="3" t="s">
        <v>26</v>
      </c>
      <c r="B235" s="3" t="s">
        <v>27</v>
      </c>
      <c r="C235" s="3" t="s">
        <v>28</v>
      </c>
      <c r="D235" s="3" t="s">
        <v>44</v>
      </c>
      <c r="E235" s="3" t="s">
        <v>54</v>
      </c>
      <c r="F235" s="3" t="s">
        <v>46</v>
      </c>
      <c r="G235" s="3" t="s">
        <v>54</v>
      </c>
      <c r="H235" s="3" t="s">
        <v>55</v>
      </c>
      <c r="I235" s="3">
        <v>2025</v>
      </c>
      <c r="J235" s="3" t="str">
        <f>CONCATENATE("54820026711")</f>
        <v>54820026711</v>
      </c>
      <c r="K235" s="3" t="s">
        <v>33</v>
      </c>
      <c r="L235" s="3"/>
      <c r="M235" s="3" t="s">
        <v>128</v>
      </c>
      <c r="N235" s="3" t="str">
        <f>CONCATENATE("CRRMRA31P56L728A")</f>
        <v>CRRMRA31P56L728A</v>
      </c>
      <c r="O235" s="3" t="s">
        <v>323</v>
      </c>
      <c r="P235" s="3" t="s">
        <v>36</v>
      </c>
      <c r="Q235" s="3" t="s">
        <v>225</v>
      </c>
      <c r="R235" s="4">
        <v>46080</v>
      </c>
      <c r="S235" s="3" t="s">
        <v>38</v>
      </c>
      <c r="T235" s="3" t="s">
        <v>39</v>
      </c>
      <c r="U235" s="3" t="s">
        <v>40</v>
      </c>
      <c r="V235" s="3">
        <v>817.77</v>
      </c>
      <c r="W235" s="3">
        <v>347.55</v>
      </c>
      <c r="X235" s="3">
        <v>329.15</v>
      </c>
      <c r="Y235" s="3">
        <v>141.07</v>
      </c>
    </row>
    <row r="236" spans="1:25" ht="60.75" x14ac:dyDescent="0.25">
      <c r="A236" s="3" t="s">
        <v>26</v>
      </c>
      <c r="B236" s="3" t="s">
        <v>27</v>
      </c>
      <c r="C236" s="3" t="s">
        <v>28</v>
      </c>
      <c r="D236" s="3" t="s">
        <v>61</v>
      </c>
      <c r="E236" s="3" t="s">
        <v>127</v>
      </c>
      <c r="F236" s="3" t="s">
        <v>63</v>
      </c>
      <c r="G236" s="3" t="s">
        <v>127</v>
      </c>
      <c r="H236" s="3" t="s">
        <v>78</v>
      </c>
      <c r="I236" s="3">
        <v>2025</v>
      </c>
      <c r="J236" s="3" t="str">
        <f>CONCATENATE("54820184031")</f>
        <v>54820184031</v>
      </c>
      <c r="K236" s="3" t="s">
        <v>33</v>
      </c>
      <c r="L236" s="3"/>
      <c r="M236" s="3" t="s">
        <v>128</v>
      </c>
      <c r="N236" s="3" t="str">
        <f>CONCATENATE("CSMTLI41R66I287T")</f>
        <v>CSMTLI41R66I287T</v>
      </c>
      <c r="O236" s="3" t="s">
        <v>324</v>
      </c>
      <c r="P236" s="3" t="s">
        <v>36</v>
      </c>
      <c r="Q236" s="3" t="s">
        <v>225</v>
      </c>
      <c r="R236" s="4">
        <v>46080</v>
      </c>
      <c r="S236" s="3" t="s">
        <v>38</v>
      </c>
      <c r="T236" s="3" t="s">
        <v>39</v>
      </c>
      <c r="U236" s="3" t="s">
        <v>40</v>
      </c>
      <c r="V236" s="3">
        <v>529.03</v>
      </c>
      <c r="W236" s="3">
        <v>224.84</v>
      </c>
      <c r="X236" s="3">
        <v>212.93</v>
      </c>
      <c r="Y236" s="3">
        <v>91.26</v>
      </c>
    </row>
    <row r="237" spans="1:25" ht="60.75" x14ac:dyDescent="0.25">
      <c r="A237" s="3" t="s">
        <v>26</v>
      </c>
      <c r="B237" s="3" t="s">
        <v>27</v>
      </c>
      <c r="C237" s="3" t="s">
        <v>28</v>
      </c>
      <c r="D237" s="3" t="s">
        <v>29</v>
      </c>
      <c r="E237" s="3" t="s">
        <v>238</v>
      </c>
      <c r="F237" s="3" t="s">
        <v>31</v>
      </c>
      <c r="G237" s="3" t="s">
        <v>238</v>
      </c>
      <c r="H237" s="3" t="s">
        <v>78</v>
      </c>
      <c r="I237" s="3">
        <v>2025</v>
      </c>
      <c r="J237" s="3" t="str">
        <f>CONCATENATE("54820026752")</f>
        <v>54820026752</v>
      </c>
      <c r="K237" s="3" t="s">
        <v>33</v>
      </c>
      <c r="L237" s="3"/>
      <c r="M237" s="3" t="s">
        <v>128</v>
      </c>
      <c r="N237" s="3" t="str">
        <f>CONCATENATE("FLCGRG89S65I459V")</f>
        <v>FLCGRG89S65I459V</v>
      </c>
      <c r="O237" s="3" t="s">
        <v>325</v>
      </c>
      <c r="P237" s="3" t="s">
        <v>36</v>
      </c>
      <c r="Q237" s="3" t="s">
        <v>225</v>
      </c>
      <c r="R237" s="4">
        <v>46080</v>
      </c>
      <c r="S237" s="3" t="s">
        <v>38</v>
      </c>
      <c r="T237" s="3" t="s">
        <v>39</v>
      </c>
      <c r="U237" s="3" t="s">
        <v>40</v>
      </c>
      <c r="V237" s="3">
        <v>485.68</v>
      </c>
      <c r="W237" s="3">
        <v>206.41</v>
      </c>
      <c r="X237" s="3">
        <v>195.49</v>
      </c>
      <c r="Y237" s="3">
        <v>83.78</v>
      </c>
    </row>
    <row r="238" spans="1:25" ht="60.75" x14ac:dyDescent="0.25">
      <c r="A238" s="3" t="s">
        <v>26</v>
      </c>
      <c r="B238" s="3" t="s">
        <v>27</v>
      </c>
      <c r="C238" s="3" t="s">
        <v>28</v>
      </c>
      <c r="D238" s="3" t="s">
        <v>44</v>
      </c>
      <c r="E238" s="3" t="s">
        <v>253</v>
      </c>
      <c r="F238" s="3" t="s">
        <v>46</v>
      </c>
      <c r="G238" s="3" t="s">
        <v>253</v>
      </c>
      <c r="H238" s="3" t="s">
        <v>78</v>
      </c>
      <c r="I238" s="3">
        <v>2025</v>
      </c>
      <c r="J238" s="3" t="str">
        <f>CONCATENATE("54820028816")</f>
        <v>54820028816</v>
      </c>
      <c r="K238" s="3" t="s">
        <v>33</v>
      </c>
      <c r="L238" s="3"/>
      <c r="M238" s="3" t="s">
        <v>128</v>
      </c>
      <c r="N238" s="3" t="str">
        <f>CONCATENATE("FRRSFN70M01F715X")</f>
        <v>FRRSFN70M01F715X</v>
      </c>
      <c r="O238" s="3" t="s">
        <v>326</v>
      </c>
      <c r="P238" s="3" t="s">
        <v>36</v>
      </c>
      <c r="Q238" s="3" t="s">
        <v>225</v>
      </c>
      <c r="R238" s="4">
        <v>46080</v>
      </c>
      <c r="S238" s="3" t="s">
        <v>38</v>
      </c>
      <c r="T238" s="3" t="s">
        <v>39</v>
      </c>
      <c r="U238" s="3" t="s">
        <v>40</v>
      </c>
      <c r="V238" s="5">
        <v>1820.55</v>
      </c>
      <c r="W238" s="3">
        <v>773.73</v>
      </c>
      <c r="X238" s="3">
        <v>732.77</v>
      </c>
      <c r="Y238" s="3">
        <v>314.05</v>
      </c>
    </row>
    <row r="239" spans="1:25" ht="60.75" x14ac:dyDescent="0.25">
      <c r="A239" s="3" t="s">
        <v>26</v>
      </c>
      <c r="B239" s="3" t="s">
        <v>27</v>
      </c>
      <c r="C239" s="3" t="s">
        <v>28</v>
      </c>
      <c r="D239" s="3" t="s">
        <v>44</v>
      </c>
      <c r="E239" s="3" t="s">
        <v>244</v>
      </c>
      <c r="F239" s="3" t="s">
        <v>46</v>
      </c>
      <c r="G239" s="3" t="s">
        <v>244</v>
      </c>
      <c r="H239" s="3" t="s">
        <v>78</v>
      </c>
      <c r="I239" s="3">
        <v>2025</v>
      </c>
      <c r="J239" s="3" t="str">
        <f>CONCATENATE("54820138748")</f>
        <v>54820138748</v>
      </c>
      <c r="K239" s="3" t="s">
        <v>33</v>
      </c>
      <c r="L239" s="3"/>
      <c r="M239" s="3" t="s">
        <v>128</v>
      </c>
      <c r="N239" s="3" t="str">
        <f>CONCATENATE("GBNGRG57M31L500S")</f>
        <v>GBNGRG57M31L500S</v>
      </c>
      <c r="O239" s="3" t="s">
        <v>327</v>
      </c>
      <c r="P239" s="3" t="s">
        <v>36</v>
      </c>
      <c r="Q239" s="3" t="s">
        <v>225</v>
      </c>
      <c r="R239" s="4">
        <v>46080</v>
      </c>
      <c r="S239" s="3" t="s">
        <v>38</v>
      </c>
      <c r="T239" s="3" t="s">
        <v>39</v>
      </c>
      <c r="U239" s="3" t="s">
        <v>40</v>
      </c>
      <c r="V239" s="3">
        <v>533.44000000000005</v>
      </c>
      <c r="W239" s="3">
        <v>226.71</v>
      </c>
      <c r="X239" s="3">
        <v>214.71</v>
      </c>
      <c r="Y239" s="3">
        <v>92.02</v>
      </c>
    </row>
    <row r="240" spans="1:25" ht="60.75" x14ac:dyDescent="0.25">
      <c r="A240" s="3" t="s">
        <v>26</v>
      </c>
      <c r="B240" s="3" t="s">
        <v>27</v>
      </c>
      <c r="C240" s="3" t="s">
        <v>28</v>
      </c>
      <c r="D240" s="3" t="s">
        <v>61</v>
      </c>
      <c r="E240" s="3" t="s">
        <v>230</v>
      </c>
      <c r="F240" s="3" t="s">
        <v>63</v>
      </c>
      <c r="G240" s="3" t="s">
        <v>230</v>
      </c>
      <c r="H240" s="3" t="s">
        <v>78</v>
      </c>
      <c r="I240" s="3">
        <v>2025</v>
      </c>
      <c r="J240" s="3" t="str">
        <f>CONCATENATE("54820083662")</f>
        <v>54820083662</v>
      </c>
      <c r="K240" s="3" t="s">
        <v>33</v>
      </c>
      <c r="L240" s="3"/>
      <c r="M240" s="3" t="s">
        <v>128</v>
      </c>
      <c r="N240" s="3" t="str">
        <f>CONCATENATE("GLLLGU94M29B352E")</f>
        <v>GLLLGU94M29B352E</v>
      </c>
      <c r="O240" s="3" t="s">
        <v>328</v>
      </c>
      <c r="P240" s="3" t="s">
        <v>36</v>
      </c>
      <c r="Q240" s="3" t="s">
        <v>225</v>
      </c>
      <c r="R240" s="4">
        <v>46080</v>
      </c>
      <c r="S240" s="3" t="s">
        <v>38</v>
      </c>
      <c r="T240" s="3" t="s">
        <v>39</v>
      </c>
      <c r="U240" s="3" t="s">
        <v>40</v>
      </c>
      <c r="V240" s="3">
        <v>314.79000000000002</v>
      </c>
      <c r="W240" s="3">
        <v>133.79</v>
      </c>
      <c r="X240" s="3">
        <v>126.7</v>
      </c>
      <c r="Y240" s="3">
        <v>54.3</v>
      </c>
    </row>
    <row r="241" spans="1:25" ht="60.75" x14ac:dyDescent="0.25">
      <c r="A241" s="3" t="s">
        <v>26</v>
      </c>
      <c r="B241" s="3" t="s">
        <v>27</v>
      </c>
      <c r="C241" s="3" t="s">
        <v>28</v>
      </c>
      <c r="D241" s="3" t="s">
        <v>44</v>
      </c>
      <c r="E241" s="3" t="s">
        <v>253</v>
      </c>
      <c r="F241" s="3" t="s">
        <v>46</v>
      </c>
      <c r="G241" s="3" t="s">
        <v>253</v>
      </c>
      <c r="H241" s="3" t="s">
        <v>78</v>
      </c>
      <c r="I241" s="3">
        <v>2025</v>
      </c>
      <c r="J241" s="3" t="str">
        <f>CONCATENATE("54820140652")</f>
        <v>54820140652</v>
      </c>
      <c r="K241" s="3" t="s">
        <v>33</v>
      </c>
      <c r="L241" s="3"/>
      <c r="M241" s="3" t="s">
        <v>128</v>
      </c>
      <c r="N241" s="3" t="str">
        <f>CONCATENATE("GRSMNL61D65F205W")</f>
        <v>GRSMNL61D65F205W</v>
      </c>
      <c r="O241" s="3" t="s">
        <v>329</v>
      </c>
      <c r="P241" s="3" t="s">
        <v>36</v>
      </c>
      <c r="Q241" s="3" t="s">
        <v>225</v>
      </c>
      <c r="R241" s="4">
        <v>46080</v>
      </c>
      <c r="S241" s="3" t="s">
        <v>38</v>
      </c>
      <c r="T241" s="3" t="s">
        <v>39</v>
      </c>
      <c r="U241" s="3" t="s">
        <v>40</v>
      </c>
      <c r="V241" s="5">
        <v>5103.97</v>
      </c>
      <c r="W241" s="5">
        <v>2169.19</v>
      </c>
      <c r="X241" s="5">
        <v>2054.35</v>
      </c>
      <c r="Y241" s="3">
        <v>880.43</v>
      </c>
    </row>
    <row r="242" spans="1:25" ht="60.75" x14ac:dyDescent="0.25">
      <c r="A242" s="3" t="s">
        <v>26</v>
      </c>
      <c r="B242" s="3" t="s">
        <v>27</v>
      </c>
      <c r="C242" s="3" t="s">
        <v>28</v>
      </c>
      <c r="D242" s="3" t="s">
        <v>44</v>
      </c>
      <c r="E242" s="3" t="s">
        <v>253</v>
      </c>
      <c r="F242" s="3" t="s">
        <v>46</v>
      </c>
      <c r="G242" s="3" t="s">
        <v>253</v>
      </c>
      <c r="H242" s="3" t="s">
        <v>78</v>
      </c>
      <c r="I242" s="3">
        <v>2025</v>
      </c>
      <c r="J242" s="3" t="str">
        <f>CONCATENATE("54820103775")</f>
        <v>54820103775</v>
      </c>
      <c r="K242" s="3" t="s">
        <v>33</v>
      </c>
      <c r="L242" s="3"/>
      <c r="M242" s="3" t="s">
        <v>128</v>
      </c>
      <c r="N242" s="3" t="str">
        <f>CONCATENATE("GSTDRN50H26A740K")</f>
        <v>GSTDRN50H26A740K</v>
      </c>
      <c r="O242" s="3" t="s">
        <v>330</v>
      </c>
      <c r="P242" s="3" t="s">
        <v>36</v>
      </c>
      <c r="Q242" s="3" t="s">
        <v>225</v>
      </c>
      <c r="R242" s="4">
        <v>46080</v>
      </c>
      <c r="S242" s="3" t="s">
        <v>38</v>
      </c>
      <c r="T242" s="3" t="s">
        <v>39</v>
      </c>
      <c r="U242" s="3" t="s">
        <v>40</v>
      </c>
      <c r="V242" s="3">
        <v>731.78</v>
      </c>
      <c r="W242" s="3">
        <v>311.01</v>
      </c>
      <c r="X242" s="3">
        <v>294.54000000000002</v>
      </c>
      <c r="Y242" s="3">
        <v>126.23</v>
      </c>
    </row>
    <row r="243" spans="1:25" ht="60.75" x14ac:dyDescent="0.25">
      <c r="A243" s="3" t="s">
        <v>26</v>
      </c>
      <c r="B243" s="3" t="s">
        <v>27</v>
      </c>
      <c r="C243" s="3" t="s">
        <v>28</v>
      </c>
      <c r="D243" s="3" t="s">
        <v>61</v>
      </c>
      <c r="E243" s="3" t="s">
        <v>230</v>
      </c>
      <c r="F243" s="3" t="s">
        <v>63</v>
      </c>
      <c r="G243" s="3" t="s">
        <v>230</v>
      </c>
      <c r="H243" s="3" t="s">
        <v>78</v>
      </c>
      <c r="I243" s="3">
        <v>2025</v>
      </c>
      <c r="J243" s="3" t="str">
        <f>CONCATENATE("54820152830")</f>
        <v>54820152830</v>
      </c>
      <c r="K243" s="3" t="s">
        <v>33</v>
      </c>
      <c r="L243" s="3"/>
      <c r="M243" s="3" t="s">
        <v>128</v>
      </c>
      <c r="N243" s="3" t="str">
        <f>CONCATENATE("LRIGCM94A17B474D")</f>
        <v>LRIGCM94A17B474D</v>
      </c>
      <c r="O243" s="3" t="s">
        <v>331</v>
      </c>
      <c r="P243" s="3" t="s">
        <v>36</v>
      </c>
      <c r="Q243" s="3" t="s">
        <v>225</v>
      </c>
      <c r="R243" s="4">
        <v>46080</v>
      </c>
      <c r="S243" s="3" t="s">
        <v>38</v>
      </c>
      <c r="T243" s="3" t="s">
        <v>39</v>
      </c>
      <c r="U243" s="3" t="s">
        <v>40</v>
      </c>
      <c r="V243" s="3">
        <v>645.1</v>
      </c>
      <c r="W243" s="3">
        <v>274.17</v>
      </c>
      <c r="X243" s="3">
        <v>259.64999999999998</v>
      </c>
      <c r="Y243" s="3">
        <v>111.28</v>
      </c>
    </row>
    <row r="244" spans="1:25" ht="36.75" x14ac:dyDescent="0.25">
      <c r="A244" s="3" t="s">
        <v>26</v>
      </c>
      <c r="B244" s="3" t="s">
        <v>27</v>
      </c>
      <c r="C244" s="3" t="s">
        <v>28</v>
      </c>
      <c r="D244" s="3" t="s">
        <v>61</v>
      </c>
      <c r="E244" s="3" t="s">
        <v>230</v>
      </c>
      <c r="F244" s="3" t="s">
        <v>63</v>
      </c>
      <c r="G244" s="3" t="s">
        <v>230</v>
      </c>
      <c r="H244" s="3" t="s">
        <v>78</v>
      </c>
      <c r="I244" s="3">
        <v>2025</v>
      </c>
      <c r="J244" s="3" t="str">
        <f>CONCATENATE("54820115894")</f>
        <v>54820115894</v>
      </c>
      <c r="K244" s="3" t="s">
        <v>33</v>
      </c>
      <c r="L244" s="3"/>
      <c r="M244" s="3" t="s">
        <v>128</v>
      </c>
      <c r="N244" s="3" t="str">
        <f>CONCATENATE("02770440416")</f>
        <v>02770440416</v>
      </c>
      <c r="O244" s="3" t="s">
        <v>332</v>
      </c>
      <c r="P244" s="3" t="s">
        <v>36</v>
      </c>
      <c r="Q244" s="3" t="s">
        <v>225</v>
      </c>
      <c r="R244" s="4">
        <v>46080</v>
      </c>
      <c r="S244" s="3" t="s">
        <v>38</v>
      </c>
      <c r="T244" s="3" t="s">
        <v>39</v>
      </c>
      <c r="U244" s="3" t="s">
        <v>40</v>
      </c>
      <c r="V244" s="3">
        <v>453.15</v>
      </c>
      <c r="W244" s="3">
        <v>192.59</v>
      </c>
      <c r="X244" s="3">
        <v>182.39</v>
      </c>
      <c r="Y244" s="3">
        <v>78.17</v>
      </c>
    </row>
    <row r="245" spans="1:25" ht="60.75" x14ac:dyDescent="0.25">
      <c r="A245" s="3" t="s">
        <v>26</v>
      </c>
      <c r="B245" s="3" t="s">
        <v>27</v>
      </c>
      <c r="C245" s="3" t="s">
        <v>28</v>
      </c>
      <c r="D245" s="3" t="s">
        <v>44</v>
      </c>
      <c r="E245" s="3" t="s">
        <v>54</v>
      </c>
      <c r="F245" s="3" t="s">
        <v>46</v>
      </c>
      <c r="G245" s="3" t="s">
        <v>54</v>
      </c>
      <c r="H245" s="3" t="s">
        <v>55</v>
      </c>
      <c r="I245" s="3">
        <v>2025</v>
      </c>
      <c r="J245" s="3" t="str">
        <f>CONCATENATE("54820185582")</f>
        <v>54820185582</v>
      </c>
      <c r="K245" s="3" t="s">
        <v>33</v>
      </c>
      <c r="L245" s="3"/>
      <c r="M245" s="3" t="s">
        <v>128</v>
      </c>
      <c r="N245" s="3" t="str">
        <f>CONCATENATE("PMPDTL66P50A462S")</f>
        <v>PMPDTL66P50A462S</v>
      </c>
      <c r="O245" s="3" t="s">
        <v>333</v>
      </c>
      <c r="P245" s="3" t="s">
        <v>36</v>
      </c>
      <c r="Q245" s="3" t="s">
        <v>225</v>
      </c>
      <c r="R245" s="4">
        <v>46080</v>
      </c>
      <c r="S245" s="3" t="s">
        <v>38</v>
      </c>
      <c r="T245" s="3" t="s">
        <v>39</v>
      </c>
      <c r="U245" s="3" t="s">
        <v>40</v>
      </c>
      <c r="V245" s="5">
        <v>1627.05</v>
      </c>
      <c r="W245" s="3">
        <v>691.5</v>
      </c>
      <c r="X245" s="3">
        <v>654.89</v>
      </c>
      <c r="Y245" s="3">
        <v>280.66000000000003</v>
      </c>
    </row>
    <row r="246" spans="1:25" ht="60.75" x14ac:dyDescent="0.25">
      <c r="A246" s="3" t="s">
        <v>26</v>
      </c>
      <c r="B246" s="3" t="s">
        <v>27</v>
      </c>
      <c r="C246" s="3" t="s">
        <v>28</v>
      </c>
      <c r="D246" s="3" t="s">
        <v>29</v>
      </c>
      <c r="E246" s="3" t="s">
        <v>249</v>
      </c>
      <c r="F246" s="3" t="s">
        <v>31</v>
      </c>
      <c r="G246" s="3" t="s">
        <v>249</v>
      </c>
      <c r="H246" s="3" t="s">
        <v>32</v>
      </c>
      <c r="I246" s="3">
        <v>2025</v>
      </c>
      <c r="J246" s="3" t="str">
        <f>CONCATENATE("54820014584")</f>
        <v>54820014584</v>
      </c>
      <c r="K246" s="3" t="s">
        <v>33</v>
      </c>
      <c r="L246" s="3"/>
      <c r="M246" s="3" t="s">
        <v>128</v>
      </c>
      <c r="N246" s="3" t="str">
        <f>CONCATENATE("LTTRNI32D66E783Z")</f>
        <v>LTTRNI32D66E783Z</v>
      </c>
      <c r="O246" s="3" t="s">
        <v>334</v>
      </c>
      <c r="P246" s="3" t="s">
        <v>36</v>
      </c>
      <c r="Q246" s="3" t="s">
        <v>225</v>
      </c>
      <c r="R246" s="4">
        <v>46080</v>
      </c>
      <c r="S246" s="3" t="s">
        <v>38</v>
      </c>
      <c r="T246" s="3" t="s">
        <v>39</v>
      </c>
      <c r="U246" s="3" t="s">
        <v>40</v>
      </c>
      <c r="V246" s="3">
        <v>623.62</v>
      </c>
      <c r="W246" s="3">
        <v>265.04000000000002</v>
      </c>
      <c r="X246" s="3">
        <v>251.01</v>
      </c>
      <c r="Y246" s="3">
        <v>107.57</v>
      </c>
    </row>
    <row r="247" spans="1:25" ht="60.75" x14ac:dyDescent="0.25">
      <c r="A247" s="3" t="s">
        <v>26</v>
      </c>
      <c r="B247" s="3" t="s">
        <v>27</v>
      </c>
      <c r="C247" s="3" t="s">
        <v>28</v>
      </c>
      <c r="D247" s="3" t="s">
        <v>44</v>
      </c>
      <c r="E247" s="3" t="s">
        <v>253</v>
      </c>
      <c r="F247" s="3" t="s">
        <v>46</v>
      </c>
      <c r="G247" s="3" t="s">
        <v>253</v>
      </c>
      <c r="H247" s="3" t="s">
        <v>78</v>
      </c>
      <c r="I247" s="3">
        <v>2025</v>
      </c>
      <c r="J247" s="3" t="str">
        <f>CONCATENATE("54820024500")</f>
        <v>54820024500</v>
      </c>
      <c r="K247" s="3" t="s">
        <v>33</v>
      </c>
      <c r="L247" s="3"/>
      <c r="M247" s="3" t="s">
        <v>128</v>
      </c>
      <c r="N247" s="3" t="str">
        <f>CONCATENATE("LZZRNT46S07B816G")</f>
        <v>LZZRNT46S07B816G</v>
      </c>
      <c r="O247" s="3" t="s">
        <v>335</v>
      </c>
      <c r="P247" s="3" t="s">
        <v>36</v>
      </c>
      <c r="Q247" s="3" t="s">
        <v>225</v>
      </c>
      <c r="R247" s="4">
        <v>46080</v>
      </c>
      <c r="S247" s="3" t="s">
        <v>38</v>
      </c>
      <c r="T247" s="3" t="s">
        <v>39</v>
      </c>
      <c r="U247" s="3" t="s">
        <v>40</v>
      </c>
      <c r="V247" s="3">
        <v>674.01</v>
      </c>
      <c r="W247" s="3">
        <v>286.45</v>
      </c>
      <c r="X247" s="3">
        <v>271.29000000000002</v>
      </c>
      <c r="Y247" s="3">
        <v>116.27</v>
      </c>
    </row>
    <row r="248" spans="1:25" ht="60.75" x14ac:dyDescent="0.25">
      <c r="A248" s="3" t="s">
        <v>26</v>
      </c>
      <c r="B248" s="3" t="s">
        <v>27</v>
      </c>
      <c r="C248" s="3" t="s">
        <v>28</v>
      </c>
      <c r="D248" s="3" t="s">
        <v>61</v>
      </c>
      <c r="E248" s="3" t="s">
        <v>65</v>
      </c>
      <c r="F248" s="3" t="s">
        <v>63</v>
      </c>
      <c r="G248" s="3" t="s">
        <v>65</v>
      </c>
      <c r="H248" s="3" t="s">
        <v>47</v>
      </c>
      <c r="I248" s="3">
        <v>2025</v>
      </c>
      <c r="J248" s="3" t="str">
        <f>CONCATENATE("54820193404")</f>
        <v>54820193404</v>
      </c>
      <c r="K248" s="3" t="s">
        <v>33</v>
      </c>
      <c r="L248" s="3"/>
      <c r="M248" s="3" t="s">
        <v>128</v>
      </c>
      <c r="N248" s="3" t="str">
        <f>CONCATENATE("LCCRNT71B06I653F")</f>
        <v>LCCRNT71B06I653F</v>
      </c>
      <c r="O248" s="3" t="s">
        <v>336</v>
      </c>
      <c r="P248" s="3" t="s">
        <v>36</v>
      </c>
      <c r="Q248" s="3" t="s">
        <v>225</v>
      </c>
      <c r="R248" s="4">
        <v>46080</v>
      </c>
      <c r="S248" s="3" t="s">
        <v>38</v>
      </c>
      <c r="T248" s="3" t="s">
        <v>39</v>
      </c>
      <c r="U248" s="3" t="s">
        <v>40</v>
      </c>
      <c r="V248" s="5">
        <v>1704.31</v>
      </c>
      <c r="W248" s="3">
        <v>724.33</v>
      </c>
      <c r="X248" s="3">
        <v>685.98</v>
      </c>
      <c r="Y248" s="3">
        <v>294</v>
      </c>
    </row>
    <row r="249" spans="1:25" ht="72.75" x14ac:dyDescent="0.25">
      <c r="A249" s="3" t="s">
        <v>26</v>
      </c>
      <c r="B249" s="3" t="s">
        <v>27</v>
      </c>
      <c r="C249" s="3" t="s">
        <v>28</v>
      </c>
      <c r="D249" s="3" t="s">
        <v>61</v>
      </c>
      <c r="E249" s="3" t="s">
        <v>230</v>
      </c>
      <c r="F249" s="3" t="s">
        <v>63</v>
      </c>
      <c r="G249" s="3" t="s">
        <v>230</v>
      </c>
      <c r="H249" s="3" t="s">
        <v>78</v>
      </c>
      <c r="I249" s="3">
        <v>2025</v>
      </c>
      <c r="J249" s="3" t="str">
        <f>CONCATENATE("54820101969")</f>
        <v>54820101969</v>
      </c>
      <c r="K249" s="3" t="s">
        <v>33</v>
      </c>
      <c r="L249" s="3"/>
      <c r="M249" s="3" t="s">
        <v>128</v>
      </c>
      <c r="N249" s="3" t="str">
        <f>CONCATENATE("MGADVD72D03B352O")</f>
        <v>MGADVD72D03B352O</v>
      </c>
      <c r="O249" s="3" t="s">
        <v>337</v>
      </c>
      <c r="P249" s="3" t="s">
        <v>36</v>
      </c>
      <c r="Q249" s="3" t="s">
        <v>225</v>
      </c>
      <c r="R249" s="4">
        <v>46080</v>
      </c>
      <c r="S249" s="3" t="s">
        <v>38</v>
      </c>
      <c r="T249" s="3" t="s">
        <v>39</v>
      </c>
      <c r="U249" s="3" t="s">
        <v>40</v>
      </c>
      <c r="V249" s="3">
        <v>135.51</v>
      </c>
      <c r="W249" s="3">
        <v>57.59</v>
      </c>
      <c r="X249" s="3">
        <v>54.54</v>
      </c>
      <c r="Y249" s="3">
        <v>23.38</v>
      </c>
    </row>
    <row r="250" spans="1:25" ht="60.75" x14ac:dyDescent="0.25">
      <c r="A250" s="3" t="s">
        <v>26</v>
      </c>
      <c r="B250" s="3" t="s">
        <v>27</v>
      </c>
      <c r="C250" s="3" t="s">
        <v>28</v>
      </c>
      <c r="D250" s="3" t="s">
        <v>44</v>
      </c>
      <c r="E250" s="3" t="s">
        <v>253</v>
      </c>
      <c r="F250" s="3" t="s">
        <v>46</v>
      </c>
      <c r="G250" s="3" t="s">
        <v>253</v>
      </c>
      <c r="H250" s="3" t="s">
        <v>78</v>
      </c>
      <c r="I250" s="3">
        <v>2025</v>
      </c>
      <c r="J250" s="3" t="str">
        <f>CONCATENATE("54820038716")</f>
        <v>54820038716</v>
      </c>
      <c r="K250" s="3" t="s">
        <v>33</v>
      </c>
      <c r="L250" s="3"/>
      <c r="M250" s="3" t="s">
        <v>128</v>
      </c>
      <c r="N250" s="3" t="str">
        <f>CONCATENATE("MGNLCN54S09I459K")</f>
        <v>MGNLCN54S09I459K</v>
      </c>
      <c r="O250" s="3" t="s">
        <v>338</v>
      </c>
      <c r="P250" s="3" t="s">
        <v>36</v>
      </c>
      <c r="Q250" s="3" t="s">
        <v>225</v>
      </c>
      <c r="R250" s="4">
        <v>46080</v>
      </c>
      <c r="S250" s="3" t="s">
        <v>38</v>
      </c>
      <c r="T250" s="3" t="s">
        <v>39</v>
      </c>
      <c r="U250" s="3" t="s">
        <v>40</v>
      </c>
      <c r="V250" s="5">
        <v>2082.75</v>
      </c>
      <c r="W250" s="3">
        <v>885.17</v>
      </c>
      <c r="X250" s="3">
        <v>838.31</v>
      </c>
      <c r="Y250" s="3">
        <v>359.27</v>
      </c>
    </row>
    <row r="251" spans="1:25" ht="60.75" x14ac:dyDescent="0.25">
      <c r="A251" s="3" t="s">
        <v>26</v>
      </c>
      <c r="B251" s="3" t="s">
        <v>27</v>
      </c>
      <c r="C251" s="3" t="s">
        <v>28</v>
      </c>
      <c r="D251" s="3" t="s">
        <v>61</v>
      </c>
      <c r="E251" s="3" t="s">
        <v>230</v>
      </c>
      <c r="F251" s="3" t="s">
        <v>63</v>
      </c>
      <c r="G251" s="3" t="s">
        <v>230</v>
      </c>
      <c r="H251" s="3" t="s">
        <v>78</v>
      </c>
      <c r="I251" s="3">
        <v>2025</v>
      </c>
      <c r="J251" s="3" t="str">
        <f>CONCATENATE("54820118237")</f>
        <v>54820118237</v>
      </c>
      <c r="K251" s="3" t="s">
        <v>33</v>
      </c>
      <c r="L251" s="3"/>
      <c r="M251" s="3" t="s">
        <v>128</v>
      </c>
      <c r="N251" s="3" t="str">
        <f>CONCATENATE("MRNLNZ95C03I608J")</f>
        <v>MRNLNZ95C03I608J</v>
      </c>
      <c r="O251" s="3" t="s">
        <v>339</v>
      </c>
      <c r="P251" s="3" t="s">
        <v>36</v>
      </c>
      <c r="Q251" s="3" t="s">
        <v>225</v>
      </c>
      <c r="R251" s="4">
        <v>46080</v>
      </c>
      <c r="S251" s="3" t="s">
        <v>38</v>
      </c>
      <c r="T251" s="3" t="s">
        <v>39</v>
      </c>
      <c r="U251" s="3" t="s">
        <v>40</v>
      </c>
      <c r="V251" s="3">
        <v>211.27</v>
      </c>
      <c r="W251" s="3">
        <v>89.79</v>
      </c>
      <c r="X251" s="3">
        <v>85.04</v>
      </c>
      <c r="Y251" s="3">
        <v>36.44</v>
      </c>
    </row>
    <row r="252" spans="1:25" ht="60.75" x14ac:dyDescent="0.25">
      <c r="A252" s="3" t="s">
        <v>26</v>
      </c>
      <c r="B252" s="3" t="s">
        <v>27</v>
      </c>
      <c r="C252" s="3" t="s">
        <v>28</v>
      </c>
      <c r="D252" s="3" t="s">
        <v>61</v>
      </c>
      <c r="E252" s="3" t="s">
        <v>177</v>
      </c>
      <c r="F252" s="3" t="s">
        <v>63</v>
      </c>
      <c r="G252" s="3" t="s">
        <v>177</v>
      </c>
      <c r="H252" s="3" t="s">
        <v>78</v>
      </c>
      <c r="I252" s="3">
        <v>2025</v>
      </c>
      <c r="J252" s="3" t="str">
        <f>CONCATENATE("54820283114")</f>
        <v>54820283114</v>
      </c>
      <c r="K252" s="3" t="s">
        <v>33</v>
      </c>
      <c r="L252" s="3"/>
      <c r="M252" s="3" t="s">
        <v>128</v>
      </c>
      <c r="N252" s="3" t="str">
        <f>CONCATENATE("MNCFNN49A27F135D")</f>
        <v>MNCFNN49A27F135D</v>
      </c>
      <c r="O252" s="3" t="s">
        <v>340</v>
      </c>
      <c r="P252" s="3" t="s">
        <v>36</v>
      </c>
      <c r="Q252" s="3" t="s">
        <v>225</v>
      </c>
      <c r="R252" s="4">
        <v>46080</v>
      </c>
      <c r="S252" s="3" t="s">
        <v>38</v>
      </c>
      <c r="T252" s="3" t="s">
        <v>39</v>
      </c>
      <c r="U252" s="3" t="s">
        <v>40</v>
      </c>
      <c r="V252" s="5">
        <v>1370.53</v>
      </c>
      <c r="W252" s="3">
        <v>582.48</v>
      </c>
      <c r="X252" s="3">
        <v>551.64</v>
      </c>
      <c r="Y252" s="3">
        <v>236.41</v>
      </c>
    </row>
    <row r="253" spans="1:25" ht="60.75" x14ac:dyDescent="0.25">
      <c r="A253" s="3" t="s">
        <v>26</v>
      </c>
      <c r="B253" s="3" t="s">
        <v>27</v>
      </c>
      <c r="C253" s="3" t="s">
        <v>28</v>
      </c>
      <c r="D253" s="3" t="s">
        <v>29</v>
      </c>
      <c r="E253" s="3" t="s">
        <v>341</v>
      </c>
      <c r="F253" s="3" t="s">
        <v>31</v>
      </c>
      <c r="G253" s="3" t="s">
        <v>341</v>
      </c>
      <c r="H253" s="3" t="s">
        <v>32</v>
      </c>
      <c r="I253" s="3">
        <v>2025</v>
      </c>
      <c r="J253" s="3" t="str">
        <f>CONCATENATE("54820077532")</f>
        <v>54820077532</v>
      </c>
      <c r="K253" s="3" t="s">
        <v>33</v>
      </c>
      <c r="L253" s="3"/>
      <c r="M253" s="3" t="s">
        <v>128</v>
      </c>
      <c r="N253" s="3" t="str">
        <f>CONCATENATE("MRCFBA70E23I436L")</f>
        <v>MRCFBA70E23I436L</v>
      </c>
      <c r="O253" s="3" t="s">
        <v>342</v>
      </c>
      <c r="P253" s="3" t="s">
        <v>36</v>
      </c>
      <c r="Q253" s="3" t="s">
        <v>225</v>
      </c>
      <c r="R253" s="4">
        <v>46080</v>
      </c>
      <c r="S253" s="3" t="s">
        <v>38</v>
      </c>
      <c r="T253" s="3" t="s">
        <v>39</v>
      </c>
      <c r="U253" s="3" t="s">
        <v>40</v>
      </c>
      <c r="V253" s="3">
        <v>597.36</v>
      </c>
      <c r="W253" s="3">
        <v>253.88</v>
      </c>
      <c r="X253" s="3">
        <v>240.44</v>
      </c>
      <c r="Y253" s="3">
        <v>103.04</v>
      </c>
    </row>
    <row r="254" spans="1:25" ht="72.75" x14ac:dyDescent="0.25">
      <c r="A254" s="3" t="s">
        <v>26</v>
      </c>
      <c r="B254" s="3" t="s">
        <v>27</v>
      </c>
      <c r="C254" s="3" t="s">
        <v>28</v>
      </c>
      <c r="D254" s="3" t="s">
        <v>29</v>
      </c>
      <c r="E254" s="3" t="s">
        <v>232</v>
      </c>
      <c r="F254" s="3" t="s">
        <v>31</v>
      </c>
      <c r="G254" s="3" t="s">
        <v>232</v>
      </c>
      <c r="H254" s="3" t="s">
        <v>32</v>
      </c>
      <c r="I254" s="3">
        <v>2025</v>
      </c>
      <c r="J254" s="3" t="str">
        <f>CONCATENATE("54820095310")</f>
        <v>54820095310</v>
      </c>
      <c r="K254" s="3" t="s">
        <v>33</v>
      </c>
      <c r="L254" s="3"/>
      <c r="M254" s="3" t="s">
        <v>128</v>
      </c>
      <c r="N254" s="3" t="str">
        <f>CONCATENATE("NTLRRT80A14B474N")</f>
        <v>NTLRRT80A14B474N</v>
      </c>
      <c r="O254" s="3" t="s">
        <v>343</v>
      </c>
      <c r="P254" s="3" t="s">
        <v>36</v>
      </c>
      <c r="Q254" s="3" t="s">
        <v>225</v>
      </c>
      <c r="R254" s="4">
        <v>46080</v>
      </c>
      <c r="S254" s="3" t="s">
        <v>38</v>
      </c>
      <c r="T254" s="3" t="s">
        <v>39</v>
      </c>
      <c r="U254" s="3" t="s">
        <v>40</v>
      </c>
      <c r="V254" s="5">
        <v>2658.15</v>
      </c>
      <c r="W254" s="5">
        <v>1129.71</v>
      </c>
      <c r="X254" s="5">
        <v>1069.9100000000001</v>
      </c>
      <c r="Y254" s="3">
        <v>458.53</v>
      </c>
    </row>
    <row r="255" spans="1:25" ht="60.75" x14ac:dyDescent="0.25">
      <c r="A255" s="3" t="s">
        <v>26</v>
      </c>
      <c r="B255" s="3" t="s">
        <v>27</v>
      </c>
      <c r="C255" s="3" t="s">
        <v>28</v>
      </c>
      <c r="D255" s="3" t="s">
        <v>61</v>
      </c>
      <c r="E255" s="3" t="s">
        <v>127</v>
      </c>
      <c r="F255" s="3" t="s">
        <v>63</v>
      </c>
      <c r="G255" s="3" t="s">
        <v>127</v>
      </c>
      <c r="H255" s="3" t="s">
        <v>78</v>
      </c>
      <c r="I255" s="3">
        <v>2025</v>
      </c>
      <c r="J255" s="3" t="str">
        <f>CONCATENATE("54820131388")</f>
        <v>54820131388</v>
      </c>
      <c r="K255" s="3" t="s">
        <v>33</v>
      </c>
      <c r="L255" s="3"/>
      <c r="M255" s="3" t="s">
        <v>128</v>
      </c>
      <c r="N255" s="3" t="str">
        <f>CONCATENATE("PGNMRT68E13L500D")</f>
        <v>PGNMRT68E13L500D</v>
      </c>
      <c r="O255" s="3" t="s">
        <v>344</v>
      </c>
      <c r="P255" s="3" t="s">
        <v>36</v>
      </c>
      <c r="Q255" s="3" t="s">
        <v>225</v>
      </c>
      <c r="R255" s="4">
        <v>46080</v>
      </c>
      <c r="S255" s="3" t="s">
        <v>38</v>
      </c>
      <c r="T255" s="3" t="s">
        <v>39</v>
      </c>
      <c r="U255" s="3" t="s">
        <v>40</v>
      </c>
      <c r="V255" s="3">
        <v>130.63999999999999</v>
      </c>
      <c r="W255" s="3">
        <v>55.52</v>
      </c>
      <c r="X255" s="3">
        <v>52.58</v>
      </c>
      <c r="Y255" s="3">
        <v>22.54</v>
      </c>
    </row>
    <row r="256" spans="1:25" ht="60.75" x14ac:dyDescent="0.25">
      <c r="A256" s="3" t="s">
        <v>26</v>
      </c>
      <c r="B256" s="3" t="s">
        <v>27</v>
      </c>
      <c r="C256" s="3" t="s">
        <v>28</v>
      </c>
      <c r="D256" s="3" t="s">
        <v>29</v>
      </c>
      <c r="E256" s="3" t="s">
        <v>94</v>
      </c>
      <c r="F256" s="3" t="s">
        <v>31</v>
      </c>
      <c r="G256" s="3" t="s">
        <v>94</v>
      </c>
      <c r="H256" s="3" t="s">
        <v>78</v>
      </c>
      <c r="I256" s="3">
        <v>2025</v>
      </c>
      <c r="J256" s="3" t="str">
        <f>CONCATENATE("54820068085")</f>
        <v>54820068085</v>
      </c>
      <c r="K256" s="3" t="s">
        <v>33</v>
      </c>
      <c r="L256" s="3"/>
      <c r="M256" s="3" t="s">
        <v>128</v>
      </c>
      <c r="N256" s="3" t="str">
        <f>CONCATENATE("PLAGRG87C17I459X")</f>
        <v>PLAGRG87C17I459X</v>
      </c>
      <c r="O256" s="3" t="s">
        <v>345</v>
      </c>
      <c r="P256" s="3" t="s">
        <v>36</v>
      </c>
      <c r="Q256" s="3" t="s">
        <v>225</v>
      </c>
      <c r="R256" s="4">
        <v>46080</v>
      </c>
      <c r="S256" s="3" t="s">
        <v>38</v>
      </c>
      <c r="T256" s="3" t="s">
        <v>39</v>
      </c>
      <c r="U256" s="3" t="s">
        <v>40</v>
      </c>
      <c r="V256" s="5">
        <v>3466.12</v>
      </c>
      <c r="W256" s="5">
        <v>1473.1</v>
      </c>
      <c r="X256" s="5">
        <v>1395.11</v>
      </c>
      <c r="Y256" s="3">
        <v>597.91</v>
      </c>
    </row>
    <row r="257" spans="1:25" ht="60.75" x14ac:dyDescent="0.25">
      <c r="A257" s="3" t="s">
        <v>26</v>
      </c>
      <c r="B257" s="3" t="s">
        <v>27</v>
      </c>
      <c r="C257" s="3" t="s">
        <v>28</v>
      </c>
      <c r="D257" s="3" t="s">
        <v>29</v>
      </c>
      <c r="E257" s="3" t="s">
        <v>249</v>
      </c>
      <c r="F257" s="3" t="s">
        <v>31</v>
      </c>
      <c r="G257" s="3" t="s">
        <v>249</v>
      </c>
      <c r="H257" s="3" t="s">
        <v>32</v>
      </c>
      <c r="I257" s="3">
        <v>2025</v>
      </c>
      <c r="J257" s="3" t="str">
        <f>CONCATENATE("54820016738")</f>
        <v>54820016738</v>
      </c>
      <c r="K257" s="3" t="s">
        <v>33</v>
      </c>
      <c r="L257" s="3"/>
      <c r="M257" s="3" t="s">
        <v>128</v>
      </c>
      <c r="N257" s="3" t="str">
        <f>CONCATENATE("PZZGPR56L15G637Z")</f>
        <v>PZZGPR56L15G637Z</v>
      </c>
      <c r="O257" s="3" t="s">
        <v>346</v>
      </c>
      <c r="P257" s="3" t="s">
        <v>36</v>
      </c>
      <c r="Q257" s="3" t="s">
        <v>225</v>
      </c>
      <c r="R257" s="4">
        <v>46080</v>
      </c>
      <c r="S257" s="3" t="s">
        <v>38</v>
      </c>
      <c r="T257" s="3" t="s">
        <v>39</v>
      </c>
      <c r="U257" s="3" t="s">
        <v>40</v>
      </c>
      <c r="V257" s="3">
        <v>794.88</v>
      </c>
      <c r="W257" s="3">
        <v>337.82</v>
      </c>
      <c r="X257" s="3">
        <v>319.94</v>
      </c>
      <c r="Y257" s="3">
        <v>137.12</v>
      </c>
    </row>
    <row r="258" spans="1:25" ht="60.75" x14ac:dyDescent="0.25">
      <c r="A258" s="3" t="s">
        <v>26</v>
      </c>
      <c r="B258" s="3" t="s">
        <v>27</v>
      </c>
      <c r="C258" s="3" t="s">
        <v>28</v>
      </c>
      <c r="D258" s="3" t="s">
        <v>29</v>
      </c>
      <c r="E258" s="3" t="s">
        <v>232</v>
      </c>
      <c r="F258" s="3" t="s">
        <v>31</v>
      </c>
      <c r="G258" s="3" t="s">
        <v>232</v>
      </c>
      <c r="H258" s="3" t="s">
        <v>32</v>
      </c>
      <c r="I258" s="3">
        <v>2025</v>
      </c>
      <c r="J258" s="3" t="str">
        <f>CONCATENATE("54820110127")</f>
        <v>54820110127</v>
      </c>
      <c r="K258" s="3" t="s">
        <v>33</v>
      </c>
      <c r="L258" s="3"/>
      <c r="M258" s="3" t="s">
        <v>128</v>
      </c>
      <c r="N258" s="3" t="str">
        <f>CONCATENATE("PRZRRT69T22B474C")</f>
        <v>PRZRRT69T22B474C</v>
      </c>
      <c r="O258" s="3" t="s">
        <v>347</v>
      </c>
      <c r="P258" s="3" t="s">
        <v>36</v>
      </c>
      <c r="Q258" s="3" t="s">
        <v>225</v>
      </c>
      <c r="R258" s="4">
        <v>46080</v>
      </c>
      <c r="S258" s="3" t="s">
        <v>38</v>
      </c>
      <c r="T258" s="3" t="s">
        <v>39</v>
      </c>
      <c r="U258" s="3" t="s">
        <v>40</v>
      </c>
      <c r="V258" s="5">
        <v>6295.23</v>
      </c>
      <c r="W258" s="5">
        <v>2675.47</v>
      </c>
      <c r="X258" s="5">
        <v>2533.83</v>
      </c>
      <c r="Y258" s="5">
        <v>1085.93</v>
      </c>
    </row>
    <row r="259" spans="1:25" ht="60.75" x14ac:dyDescent="0.25">
      <c r="A259" s="3" t="s">
        <v>26</v>
      </c>
      <c r="B259" s="3" t="s">
        <v>27</v>
      </c>
      <c r="C259" s="3" t="s">
        <v>28</v>
      </c>
      <c r="D259" s="3" t="s">
        <v>29</v>
      </c>
      <c r="E259" s="3" t="s">
        <v>232</v>
      </c>
      <c r="F259" s="3" t="s">
        <v>31</v>
      </c>
      <c r="G259" s="3" t="s">
        <v>232</v>
      </c>
      <c r="H259" s="3" t="s">
        <v>32</v>
      </c>
      <c r="I259" s="3">
        <v>2025</v>
      </c>
      <c r="J259" s="3" t="str">
        <f>CONCATENATE("54820065818")</f>
        <v>54820065818</v>
      </c>
      <c r="K259" s="3" t="s">
        <v>33</v>
      </c>
      <c r="L259" s="3"/>
      <c r="M259" s="3" t="s">
        <v>128</v>
      </c>
      <c r="N259" s="3" t="str">
        <f>CONCATENATE("PSCCRL59S10B474F")</f>
        <v>PSCCRL59S10B474F</v>
      </c>
      <c r="O259" s="3" t="s">
        <v>348</v>
      </c>
      <c r="P259" s="3" t="s">
        <v>36</v>
      </c>
      <c r="Q259" s="3" t="s">
        <v>225</v>
      </c>
      <c r="R259" s="4">
        <v>46080</v>
      </c>
      <c r="S259" s="3" t="s">
        <v>38</v>
      </c>
      <c r="T259" s="3" t="s">
        <v>39</v>
      </c>
      <c r="U259" s="3" t="s">
        <v>40</v>
      </c>
      <c r="V259" s="5">
        <v>11780.13</v>
      </c>
      <c r="W259" s="5">
        <v>5006.5600000000004</v>
      </c>
      <c r="X259" s="5">
        <v>4741.5</v>
      </c>
      <c r="Y259" s="5">
        <v>2032.07</v>
      </c>
    </row>
    <row r="260" spans="1:25" ht="36.75" x14ac:dyDescent="0.25">
      <c r="A260" s="3" t="s">
        <v>26</v>
      </c>
      <c r="B260" s="3" t="s">
        <v>27</v>
      </c>
      <c r="C260" s="3" t="s">
        <v>28</v>
      </c>
      <c r="D260" s="3" t="s">
        <v>29</v>
      </c>
      <c r="E260" s="3" t="s">
        <v>238</v>
      </c>
      <c r="F260" s="3" t="s">
        <v>31</v>
      </c>
      <c r="G260" s="3" t="s">
        <v>238</v>
      </c>
      <c r="H260" s="3" t="s">
        <v>78</v>
      </c>
      <c r="I260" s="3">
        <v>2024</v>
      </c>
      <c r="J260" s="3" t="str">
        <f>CONCATENATE("44810941763")</f>
        <v>44810941763</v>
      </c>
      <c r="K260" s="3" t="s">
        <v>33</v>
      </c>
      <c r="L260" s="3"/>
      <c r="M260" s="3" t="s">
        <v>122</v>
      </c>
      <c r="N260" s="3" t="str">
        <f>CONCATENATE("02683880419")</f>
        <v>02683880419</v>
      </c>
      <c r="O260" s="3" t="s">
        <v>349</v>
      </c>
      <c r="P260" s="3" t="s">
        <v>36</v>
      </c>
      <c r="Q260" s="3" t="s">
        <v>350</v>
      </c>
      <c r="R260" s="4">
        <v>46080</v>
      </c>
      <c r="S260" s="3" t="s">
        <v>38</v>
      </c>
      <c r="T260" s="3" t="s">
        <v>39</v>
      </c>
      <c r="U260" s="3" t="s">
        <v>40</v>
      </c>
      <c r="V260" s="5">
        <v>3159.12</v>
      </c>
      <c r="W260" s="5">
        <v>1342.63</v>
      </c>
      <c r="X260" s="5">
        <v>1271.55</v>
      </c>
      <c r="Y260" s="3">
        <v>544.94000000000005</v>
      </c>
    </row>
    <row r="261" spans="1:25" ht="36.75" x14ac:dyDescent="0.25">
      <c r="A261" s="3" t="s">
        <v>26</v>
      </c>
      <c r="B261" s="3" t="s">
        <v>27</v>
      </c>
      <c r="C261" s="3" t="s">
        <v>28</v>
      </c>
      <c r="D261" s="3" t="s">
        <v>29</v>
      </c>
      <c r="E261" s="3" t="s">
        <v>238</v>
      </c>
      <c r="F261" s="3" t="s">
        <v>31</v>
      </c>
      <c r="G261" s="3" t="s">
        <v>238</v>
      </c>
      <c r="H261" s="3" t="s">
        <v>78</v>
      </c>
      <c r="I261" s="3">
        <v>2024</v>
      </c>
      <c r="J261" s="3" t="str">
        <f>CONCATENATE("44810941755")</f>
        <v>44810941755</v>
      </c>
      <c r="K261" s="3" t="s">
        <v>33</v>
      </c>
      <c r="L261" s="3"/>
      <c r="M261" s="3" t="s">
        <v>222</v>
      </c>
      <c r="N261" s="3" t="str">
        <f>CONCATENATE("02683880419")</f>
        <v>02683880419</v>
      </c>
      <c r="O261" s="3" t="s">
        <v>349</v>
      </c>
      <c r="P261" s="3" t="s">
        <v>36</v>
      </c>
      <c r="Q261" s="3" t="s">
        <v>223</v>
      </c>
      <c r="R261" s="4">
        <v>46080</v>
      </c>
      <c r="S261" s="3" t="s">
        <v>38</v>
      </c>
      <c r="T261" s="3" t="s">
        <v>39</v>
      </c>
      <c r="U261" s="3" t="s">
        <v>40</v>
      </c>
      <c r="V261" s="5">
        <v>21499.200000000001</v>
      </c>
      <c r="W261" s="5">
        <v>9137.16</v>
      </c>
      <c r="X261" s="5">
        <v>8653.43</v>
      </c>
      <c r="Y261" s="5">
        <v>3708.61</v>
      </c>
    </row>
    <row r="262" spans="1:25" ht="36.75" x14ac:dyDescent="0.25">
      <c r="A262" s="3" t="s">
        <v>26</v>
      </c>
      <c r="B262" s="3" t="s">
        <v>27</v>
      </c>
      <c r="C262" s="3" t="s">
        <v>28</v>
      </c>
      <c r="D262" s="3" t="s">
        <v>29</v>
      </c>
      <c r="E262" s="3" t="s">
        <v>202</v>
      </c>
      <c r="F262" s="3" t="s">
        <v>31</v>
      </c>
      <c r="G262" s="3" t="s">
        <v>202</v>
      </c>
      <c r="H262" s="3" t="s">
        <v>32</v>
      </c>
      <c r="I262" s="3">
        <v>2024</v>
      </c>
      <c r="J262" s="3" t="str">
        <f>CONCATENATE("44810408813")</f>
        <v>44810408813</v>
      </c>
      <c r="K262" s="3" t="s">
        <v>33</v>
      </c>
      <c r="L262" s="3"/>
      <c r="M262" s="3" t="s">
        <v>222</v>
      </c>
      <c r="N262" s="3" t="str">
        <f>CONCATENATE("01915020430")</f>
        <v>01915020430</v>
      </c>
      <c r="O262" s="3" t="s">
        <v>203</v>
      </c>
      <c r="P262" s="3" t="s">
        <v>36</v>
      </c>
      <c r="Q262" s="3" t="s">
        <v>223</v>
      </c>
      <c r="R262" s="4">
        <v>46080</v>
      </c>
      <c r="S262" s="3" t="s">
        <v>38</v>
      </c>
      <c r="T262" s="3" t="s">
        <v>39</v>
      </c>
      <c r="U262" s="3" t="s">
        <v>40</v>
      </c>
      <c r="V262" s="5">
        <v>20188.98</v>
      </c>
      <c r="W262" s="5">
        <v>8580.32</v>
      </c>
      <c r="X262" s="5">
        <v>8126.06</v>
      </c>
      <c r="Y262" s="5">
        <v>3482.6</v>
      </c>
    </row>
    <row r="263" spans="1:25" ht="60.75" x14ac:dyDescent="0.25">
      <c r="A263" s="3" t="s">
        <v>26</v>
      </c>
      <c r="B263" s="3" t="s">
        <v>27</v>
      </c>
      <c r="C263" s="3" t="s">
        <v>28</v>
      </c>
      <c r="D263" s="3" t="s">
        <v>61</v>
      </c>
      <c r="E263" s="3" t="s">
        <v>127</v>
      </c>
      <c r="F263" s="3" t="s">
        <v>63</v>
      </c>
      <c r="G263" s="3" t="s">
        <v>127</v>
      </c>
      <c r="H263" s="3" t="s">
        <v>78</v>
      </c>
      <c r="I263" s="3">
        <v>2025</v>
      </c>
      <c r="J263" s="3" t="str">
        <f>CONCATENATE("54820231915")</f>
        <v>54820231915</v>
      </c>
      <c r="K263" s="3" t="s">
        <v>33</v>
      </c>
      <c r="L263" s="3"/>
      <c r="M263" s="3" t="s">
        <v>128</v>
      </c>
      <c r="N263" s="3" t="str">
        <f>CONCATENATE("LDRDLF40R55L500J")</f>
        <v>LDRDLF40R55L500J</v>
      </c>
      <c r="O263" s="3" t="s">
        <v>351</v>
      </c>
      <c r="P263" s="3" t="s">
        <v>36</v>
      </c>
      <c r="Q263" s="3" t="s">
        <v>225</v>
      </c>
      <c r="R263" s="4">
        <v>46080</v>
      </c>
      <c r="S263" s="3" t="s">
        <v>38</v>
      </c>
      <c r="T263" s="3" t="s">
        <v>39</v>
      </c>
      <c r="U263" s="3" t="s">
        <v>40</v>
      </c>
      <c r="V263" s="5">
        <v>1157.03</v>
      </c>
      <c r="W263" s="3">
        <v>491.74</v>
      </c>
      <c r="X263" s="3">
        <v>465.7</v>
      </c>
      <c r="Y263" s="3">
        <v>199.59</v>
      </c>
    </row>
    <row r="264" spans="1:25" ht="60.75" x14ac:dyDescent="0.25">
      <c r="A264" s="3" t="s">
        <v>26</v>
      </c>
      <c r="B264" s="3" t="s">
        <v>27</v>
      </c>
      <c r="C264" s="3" t="s">
        <v>28</v>
      </c>
      <c r="D264" s="3" t="s">
        <v>61</v>
      </c>
      <c r="E264" s="3" t="s">
        <v>352</v>
      </c>
      <c r="F264" s="3" t="s">
        <v>63</v>
      </c>
      <c r="G264" s="3" t="s">
        <v>352</v>
      </c>
      <c r="H264" s="3" t="s">
        <v>78</v>
      </c>
      <c r="I264" s="3">
        <v>2025</v>
      </c>
      <c r="J264" s="3" t="str">
        <f>CONCATENATE("54820211636")</f>
        <v>54820211636</v>
      </c>
      <c r="K264" s="3" t="s">
        <v>33</v>
      </c>
      <c r="L264" s="3"/>
      <c r="M264" s="3" t="s">
        <v>128</v>
      </c>
      <c r="N264" s="3" t="str">
        <f>CONCATENATE("PVNLRA54T60E838Q")</f>
        <v>PVNLRA54T60E838Q</v>
      </c>
      <c r="O264" s="3" t="s">
        <v>353</v>
      </c>
      <c r="P264" s="3" t="s">
        <v>36</v>
      </c>
      <c r="Q264" s="3" t="s">
        <v>225</v>
      </c>
      <c r="R264" s="4">
        <v>46080</v>
      </c>
      <c r="S264" s="3" t="s">
        <v>38</v>
      </c>
      <c r="T264" s="3" t="s">
        <v>39</v>
      </c>
      <c r="U264" s="3" t="s">
        <v>40</v>
      </c>
      <c r="V264" s="5">
        <v>4979.01</v>
      </c>
      <c r="W264" s="5">
        <v>2116.08</v>
      </c>
      <c r="X264" s="5">
        <v>2004.05</v>
      </c>
      <c r="Y264" s="3">
        <v>858.88</v>
      </c>
    </row>
    <row r="265" spans="1:25" ht="60.75" x14ac:dyDescent="0.25">
      <c r="A265" s="3" t="s">
        <v>26</v>
      </c>
      <c r="B265" s="3" t="s">
        <v>27</v>
      </c>
      <c r="C265" s="3" t="s">
        <v>28</v>
      </c>
      <c r="D265" s="3" t="s">
        <v>61</v>
      </c>
      <c r="E265" s="3" t="s">
        <v>127</v>
      </c>
      <c r="F265" s="3" t="s">
        <v>63</v>
      </c>
      <c r="G265" s="3" t="s">
        <v>127</v>
      </c>
      <c r="H265" s="3" t="s">
        <v>78</v>
      </c>
      <c r="I265" s="3">
        <v>2025</v>
      </c>
      <c r="J265" s="3" t="str">
        <f>CONCATENATE("54820217930")</f>
        <v>54820217930</v>
      </c>
      <c r="K265" s="3" t="s">
        <v>33</v>
      </c>
      <c r="L265" s="3"/>
      <c r="M265" s="3" t="s">
        <v>128</v>
      </c>
      <c r="N265" s="3" t="str">
        <f>CONCATENATE("GSTFRC74M11D488L")</f>
        <v>GSTFRC74M11D488L</v>
      </c>
      <c r="O265" s="3" t="s">
        <v>354</v>
      </c>
      <c r="P265" s="3" t="s">
        <v>36</v>
      </c>
      <c r="Q265" s="3" t="s">
        <v>225</v>
      </c>
      <c r="R265" s="4">
        <v>46080</v>
      </c>
      <c r="S265" s="3" t="s">
        <v>38</v>
      </c>
      <c r="T265" s="3" t="s">
        <v>39</v>
      </c>
      <c r="U265" s="3" t="s">
        <v>40</v>
      </c>
      <c r="V265" s="5">
        <v>7331.35</v>
      </c>
      <c r="W265" s="5">
        <v>3115.82</v>
      </c>
      <c r="X265" s="5">
        <v>2950.87</v>
      </c>
      <c r="Y265" s="5">
        <v>1264.6600000000001</v>
      </c>
    </row>
    <row r="266" spans="1:25" ht="60.75" x14ac:dyDescent="0.25">
      <c r="A266" s="3" t="s">
        <v>26</v>
      </c>
      <c r="B266" s="3" t="s">
        <v>27</v>
      </c>
      <c r="C266" s="3" t="s">
        <v>28</v>
      </c>
      <c r="D266" s="3" t="s">
        <v>61</v>
      </c>
      <c r="E266" s="3" t="s">
        <v>127</v>
      </c>
      <c r="F266" s="3" t="s">
        <v>63</v>
      </c>
      <c r="G266" s="3" t="s">
        <v>127</v>
      </c>
      <c r="H266" s="3" t="s">
        <v>78</v>
      </c>
      <c r="I266" s="3">
        <v>2025</v>
      </c>
      <c r="J266" s="3" t="str">
        <f>CONCATENATE("54820203971")</f>
        <v>54820203971</v>
      </c>
      <c r="K266" s="3" t="s">
        <v>33</v>
      </c>
      <c r="L266" s="3"/>
      <c r="M266" s="3" t="s">
        <v>128</v>
      </c>
      <c r="N266" s="3" t="str">
        <f>CONCATENATE("NTNGZN57T22I287Y")</f>
        <v>NTNGZN57T22I287Y</v>
      </c>
      <c r="O266" s="3" t="s">
        <v>355</v>
      </c>
      <c r="P266" s="3" t="s">
        <v>36</v>
      </c>
      <c r="Q266" s="3" t="s">
        <v>225</v>
      </c>
      <c r="R266" s="4">
        <v>46080</v>
      </c>
      <c r="S266" s="3" t="s">
        <v>38</v>
      </c>
      <c r="T266" s="3" t="s">
        <v>39</v>
      </c>
      <c r="U266" s="3" t="s">
        <v>40</v>
      </c>
      <c r="V266" s="5">
        <v>1259.03</v>
      </c>
      <c r="W266" s="3">
        <v>535.09</v>
      </c>
      <c r="X266" s="3">
        <v>506.76</v>
      </c>
      <c r="Y266" s="3">
        <v>217.18</v>
      </c>
    </row>
    <row r="267" spans="1:25" ht="36.75" x14ac:dyDescent="0.25">
      <c r="A267" s="3" t="s">
        <v>26</v>
      </c>
      <c r="B267" s="3" t="s">
        <v>27</v>
      </c>
      <c r="C267" s="3" t="s">
        <v>28</v>
      </c>
      <c r="D267" s="3" t="s">
        <v>44</v>
      </c>
      <c r="E267" s="3" t="s">
        <v>253</v>
      </c>
      <c r="F267" s="3" t="s">
        <v>46</v>
      </c>
      <c r="G267" s="3" t="s">
        <v>253</v>
      </c>
      <c r="H267" s="3" t="s">
        <v>78</v>
      </c>
      <c r="I267" s="3">
        <v>2025</v>
      </c>
      <c r="J267" s="3" t="str">
        <f>CONCATENATE("54820139886")</f>
        <v>54820139886</v>
      </c>
      <c r="K267" s="3" t="s">
        <v>33</v>
      </c>
      <c r="L267" s="3"/>
      <c r="M267" s="3" t="s">
        <v>128</v>
      </c>
      <c r="N267" s="3" t="str">
        <f>CONCATENATE("00409290418")</f>
        <v>00409290418</v>
      </c>
      <c r="O267" s="3" t="s">
        <v>356</v>
      </c>
      <c r="P267" s="3" t="s">
        <v>36</v>
      </c>
      <c r="Q267" s="3" t="s">
        <v>225</v>
      </c>
      <c r="R267" s="4">
        <v>46080</v>
      </c>
      <c r="S267" s="3" t="s">
        <v>38</v>
      </c>
      <c r="T267" s="3" t="s">
        <v>39</v>
      </c>
      <c r="U267" s="3" t="s">
        <v>40</v>
      </c>
      <c r="V267" s="5">
        <v>7585.12</v>
      </c>
      <c r="W267" s="5">
        <v>3223.68</v>
      </c>
      <c r="X267" s="5">
        <v>3053.01</v>
      </c>
      <c r="Y267" s="5">
        <v>1308.43</v>
      </c>
    </row>
    <row r="268" spans="1:25" ht="60.75" x14ac:dyDescent="0.25">
      <c r="A268" s="3" t="s">
        <v>26</v>
      </c>
      <c r="B268" s="3" t="s">
        <v>27</v>
      </c>
      <c r="C268" s="3" t="s">
        <v>28</v>
      </c>
      <c r="D268" s="3" t="s">
        <v>44</v>
      </c>
      <c r="E268" s="3" t="s">
        <v>54</v>
      </c>
      <c r="F268" s="3" t="s">
        <v>46</v>
      </c>
      <c r="G268" s="3" t="s">
        <v>54</v>
      </c>
      <c r="H268" s="3" t="s">
        <v>55</v>
      </c>
      <c r="I268" s="3">
        <v>2025</v>
      </c>
      <c r="J268" s="3" t="str">
        <f>CONCATENATE("54820069596")</f>
        <v>54820069596</v>
      </c>
      <c r="K268" s="3" t="s">
        <v>33</v>
      </c>
      <c r="L268" s="3"/>
      <c r="M268" s="3" t="s">
        <v>128</v>
      </c>
      <c r="N268" s="3" t="str">
        <f>CONCATENATE("LNDSMN74L50G516J")</f>
        <v>LNDSMN74L50G516J</v>
      </c>
      <c r="O268" s="3" t="s">
        <v>357</v>
      </c>
      <c r="P268" s="3" t="s">
        <v>36</v>
      </c>
      <c r="Q268" s="3" t="s">
        <v>225</v>
      </c>
      <c r="R268" s="4">
        <v>46080</v>
      </c>
      <c r="S268" s="3" t="s">
        <v>38</v>
      </c>
      <c r="T268" s="3" t="s">
        <v>39</v>
      </c>
      <c r="U268" s="3" t="s">
        <v>40</v>
      </c>
      <c r="V268" s="5">
        <v>2577.4299999999998</v>
      </c>
      <c r="W268" s="5">
        <v>1095.4100000000001</v>
      </c>
      <c r="X268" s="5">
        <v>1037.42</v>
      </c>
      <c r="Y268" s="3">
        <v>444.6</v>
      </c>
    </row>
    <row r="269" spans="1:25" ht="60.75" x14ac:dyDescent="0.25">
      <c r="A269" s="3" t="s">
        <v>26</v>
      </c>
      <c r="B269" s="3" t="s">
        <v>27</v>
      </c>
      <c r="C269" s="3" t="s">
        <v>28</v>
      </c>
      <c r="D269" s="3" t="s">
        <v>41</v>
      </c>
      <c r="E269" s="3" t="s">
        <v>358</v>
      </c>
      <c r="F269" s="3" t="s">
        <v>41</v>
      </c>
      <c r="G269" s="3" t="s">
        <v>358</v>
      </c>
      <c r="H269" s="3" t="s">
        <v>78</v>
      </c>
      <c r="I269" s="3">
        <v>2025</v>
      </c>
      <c r="J269" s="3" t="str">
        <f>CONCATENATE("54820071451")</f>
        <v>54820071451</v>
      </c>
      <c r="K269" s="3" t="s">
        <v>33</v>
      </c>
      <c r="L269" s="3"/>
      <c r="M269" s="3" t="s">
        <v>128</v>
      </c>
      <c r="N269" s="3" t="str">
        <f>CONCATENATE("MTAGCR46A19I287M")</f>
        <v>MTAGCR46A19I287M</v>
      </c>
      <c r="O269" s="3" t="s">
        <v>359</v>
      </c>
      <c r="P269" s="3" t="s">
        <v>36</v>
      </c>
      <c r="Q269" s="3" t="s">
        <v>225</v>
      </c>
      <c r="R269" s="4">
        <v>46080</v>
      </c>
      <c r="S269" s="3" t="s">
        <v>38</v>
      </c>
      <c r="T269" s="3" t="s">
        <v>39</v>
      </c>
      <c r="U269" s="3" t="s">
        <v>40</v>
      </c>
      <c r="V269" s="5">
        <v>2709.97</v>
      </c>
      <c r="W269" s="5">
        <v>1151.74</v>
      </c>
      <c r="X269" s="5">
        <v>1090.76</v>
      </c>
      <c r="Y269" s="3">
        <v>467.47</v>
      </c>
    </row>
    <row r="270" spans="1:25" ht="60.75" x14ac:dyDescent="0.25">
      <c r="A270" s="3" t="s">
        <v>26</v>
      </c>
      <c r="B270" s="3" t="s">
        <v>27</v>
      </c>
      <c r="C270" s="3" t="s">
        <v>28</v>
      </c>
      <c r="D270" s="3" t="s">
        <v>41</v>
      </c>
      <c r="E270" s="3" t="s">
        <v>121</v>
      </c>
      <c r="F270" s="3" t="s">
        <v>41</v>
      </c>
      <c r="G270" s="3" t="s">
        <v>121</v>
      </c>
      <c r="H270" s="3" t="s">
        <v>55</v>
      </c>
      <c r="I270" s="3">
        <v>2025</v>
      </c>
      <c r="J270" s="3" t="str">
        <f>CONCATENATE("54820282033")</f>
        <v>54820282033</v>
      </c>
      <c r="K270" s="3" t="s">
        <v>33</v>
      </c>
      <c r="L270" s="3"/>
      <c r="M270" s="3" t="s">
        <v>128</v>
      </c>
      <c r="N270" s="3" t="str">
        <f>CONCATENATE("LFNQNT85E24A462S")</f>
        <v>LFNQNT85E24A462S</v>
      </c>
      <c r="O270" s="3" t="s">
        <v>360</v>
      </c>
      <c r="P270" s="3" t="s">
        <v>36</v>
      </c>
      <c r="Q270" s="3" t="s">
        <v>225</v>
      </c>
      <c r="R270" s="4">
        <v>46080</v>
      </c>
      <c r="S270" s="3" t="s">
        <v>38</v>
      </c>
      <c r="T270" s="3" t="s">
        <v>39</v>
      </c>
      <c r="U270" s="3" t="s">
        <v>40</v>
      </c>
      <c r="V270" s="3">
        <v>578.29999999999995</v>
      </c>
      <c r="W270" s="3">
        <v>245.78</v>
      </c>
      <c r="X270" s="3">
        <v>232.77</v>
      </c>
      <c r="Y270" s="3">
        <v>99.75</v>
      </c>
    </row>
    <row r="271" spans="1:25" ht="60.75" x14ac:dyDescent="0.25">
      <c r="A271" s="3" t="s">
        <v>26</v>
      </c>
      <c r="B271" s="3" t="s">
        <v>27</v>
      </c>
      <c r="C271" s="3" t="s">
        <v>28</v>
      </c>
      <c r="D271" s="3" t="s">
        <v>29</v>
      </c>
      <c r="E271" s="3" t="s">
        <v>232</v>
      </c>
      <c r="F271" s="3" t="s">
        <v>31</v>
      </c>
      <c r="G271" s="3" t="s">
        <v>232</v>
      </c>
      <c r="H271" s="3" t="s">
        <v>32</v>
      </c>
      <c r="I271" s="3">
        <v>2025</v>
      </c>
      <c r="J271" s="3" t="str">
        <f>CONCATENATE("54820084231")</f>
        <v>54820084231</v>
      </c>
      <c r="K271" s="3" t="s">
        <v>33</v>
      </c>
      <c r="L271" s="3"/>
      <c r="M271" s="3" t="s">
        <v>128</v>
      </c>
      <c r="N271" s="3" t="str">
        <f>CONCATENATE("MCAMGS61R55I661H")</f>
        <v>MCAMGS61R55I661H</v>
      </c>
      <c r="O271" s="3" t="s">
        <v>361</v>
      </c>
      <c r="P271" s="3" t="s">
        <v>36</v>
      </c>
      <c r="Q271" s="3" t="s">
        <v>225</v>
      </c>
      <c r="R271" s="4">
        <v>46080</v>
      </c>
      <c r="S271" s="3" t="s">
        <v>38</v>
      </c>
      <c r="T271" s="3" t="s">
        <v>39</v>
      </c>
      <c r="U271" s="3" t="s">
        <v>40</v>
      </c>
      <c r="V271" s="5">
        <v>1386.42</v>
      </c>
      <c r="W271" s="3">
        <v>589.23</v>
      </c>
      <c r="X271" s="3">
        <v>558.03</v>
      </c>
      <c r="Y271" s="3">
        <v>239.16</v>
      </c>
    </row>
    <row r="272" spans="1:25" ht="60.75" x14ac:dyDescent="0.25">
      <c r="A272" s="3" t="s">
        <v>26</v>
      </c>
      <c r="B272" s="3" t="s">
        <v>27</v>
      </c>
      <c r="C272" s="3" t="s">
        <v>28</v>
      </c>
      <c r="D272" s="3" t="s">
        <v>44</v>
      </c>
      <c r="E272" s="3" t="s">
        <v>54</v>
      </c>
      <c r="F272" s="3" t="s">
        <v>46</v>
      </c>
      <c r="G272" s="3" t="s">
        <v>54</v>
      </c>
      <c r="H272" s="3" t="s">
        <v>55</v>
      </c>
      <c r="I272" s="3">
        <v>2025</v>
      </c>
      <c r="J272" s="3" t="str">
        <f>CONCATENATE("54820049531")</f>
        <v>54820049531</v>
      </c>
      <c r="K272" s="3" t="s">
        <v>33</v>
      </c>
      <c r="L272" s="3"/>
      <c r="M272" s="3" t="s">
        <v>128</v>
      </c>
      <c r="N272" s="3" t="str">
        <f>CONCATENATE("MRSNTN52L01F509P")</f>
        <v>MRSNTN52L01F509P</v>
      </c>
      <c r="O272" s="3" t="s">
        <v>362</v>
      </c>
      <c r="P272" s="3" t="s">
        <v>36</v>
      </c>
      <c r="Q272" s="3" t="s">
        <v>225</v>
      </c>
      <c r="R272" s="4">
        <v>46080</v>
      </c>
      <c r="S272" s="3" t="s">
        <v>38</v>
      </c>
      <c r="T272" s="3" t="s">
        <v>39</v>
      </c>
      <c r="U272" s="3" t="s">
        <v>40</v>
      </c>
      <c r="V272" s="3">
        <v>544.96</v>
      </c>
      <c r="W272" s="3">
        <v>231.61</v>
      </c>
      <c r="X272" s="3">
        <v>219.35</v>
      </c>
      <c r="Y272" s="3">
        <v>94</v>
      </c>
    </row>
    <row r="273" spans="1:25" ht="60.75" x14ac:dyDescent="0.25">
      <c r="A273" s="3" t="s">
        <v>26</v>
      </c>
      <c r="B273" s="3" t="s">
        <v>27</v>
      </c>
      <c r="C273" s="3" t="s">
        <v>28</v>
      </c>
      <c r="D273" s="3" t="s">
        <v>29</v>
      </c>
      <c r="E273" s="3" t="s">
        <v>249</v>
      </c>
      <c r="F273" s="3" t="s">
        <v>31</v>
      </c>
      <c r="G273" s="3" t="s">
        <v>249</v>
      </c>
      <c r="H273" s="3" t="s">
        <v>32</v>
      </c>
      <c r="I273" s="3">
        <v>2025</v>
      </c>
      <c r="J273" s="3" t="str">
        <f>CONCATENATE("54820014030")</f>
        <v>54820014030</v>
      </c>
      <c r="K273" s="3" t="s">
        <v>33</v>
      </c>
      <c r="L273" s="3"/>
      <c r="M273" s="3" t="s">
        <v>128</v>
      </c>
      <c r="N273" s="3" t="str">
        <f>CONCATENATE("NGLNGL77L05B474G")</f>
        <v>NGLNGL77L05B474G</v>
      </c>
      <c r="O273" s="3" t="s">
        <v>363</v>
      </c>
      <c r="P273" s="3" t="s">
        <v>36</v>
      </c>
      <c r="Q273" s="3" t="s">
        <v>225</v>
      </c>
      <c r="R273" s="4">
        <v>46080</v>
      </c>
      <c r="S273" s="3" t="s">
        <v>38</v>
      </c>
      <c r="T273" s="3" t="s">
        <v>39</v>
      </c>
      <c r="U273" s="3" t="s">
        <v>40</v>
      </c>
      <c r="V273" s="5">
        <v>3422.58</v>
      </c>
      <c r="W273" s="5">
        <v>1454.6</v>
      </c>
      <c r="X273" s="5">
        <v>1377.59</v>
      </c>
      <c r="Y273" s="3">
        <v>590.39</v>
      </c>
    </row>
    <row r="274" spans="1:25" ht="60.75" x14ac:dyDescent="0.25">
      <c r="A274" s="3" t="s">
        <v>26</v>
      </c>
      <c r="B274" s="3" t="s">
        <v>27</v>
      </c>
      <c r="C274" s="3" t="s">
        <v>28</v>
      </c>
      <c r="D274" s="3" t="s">
        <v>44</v>
      </c>
      <c r="E274" s="3" t="s">
        <v>54</v>
      </c>
      <c r="F274" s="3" t="s">
        <v>46</v>
      </c>
      <c r="G274" s="3" t="s">
        <v>54</v>
      </c>
      <c r="H274" s="3" t="s">
        <v>55</v>
      </c>
      <c r="I274" s="3">
        <v>2025</v>
      </c>
      <c r="J274" s="3" t="str">
        <f>CONCATENATE("54820077128")</f>
        <v>54820077128</v>
      </c>
      <c r="K274" s="3" t="s">
        <v>33</v>
      </c>
      <c r="L274" s="3"/>
      <c r="M274" s="3" t="s">
        <v>128</v>
      </c>
      <c r="N274" s="3" t="str">
        <f>CONCATENATE("NGLNNT73H54A462X")</f>
        <v>NGLNNT73H54A462X</v>
      </c>
      <c r="O274" s="3" t="s">
        <v>364</v>
      </c>
      <c r="P274" s="3" t="s">
        <v>36</v>
      </c>
      <c r="Q274" s="3" t="s">
        <v>225</v>
      </c>
      <c r="R274" s="4">
        <v>46080</v>
      </c>
      <c r="S274" s="3" t="s">
        <v>38</v>
      </c>
      <c r="T274" s="3" t="s">
        <v>39</v>
      </c>
      <c r="U274" s="3" t="s">
        <v>40</v>
      </c>
      <c r="V274" s="3">
        <v>375.73</v>
      </c>
      <c r="W274" s="3">
        <v>159.69</v>
      </c>
      <c r="X274" s="3">
        <v>151.22999999999999</v>
      </c>
      <c r="Y274" s="3">
        <v>64.81</v>
      </c>
    </row>
    <row r="275" spans="1:25" ht="60.75" x14ac:dyDescent="0.25">
      <c r="A275" s="3" t="s">
        <v>26</v>
      </c>
      <c r="B275" s="3" t="s">
        <v>27</v>
      </c>
      <c r="C275" s="3" t="s">
        <v>28</v>
      </c>
      <c r="D275" s="3" t="s">
        <v>61</v>
      </c>
      <c r="E275" s="3" t="s">
        <v>207</v>
      </c>
      <c r="F275" s="3" t="s">
        <v>63</v>
      </c>
      <c r="G275" s="3" t="s">
        <v>207</v>
      </c>
      <c r="H275" s="3" t="s">
        <v>78</v>
      </c>
      <c r="I275" s="3">
        <v>2025</v>
      </c>
      <c r="J275" s="3" t="str">
        <f>CONCATENATE("54820108527")</f>
        <v>54820108527</v>
      </c>
      <c r="K275" s="3" t="s">
        <v>33</v>
      </c>
      <c r="L275" s="3"/>
      <c r="M275" s="3" t="s">
        <v>128</v>
      </c>
      <c r="N275" s="3" t="str">
        <f>CONCATENATE("NBLFNC40P16H886Z")</f>
        <v>NBLFNC40P16H886Z</v>
      </c>
      <c r="O275" s="3" t="s">
        <v>365</v>
      </c>
      <c r="P275" s="3" t="s">
        <v>36</v>
      </c>
      <c r="Q275" s="3" t="s">
        <v>225</v>
      </c>
      <c r="R275" s="4">
        <v>46080</v>
      </c>
      <c r="S275" s="3" t="s">
        <v>38</v>
      </c>
      <c r="T275" s="3" t="s">
        <v>39</v>
      </c>
      <c r="U275" s="3" t="s">
        <v>40</v>
      </c>
      <c r="V275" s="3">
        <v>737.53</v>
      </c>
      <c r="W275" s="3">
        <v>313.45</v>
      </c>
      <c r="X275" s="3">
        <v>296.86</v>
      </c>
      <c r="Y275" s="3">
        <v>127.22</v>
      </c>
    </row>
    <row r="276" spans="1:25" ht="60.75" x14ac:dyDescent="0.25">
      <c r="A276" s="3" t="s">
        <v>26</v>
      </c>
      <c r="B276" s="3" t="s">
        <v>27</v>
      </c>
      <c r="C276" s="3" t="s">
        <v>28</v>
      </c>
      <c r="D276" s="3" t="s">
        <v>61</v>
      </c>
      <c r="E276" s="3" t="s">
        <v>230</v>
      </c>
      <c r="F276" s="3" t="s">
        <v>63</v>
      </c>
      <c r="G276" s="3" t="s">
        <v>230</v>
      </c>
      <c r="H276" s="3" t="s">
        <v>78</v>
      </c>
      <c r="I276" s="3">
        <v>2025</v>
      </c>
      <c r="J276" s="3" t="str">
        <f>CONCATENATE("54820083746")</f>
        <v>54820083746</v>
      </c>
      <c r="K276" s="3" t="s">
        <v>33</v>
      </c>
      <c r="L276" s="3"/>
      <c r="M276" s="3" t="s">
        <v>128</v>
      </c>
      <c r="N276" s="3" t="str">
        <f>CONCATENATE("NTGNNL63C62H958C")</f>
        <v>NTGNNL63C62H958C</v>
      </c>
      <c r="O276" s="3" t="s">
        <v>366</v>
      </c>
      <c r="P276" s="3" t="s">
        <v>36</v>
      </c>
      <c r="Q276" s="3" t="s">
        <v>225</v>
      </c>
      <c r="R276" s="4">
        <v>46080</v>
      </c>
      <c r="S276" s="3" t="s">
        <v>38</v>
      </c>
      <c r="T276" s="3" t="s">
        <v>39</v>
      </c>
      <c r="U276" s="3" t="s">
        <v>40</v>
      </c>
      <c r="V276" s="3">
        <v>138.08000000000001</v>
      </c>
      <c r="W276" s="3">
        <v>58.68</v>
      </c>
      <c r="X276" s="3">
        <v>55.58</v>
      </c>
      <c r="Y276" s="3">
        <v>23.82</v>
      </c>
    </row>
    <row r="277" spans="1:25" ht="36.75" x14ac:dyDescent="0.25">
      <c r="A277" s="3" t="s">
        <v>26</v>
      </c>
      <c r="B277" s="3" t="s">
        <v>27</v>
      </c>
      <c r="C277" s="3" t="s">
        <v>28</v>
      </c>
      <c r="D277" s="3" t="s">
        <v>75</v>
      </c>
      <c r="E277" s="3" t="s">
        <v>76</v>
      </c>
      <c r="F277" s="3" t="s">
        <v>31</v>
      </c>
      <c r="G277" s="3" t="s">
        <v>94</v>
      </c>
      <c r="H277" s="3" t="s">
        <v>78</v>
      </c>
      <c r="I277" s="3">
        <v>2025</v>
      </c>
      <c r="J277" s="3" t="str">
        <f>CONCATENATE("54820116991")</f>
        <v>54820116991</v>
      </c>
      <c r="K277" s="3" t="s">
        <v>33</v>
      </c>
      <c r="L277" s="3"/>
      <c r="M277" s="3" t="s">
        <v>128</v>
      </c>
      <c r="N277" s="3" t="str">
        <f>CONCATENATE("02342920416")</f>
        <v>02342920416</v>
      </c>
      <c r="O277" s="3" t="s">
        <v>367</v>
      </c>
      <c r="P277" s="3" t="s">
        <v>36</v>
      </c>
      <c r="Q277" s="3" t="s">
        <v>225</v>
      </c>
      <c r="R277" s="4">
        <v>46080</v>
      </c>
      <c r="S277" s="3" t="s">
        <v>38</v>
      </c>
      <c r="T277" s="3" t="s">
        <v>39</v>
      </c>
      <c r="U277" s="3" t="s">
        <v>40</v>
      </c>
      <c r="V277" s="5">
        <v>5482.15</v>
      </c>
      <c r="W277" s="5">
        <v>2329.91</v>
      </c>
      <c r="X277" s="5">
        <v>2206.5700000000002</v>
      </c>
      <c r="Y277" s="3">
        <v>945.67</v>
      </c>
    </row>
    <row r="278" spans="1:25" ht="72.75" x14ac:dyDescent="0.25">
      <c r="A278" s="3" t="s">
        <v>26</v>
      </c>
      <c r="B278" s="3" t="s">
        <v>27</v>
      </c>
      <c r="C278" s="3" t="s">
        <v>28</v>
      </c>
      <c r="D278" s="3" t="s">
        <v>44</v>
      </c>
      <c r="E278" s="3" t="s">
        <v>54</v>
      </c>
      <c r="F278" s="3" t="s">
        <v>46</v>
      </c>
      <c r="G278" s="3" t="s">
        <v>54</v>
      </c>
      <c r="H278" s="3" t="s">
        <v>55</v>
      </c>
      <c r="I278" s="3">
        <v>2025</v>
      </c>
      <c r="J278" s="3" t="str">
        <f>CONCATENATE("54820038443")</f>
        <v>54820038443</v>
      </c>
      <c r="K278" s="3" t="s">
        <v>33</v>
      </c>
      <c r="L278" s="3"/>
      <c r="M278" s="3" t="s">
        <v>128</v>
      </c>
      <c r="N278" s="3" t="str">
        <f>CONCATENATE("BLDMRA53A45D691V")</f>
        <v>BLDMRA53A45D691V</v>
      </c>
      <c r="O278" s="3" t="s">
        <v>368</v>
      </c>
      <c r="P278" s="3" t="s">
        <v>36</v>
      </c>
      <c r="Q278" s="3" t="s">
        <v>225</v>
      </c>
      <c r="R278" s="4">
        <v>46080</v>
      </c>
      <c r="S278" s="3" t="s">
        <v>38</v>
      </c>
      <c r="T278" s="3" t="s">
        <v>39</v>
      </c>
      <c r="U278" s="3" t="s">
        <v>40</v>
      </c>
      <c r="V278" s="5">
        <v>3292.26</v>
      </c>
      <c r="W278" s="5">
        <v>1399.21</v>
      </c>
      <c r="X278" s="5">
        <v>1325.13</v>
      </c>
      <c r="Y278" s="3">
        <v>567.91999999999996</v>
      </c>
    </row>
    <row r="279" spans="1:25" ht="60.75" x14ac:dyDescent="0.25">
      <c r="A279" s="3" t="s">
        <v>26</v>
      </c>
      <c r="B279" s="3" t="s">
        <v>27</v>
      </c>
      <c r="C279" s="3" t="s">
        <v>28</v>
      </c>
      <c r="D279" s="3" t="s">
        <v>29</v>
      </c>
      <c r="E279" s="3" t="s">
        <v>94</v>
      </c>
      <c r="F279" s="3" t="s">
        <v>31</v>
      </c>
      <c r="G279" s="3" t="s">
        <v>94</v>
      </c>
      <c r="H279" s="3" t="s">
        <v>78</v>
      </c>
      <c r="I279" s="3">
        <v>2025</v>
      </c>
      <c r="J279" s="3" t="str">
        <f>CONCATENATE("54820030366")</f>
        <v>54820030366</v>
      </c>
      <c r="K279" s="3" t="s">
        <v>33</v>
      </c>
      <c r="L279" s="3"/>
      <c r="M279" s="3" t="s">
        <v>128</v>
      </c>
      <c r="N279" s="3" t="str">
        <f>CONCATENATE("BLDNDR80S18I287O")</f>
        <v>BLDNDR80S18I287O</v>
      </c>
      <c r="O279" s="3" t="s">
        <v>369</v>
      </c>
      <c r="P279" s="3" t="s">
        <v>36</v>
      </c>
      <c r="Q279" s="3" t="s">
        <v>225</v>
      </c>
      <c r="R279" s="4">
        <v>46080</v>
      </c>
      <c r="S279" s="3" t="s">
        <v>38</v>
      </c>
      <c r="T279" s="3" t="s">
        <v>39</v>
      </c>
      <c r="U279" s="3" t="s">
        <v>40</v>
      </c>
      <c r="V279" s="3">
        <v>602.73</v>
      </c>
      <c r="W279" s="3">
        <v>256.16000000000003</v>
      </c>
      <c r="X279" s="3">
        <v>242.6</v>
      </c>
      <c r="Y279" s="3">
        <v>103.97</v>
      </c>
    </row>
    <row r="280" spans="1:25" ht="60.75" x14ac:dyDescent="0.25">
      <c r="A280" s="3" t="s">
        <v>26</v>
      </c>
      <c r="B280" s="3" t="s">
        <v>27</v>
      </c>
      <c r="C280" s="3" t="s">
        <v>28</v>
      </c>
      <c r="D280" s="3" t="s">
        <v>61</v>
      </c>
      <c r="E280" s="3" t="s">
        <v>352</v>
      </c>
      <c r="F280" s="3" t="s">
        <v>63</v>
      </c>
      <c r="G280" s="3" t="s">
        <v>352</v>
      </c>
      <c r="H280" s="3" t="s">
        <v>78</v>
      </c>
      <c r="I280" s="3">
        <v>2025</v>
      </c>
      <c r="J280" s="3" t="str">
        <f>CONCATENATE("54820036116")</f>
        <v>54820036116</v>
      </c>
      <c r="K280" s="3" t="s">
        <v>33</v>
      </c>
      <c r="L280" s="3"/>
      <c r="M280" s="3" t="s">
        <v>128</v>
      </c>
      <c r="N280" s="3" t="str">
        <f>CONCATENATE("BNNNTN48M24I459G")</f>
        <v>BNNNTN48M24I459G</v>
      </c>
      <c r="O280" s="3" t="s">
        <v>370</v>
      </c>
      <c r="P280" s="3" t="s">
        <v>36</v>
      </c>
      <c r="Q280" s="3" t="s">
        <v>225</v>
      </c>
      <c r="R280" s="4">
        <v>46080</v>
      </c>
      <c r="S280" s="3" t="s">
        <v>38</v>
      </c>
      <c r="T280" s="3" t="s">
        <v>39</v>
      </c>
      <c r="U280" s="3" t="s">
        <v>40</v>
      </c>
      <c r="V280" s="5">
        <v>8413.9</v>
      </c>
      <c r="W280" s="5">
        <v>3575.91</v>
      </c>
      <c r="X280" s="5">
        <v>3386.59</v>
      </c>
      <c r="Y280" s="5">
        <v>1451.4</v>
      </c>
    </row>
    <row r="281" spans="1:25" ht="36.75" x14ac:dyDescent="0.25">
      <c r="A281" s="3" t="s">
        <v>26</v>
      </c>
      <c r="B281" s="3" t="s">
        <v>27</v>
      </c>
      <c r="C281" s="3" t="s">
        <v>28</v>
      </c>
      <c r="D281" s="3" t="s">
        <v>44</v>
      </c>
      <c r="E281" s="3" t="s">
        <v>253</v>
      </c>
      <c r="F281" s="3" t="s">
        <v>46</v>
      </c>
      <c r="G281" s="3" t="s">
        <v>253</v>
      </c>
      <c r="H281" s="3" t="s">
        <v>78</v>
      </c>
      <c r="I281" s="3">
        <v>2025</v>
      </c>
      <c r="J281" s="3" t="str">
        <f>CONCATENATE("54820140025")</f>
        <v>54820140025</v>
      </c>
      <c r="K281" s="3" t="s">
        <v>33</v>
      </c>
      <c r="L281" s="3"/>
      <c r="M281" s="3" t="s">
        <v>128</v>
      </c>
      <c r="N281" s="3" t="str">
        <f>CONCATENATE("01175550415")</f>
        <v>01175550415</v>
      </c>
      <c r="O281" s="3" t="s">
        <v>371</v>
      </c>
      <c r="P281" s="3" t="s">
        <v>36</v>
      </c>
      <c r="Q281" s="3" t="s">
        <v>225</v>
      </c>
      <c r="R281" s="4">
        <v>46080</v>
      </c>
      <c r="S281" s="3" t="s">
        <v>38</v>
      </c>
      <c r="T281" s="3" t="s">
        <v>39</v>
      </c>
      <c r="U281" s="3" t="s">
        <v>40</v>
      </c>
      <c r="V281" s="5">
        <v>7280.33</v>
      </c>
      <c r="W281" s="5">
        <v>3094.14</v>
      </c>
      <c r="X281" s="5">
        <v>2930.33</v>
      </c>
      <c r="Y281" s="5">
        <v>1255.8599999999999</v>
      </c>
    </row>
    <row r="282" spans="1:25" ht="60.75" x14ac:dyDescent="0.25">
      <c r="A282" s="3" t="s">
        <v>26</v>
      </c>
      <c r="B282" s="3" t="s">
        <v>27</v>
      </c>
      <c r="C282" s="3" t="s">
        <v>28</v>
      </c>
      <c r="D282" s="3" t="s">
        <v>44</v>
      </c>
      <c r="E282" s="3" t="s">
        <v>253</v>
      </c>
      <c r="F282" s="3" t="s">
        <v>46</v>
      </c>
      <c r="G282" s="3" t="s">
        <v>253</v>
      </c>
      <c r="H282" s="3" t="s">
        <v>78</v>
      </c>
      <c r="I282" s="3">
        <v>2025</v>
      </c>
      <c r="J282" s="3" t="str">
        <f>CONCATENATE("54820042882")</f>
        <v>54820042882</v>
      </c>
      <c r="K282" s="3" t="s">
        <v>33</v>
      </c>
      <c r="L282" s="3"/>
      <c r="M282" s="3" t="s">
        <v>128</v>
      </c>
      <c r="N282" s="3" t="str">
        <f>CONCATENATE("BRTRCL68C30I459J")</f>
        <v>BRTRCL68C30I459J</v>
      </c>
      <c r="O282" s="3" t="s">
        <v>372</v>
      </c>
      <c r="P282" s="3" t="s">
        <v>36</v>
      </c>
      <c r="Q282" s="3" t="s">
        <v>225</v>
      </c>
      <c r="R282" s="4">
        <v>46080</v>
      </c>
      <c r="S282" s="3" t="s">
        <v>38</v>
      </c>
      <c r="T282" s="3" t="s">
        <v>39</v>
      </c>
      <c r="U282" s="3" t="s">
        <v>40</v>
      </c>
      <c r="V282" s="5">
        <v>2274.1999999999998</v>
      </c>
      <c r="W282" s="3">
        <v>966.54</v>
      </c>
      <c r="X282" s="3">
        <v>915.37</v>
      </c>
      <c r="Y282" s="3">
        <v>392.29</v>
      </c>
    </row>
    <row r="283" spans="1:25" ht="60.75" x14ac:dyDescent="0.25">
      <c r="A283" s="3" t="s">
        <v>26</v>
      </c>
      <c r="B283" s="3" t="s">
        <v>27</v>
      </c>
      <c r="C283" s="3" t="s">
        <v>28</v>
      </c>
      <c r="D283" s="3" t="s">
        <v>41</v>
      </c>
      <c r="E283" s="3" t="s">
        <v>121</v>
      </c>
      <c r="F283" s="3" t="s">
        <v>41</v>
      </c>
      <c r="G283" s="3" t="s">
        <v>121</v>
      </c>
      <c r="H283" s="3" t="s">
        <v>55</v>
      </c>
      <c r="I283" s="3">
        <v>2025</v>
      </c>
      <c r="J283" s="3" t="str">
        <f>CONCATENATE("54820277652")</f>
        <v>54820277652</v>
      </c>
      <c r="K283" s="3" t="s">
        <v>33</v>
      </c>
      <c r="L283" s="3"/>
      <c r="M283" s="3" t="s">
        <v>128</v>
      </c>
      <c r="N283" s="3" t="str">
        <f>CONCATENATE("BNGLSS85E42H769G")</f>
        <v>BNGLSS85E42H769G</v>
      </c>
      <c r="O283" s="3" t="s">
        <v>373</v>
      </c>
      <c r="P283" s="3" t="s">
        <v>36</v>
      </c>
      <c r="Q283" s="3" t="s">
        <v>225</v>
      </c>
      <c r="R283" s="4">
        <v>46080</v>
      </c>
      <c r="S283" s="3" t="s">
        <v>38</v>
      </c>
      <c r="T283" s="3" t="s">
        <v>39</v>
      </c>
      <c r="U283" s="3" t="s">
        <v>40</v>
      </c>
      <c r="V283" s="5">
        <v>1465.05</v>
      </c>
      <c r="W283" s="3">
        <v>622.65</v>
      </c>
      <c r="X283" s="3">
        <v>589.67999999999995</v>
      </c>
      <c r="Y283" s="3">
        <v>252.72</v>
      </c>
    </row>
    <row r="284" spans="1:25" ht="60.75" x14ac:dyDescent="0.25">
      <c r="A284" s="3" t="s">
        <v>26</v>
      </c>
      <c r="B284" s="3" t="s">
        <v>27</v>
      </c>
      <c r="C284" s="3" t="s">
        <v>28</v>
      </c>
      <c r="D284" s="3" t="s">
        <v>61</v>
      </c>
      <c r="E284" s="3" t="s">
        <v>230</v>
      </c>
      <c r="F284" s="3" t="s">
        <v>63</v>
      </c>
      <c r="G284" s="3" t="s">
        <v>230</v>
      </c>
      <c r="H284" s="3" t="s">
        <v>78</v>
      </c>
      <c r="I284" s="3">
        <v>2025</v>
      </c>
      <c r="J284" s="3" t="str">
        <f>CONCATENATE("54820167051")</f>
        <v>54820167051</v>
      </c>
      <c r="K284" s="3" t="s">
        <v>33</v>
      </c>
      <c r="L284" s="3"/>
      <c r="M284" s="3" t="s">
        <v>128</v>
      </c>
      <c r="N284" s="3" t="str">
        <f>CONCATENATE("BRNTTL53R18A327V")</f>
        <v>BRNTTL53R18A327V</v>
      </c>
      <c r="O284" s="3" t="s">
        <v>374</v>
      </c>
      <c r="P284" s="3" t="s">
        <v>36</v>
      </c>
      <c r="Q284" s="3" t="s">
        <v>225</v>
      </c>
      <c r="R284" s="4">
        <v>46080</v>
      </c>
      <c r="S284" s="3" t="s">
        <v>38</v>
      </c>
      <c r="T284" s="3" t="s">
        <v>39</v>
      </c>
      <c r="U284" s="3" t="s">
        <v>40</v>
      </c>
      <c r="V284" s="5">
        <v>2503.16</v>
      </c>
      <c r="W284" s="5">
        <v>1063.8399999999999</v>
      </c>
      <c r="X284" s="5">
        <v>1007.52</v>
      </c>
      <c r="Y284" s="3">
        <v>431.8</v>
      </c>
    </row>
    <row r="285" spans="1:25" ht="60.75" x14ac:dyDescent="0.25">
      <c r="A285" s="3" t="s">
        <v>26</v>
      </c>
      <c r="B285" s="3" t="s">
        <v>27</v>
      </c>
      <c r="C285" s="3" t="s">
        <v>28</v>
      </c>
      <c r="D285" s="3" t="s">
        <v>29</v>
      </c>
      <c r="E285" s="3" t="s">
        <v>94</v>
      </c>
      <c r="F285" s="3" t="s">
        <v>31</v>
      </c>
      <c r="G285" s="3" t="s">
        <v>94</v>
      </c>
      <c r="H285" s="3" t="s">
        <v>78</v>
      </c>
      <c r="I285" s="3">
        <v>2025</v>
      </c>
      <c r="J285" s="3" t="str">
        <f>CONCATENATE("54820027412")</f>
        <v>54820027412</v>
      </c>
      <c r="K285" s="3" t="s">
        <v>33</v>
      </c>
      <c r="L285" s="3"/>
      <c r="M285" s="3" t="s">
        <v>128</v>
      </c>
      <c r="N285" s="3" t="str">
        <f>CONCATENATE("BTTGPR54T10L500N")</f>
        <v>BTTGPR54T10L500N</v>
      </c>
      <c r="O285" s="3" t="s">
        <v>375</v>
      </c>
      <c r="P285" s="3" t="s">
        <v>36</v>
      </c>
      <c r="Q285" s="3" t="s">
        <v>225</v>
      </c>
      <c r="R285" s="4">
        <v>46080</v>
      </c>
      <c r="S285" s="3" t="s">
        <v>38</v>
      </c>
      <c r="T285" s="3" t="s">
        <v>39</v>
      </c>
      <c r="U285" s="3" t="s">
        <v>40</v>
      </c>
      <c r="V285" s="5">
        <v>1138.73</v>
      </c>
      <c r="W285" s="3">
        <v>483.96</v>
      </c>
      <c r="X285" s="3">
        <v>458.34</v>
      </c>
      <c r="Y285" s="3">
        <v>196.43</v>
      </c>
    </row>
    <row r="286" spans="1:25" ht="72.75" x14ac:dyDescent="0.25">
      <c r="A286" s="3" t="s">
        <v>26</v>
      </c>
      <c r="B286" s="3" t="s">
        <v>27</v>
      </c>
      <c r="C286" s="3" t="s">
        <v>28</v>
      </c>
      <c r="D286" s="3" t="s">
        <v>44</v>
      </c>
      <c r="E286" s="3" t="s">
        <v>256</v>
      </c>
      <c r="F286" s="3" t="s">
        <v>46</v>
      </c>
      <c r="G286" s="3" t="s">
        <v>256</v>
      </c>
      <c r="H286" s="3" t="s">
        <v>55</v>
      </c>
      <c r="I286" s="3">
        <v>2025</v>
      </c>
      <c r="J286" s="3" t="str">
        <f>CONCATENATE("54820122064")</f>
        <v>54820122064</v>
      </c>
      <c r="K286" s="3" t="s">
        <v>33</v>
      </c>
      <c r="L286" s="3"/>
      <c r="M286" s="3" t="s">
        <v>128</v>
      </c>
      <c r="N286" s="3" t="str">
        <f>CONCATENATE("BNCGLN64A63A462Q")</f>
        <v>BNCGLN64A63A462Q</v>
      </c>
      <c r="O286" s="3" t="s">
        <v>376</v>
      </c>
      <c r="P286" s="3" t="s">
        <v>36</v>
      </c>
      <c r="Q286" s="3" t="s">
        <v>225</v>
      </c>
      <c r="R286" s="4">
        <v>46080</v>
      </c>
      <c r="S286" s="3" t="s">
        <v>38</v>
      </c>
      <c r="T286" s="3" t="s">
        <v>39</v>
      </c>
      <c r="U286" s="3" t="s">
        <v>40</v>
      </c>
      <c r="V286" s="5">
        <v>1332.17</v>
      </c>
      <c r="W286" s="3">
        <v>566.16999999999996</v>
      </c>
      <c r="X286" s="3">
        <v>536.20000000000005</v>
      </c>
      <c r="Y286" s="3">
        <v>229.8</v>
      </c>
    </row>
    <row r="287" spans="1:25" ht="60.75" x14ac:dyDescent="0.25">
      <c r="A287" s="3" t="s">
        <v>26</v>
      </c>
      <c r="B287" s="3" t="s">
        <v>27</v>
      </c>
      <c r="C287" s="3" t="s">
        <v>28</v>
      </c>
      <c r="D287" s="3" t="s">
        <v>44</v>
      </c>
      <c r="E287" s="3" t="s">
        <v>377</v>
      </c>
      <c r="F287" s="3" t="s">
        <v>46</v>
      </c>
      <c r="G287" s="3" t="s">
        <v>377</v>
      </c>
      <c r="H287" s="3" t="s">
        <v>47</v>
      </c>
      <c r="I287" s="3">
        <v>2025</v>
      </c>
      <c r="J287" s="3" t="str">
        <f>CONCATENATE("54820290176")</f>
        <v>54820290176</v>
      </c>
      <c r="K287" s="3" t="s">
        <v>33</v>
      </c>
      <c r="L287" s="3"/>
      <c r="M287" s="3" t="s">
        <v>128</v>
      </c>
      <c r="N287" s="3" t="str">
        <f>CONCATENATE("BCCJTH85E02D451O")</f>
        <v>BCCJTH85E02D451O</v>
      </c>
      <c r="O287" s="3" t="s">
        <v>378</v>
      </c>
      <c r="P287" s="3" t="s">
        <v>36</v>
      </c>
      <c r="Q287" s="3" t="s">
        <v>225</v>
      </c>
      <c r="R287" s="4">
        <v>46080</v>
      </c>
      <c r="S287" s="3" t="s">
        <v>38</v>
      </c>
      <c r="T287" s="3" t="s">
        <v>39</v>
      </c>
      <c r="U287" s="3" t="s">
        <v>40</v>
      </c>
      <c r="V287" s="3">
        <v>643.79999999999995</v>
      </c>
      <c r="W287" s="3">
        <v>273.62</v>
      </c>
      <c r="X287" s="3">
        <v>259.13</v>
      </c>
      <c r="Y287" s="3">
        <v>111.05</v>
      </c>
    </row>
    <row r="288" spans="1:25" ht="60.75" x14ac:dyDescent="0.25">
      <c r="A288" s="3" t="s">
        <v>26</v>
      </c>
      <c r="B288" s="3" t="s">
        <v>27</v>
      </c>
      <c r="C288" s="3" t="s">
        <v>28</v>
      </c>
      <c r="D288" s="3" t="s">
        <v>44</v>
      </c>
      <c r="E288" s="3" t="s">
        <v>244</v>
      </c>
      <c r="F288" s="3" t="s">
        <v>46</v>
      </c>
      <c r="G288" s="3" t="s">
        <v>244</v>
      </c>
      <c r="H288" s="3" t="s">
        <v>78</v>
      </c>
      <c r="I288" s="3">
        <v>2025</v>
      </c>
      <c r="J288" s="3" t="str">
        <f>CONCATENATE("54820367230")</f>
        <v>54820367230</v>
      </c>
      <c r="K288" s="3" t="s">
        <v>33</v>
      </c>
      <c r="L288" s="3"/>
      <c r="M288" s="3" t="s">
        <v>128</v>
      </c>
      <c r="N288" s="3" t="str">
        <f>CONCATENATE("BRVGRG63D19L500P")</f>
        <v>BRVGRG63D19L500P</v>
      </c>
      <c r="O288" s="3" t="s">
        <v>379</v>
      </c>
      <c r="P288" s="3" t="s">
        <v>36</v>
      </c>
      <c r="Q288" s="3" t="s">
        <v>225</v>
      </c>
      <c r="R288" s="4">
        <v>46080</v>
      </c>
      <c r="S288" s="3" t="s">
        <v>38</v>
      </c>
      <c r="T288" s="3" t="s">
        <v>39</v>
      </c>
      <c r="U288" s="3" t="s">
        <v>40</v>
      </c>
      <c r="V288" s="3">
        <v>950.53</v>
      </c>
      <c r="W288" s="3">
        <v>403.98</v>
      </c>
      <c r="X288" s="3">
        <v>382.59</v>
      </c>
      <c r="Y288" s="3">
        <v>163.96</v>
      </c>
    </row>
    <row r="289" spans="1:25" ht="60.75" x14ac:dyDescent="0.25">
      <c r="A289" s="3" t="s">
        <v>26</v>
      </c>
      <c r="B289" s="3" t="s">
        <v>27</v>
      </c>
      <c r="C289" s="3" t="s">
        <v>28</v>
      </c>
      <c r="D289" s="3" t="s">
        <v>61</v>
      </c>
      <c r="E289" s="3" t="s">
        <v>207</v>
      </c>
      <c r="F289" s="3" t="s">
        <v>63</v>
      </c>
      <c r="G289" s="3" t="s">
        <v>207</v>
      </c>
      <c r="H289" s="3" t="s">
        <v>78</v>
      </c>
      <c r="I289" s="3">
        <v>2025</v>
      </c>
      <c r="J289" s="3" t="str">
        <f>CONCATENATE("54820141338")</f>
        <v>54820141338</v>
      </c>
      <c r="K289" s="3" t="s">
        <v>33</v>
      </c>
      <c r="L289" s="3"/>
      <c r="M289" s="3" t="s">
        <v>128</v>
      </c>
      <c r="N289" s="3" t="str">
        <f>CONCATENATE("BRNLRD38P24H886H")</f>
        <v>BRNLRD38P24H886H</v>
      </c>
      <c r="O289" s="3" t="s">
        <v>380</v>
      </c>
      <c r="P289" s="3" t="s">
        <v>36</v>
      </c>
      <c r="Q289" s="3" t="s">
        <v>225</v>
      </c>
      <c r="R289" s="4">
        <v>46080</v>
      </c>
      <c r="S289" s="3" t="s">
        <v>38</v>
      </c>
      <c r="T289" s="3" t="s">
        <v>39</v>
      </c>
      <c r="U289" s="3" t="s">
        <v>40</v>
      </c>
      <c r="V289" s="5">
        <v>5701.88</v>
      </c>
      <c r="W289" s="5">
        <v>2423.3000000000002</v>
      </c>
      <c r="X289" s="5">
        <v>2295.0100000000002</v>
      </c>
      <c r="Y289" s="3">
        <v>983.57</v>
      </c>
    </row>
    <row r="290" spans="1:25" ht="60.75" x14ac:dyDescent="0.25">
      <c r="A290" s="3" t="s">
        <v>26</v>
      </c>
      <c r="B290" s="3" t="s">
        <v>27</v>
      </c>
      <c r="C290" s="3" t="s">
        <v>28</v>
      </c>
      <c r="D290" s="3" t="s">
        <v>41</v>
      </c>
      <c r="E290" s="3" t="s">
        <v>121</v>
      </c>
      <c r="F290" s="3" t="s">
        <v>41</v>
      </c>
      <c r="G290" s="3" t="s">
        <v>121</v>
      </c>
      <c r="H290" s="3" t="s">
        <v>55</v>
      </c>
      <c r="I290" s="3">
        <v>2025</v>
      </c>
      <c r="J290" s="3" t="str">
        <f>CONCATENATE("54820281399")</f>
        <v>54820281399</v>
      </c>
      <c r="K290" s="3" t="s">
        <v>33</v>
      </c>
      <c r="L290" s="3"/>
      <c r="M290" s="3" t="s">
        <v>128</v>
      </c>
      <c r="N290" s="3" t="str">
        <f>CONCATENATE("BRTLSE75T03A252M")</f>
        <v>BRTLSE75T03A252M</v>
      </c>
      <c r="O290" s="3" t="s">
        <v>381</v>
      </c>
      <c r="P290" s="3" t="s">
        <v>36</v>
      </c>
      <c r="Q290" s="3" t="s">
        <v>225</v>
      </c>
      <c r="R290" s="4">
        <v>46080</v>
      </c>
      <c r="S290" s="3" t="s">
        <v>38</v>
      </c>
      <c r="T290" s="3" t="s">
        <v>39</v>
      </c>
      <c r="U290" s="3" t="s">
        <v>40</v>
      </c>
      <c r="V290" s="5">
        <v>1452.94</v>
      </c>
      <c r="W290" s="3">
        <v>617.5</v>
      </c>
      <c r="X290" s="3">
        <v>584.80999999999995</v>
      </c>
      <c r="Y290" s="3">
        <v>250.63</v>
      </c>
    </row>
    <row r="291" spans="1:25" ht="60.75" x14ac:dyDescent="0.25">
      <c r="A291" s="3" t="s">
        <v>26</v>
      </c>
      <c r="B291" s="3" t="s">
        <v>27</v>
      </c>
      <c r="C291" s="3" t="s">
        <v>28</v>
      </c>
      <c r="D291" s="3" t="s">
        <v>61</v>
      </c>
      <c r="E291" s="3" t="s">
        <v>65</v>
      </c>
      <c r="F291" s="3" t="s">
        <v>63</v>
      </c>
      <c r="G291" s="3" t="s">
        <v>65</v>
      </c>
      <c r="H291" s="3" t="s">
        <v>47</v>
      </c>
      <c r="I291" s="3">
        <v>2025</v>
      </c>
      <c r="J291" s="3" t="str">
        <f>CONCATENATE("54820024690")</f>
        <v>54820024690</v>
      </c>
      <c r="K291" s="3" t="s">
        <v>33</v>
      </c>
      <c r="L291" s="3"/>
      <c r="M291" s="3" t="s">
        <v>128</v>
      </c>
      <c r="N291" s="3" t="str">
        <f>CONCATENATE("CLMGRG83T18E388S")</f>
        <v>CLMGRG83T18E388S</v>
      </c>
      <c r="O291" s="3" t="s">
        <v>382</v>
      </c>
      <c r="P291" s="3" t="s">
        <v>36</v>
      </c>
      <c r="Q291" s="3" t="s">
        <v>225</v>
      </c>
      <c r="R291" s="4">
        <v>46080</v>
      </c>
      <c r="S291" s="3" t="s">
        <v>38</v>
      </c>
      <c r="T291" s="3" t="s">
        <v>39</v>
      </c>
      <c r="U291" s="3" t="s">
        <v>40</v>
      </c>
      <c r="V291" s="3">
        <v>616.61</v>
      </c>
      <c r="W291" s="3">
        <v>262.06</v>
      </c>
      <c r="X291" s="3">
        <v>248.19</v>
      </c>
      <c r="Y291" s="3">
        <v>106.36</v>
      </c>
    </row>
    <row r="292" spans="1:25" ht="36.75" x14ac:dyDescent="0.25">
      <c r="A292" s="3" t="s">
        <v>26</v>
      </c>
      <c r="B292" s="3" t="s">
        <v>27</v>
      </c>
      <c r="C292" s="3" t="s">
        <v>28</v>
      </c>
      <c r="D292" s="3" t="s">
        <v>29</v>
      </c>
      <c r="E292" s="3" t="s">
        <v>238</v>
      </c>
      <c r="F292" s="3" t="s">
        <v>31</v>
      </c>
      <c r="G292" s="3" t="s">
        <v>238</v>
      </c>
      <c r="H292" s="3" t="s">
        <v>78</v>
      </c>
      <c r="I292" s="3">
        <v>2025</v>
      </c>
      <c r="J292" s="3" t="str">
        <f>CONCATENATE("54820029327")</f>
        <v>54820029327</v>
      </c>
      <c r="K292" s="3" t="s">
        <v>33</v>
      </c>
      <c r="L292" s="3"/>
      <c r="M292" s="3" t="s">
        <v>128</v>
      </c>
      <c r="N292" s="3" t="str">
        <f>CONCATENATE("02813880412")</f>
        <v>02813880412</v>
      </c>
      <c r="O292" s="3" t="s">
        <v>383</v>
      </c>
      <c r="P292" s="3" t="s">
        <v>36</v>
      </c>
      <c r="Q292" s="3" t="s">
        <v>225</v>
      </c>
      <c r="R292" s="4">
        <v>46080</v>
      </c>
      <c r="S292" s="3" t="s">
        <v>38</v>
      </c>
      <c r="T292" s="3" t="s">
        <v>39</v>
      </c>
      <c r="U292" s="3" t="s">
        <v>40</v>
      </c>
      <c r="V292" s="5">
        <v>2432.66</v>
      </c>
      <c r="W292" s="5">
        <v>1033.8800000000001</v>
      </c>
      <c r="X292" s="3">
        <v>979.15</v>
      </c>
      <c r="Y292" s="3">
        <v>419.63</v>
      </c>
    </row>
    <row r="293" spans="1:25" ht="60.75" x14ac:dyDescent="0.25">
      <c r="A293" s="3" t="s">
        <v>26</v>
      </c>
      <c r="B293" s="3" t="s">
        <v>27</v>
      </c>
      <c r="C293" s="3" t="s">
        <v>28</v>
      </c>
      <c r="D293" s="3" t="s">
        <v>44</v>
      </c>
      <c r="E293" s="3" t="s">
        <v>316</v>
      </c>
      <c r="F293" s="3" t="s">
        <v>46</v>
      </c>
      <c r="G293" s="3" t="s">
        <v>316</v>
      </c>
      <c r="H293" s="3" t="s">
        <v>78</v>
      </c>
      <c r="I293" s="3">
        <v>2025</v>
      </c>
      <c r="J293" s="3" t="str">
        <f>CONCATENATE("54820040670")</f>
        <v>54820040670</v>
      </c>
      <c r="K293" s="3" t="s">
        <v>33</v>
      </c>
      <c r="L293" s="3"/>
      <c r="M293" s="3" t="s">
        <v>128</v>
      </c>
      <c r="N293" s="3" t="str">
        <f>CONCATENATE("CCCVNC66M63I287P")</f>
        <v>CCCVNC66M63I287P</v>
      </c>
      <c r="O293" s="3" t="s">
        <v>384</v>
      </c>
      <c r="P293" s="3" t="s">
        <v>36</v>
      </c>
      <c r="Q293" s="3" t="s">
        <v>225</v>
      </c>
      <c r="R293" s="4">
        <v>46080</v>
      </c>
      <c r="S293" s="3" t="s">
        <v>38</v>
      </c>
      <c r="T293" s="3" t="s">
        <v>39</v>
      </c>
      <c r="U293" s="3" t="s">
        <v>40</v>
      </c>
      <c r="V293" s="5">
        <v>3303.18</v>
      </c>
      <c r="W293" s="5">
        <v>1403.85</v>
      </c>
      <c r="X293" s="5">
        <v>1329.53</v>
      </c>
      <c r="Y293" s="3">
        <v>569.79999999999995</v>
      </c>
    </row>
    <row r="294" spans="1:25" ht="60.75" x14ac:dyDescent="0.25">
      <c r="A294" s="3" t="s">
        <v>26</v>
      </c>
      <c r="B294" s="3" t="s">
        <v>27</v>
      </c>
      <c r="C294" s="3" t="s">
        <v>28</v>
      </c>
      <c r="D294" s="3" t="s">
        <v>61</v>
      </c>
      <c r="E294" s="3" t="s">
        <v>127</v>
      </c>
      <c r="F294" s="3" t="s">
        <v>63</v>
      </c>
      <c r="G294" s="3" t="s">
        <v>127</v>
      </c>
      <c r="H294" s="3" t="s">
        <v>78</v>
      </c>
      <c r="I294" s="3">
        <v>2025</v>
      </c>
      <c r="J294" s="3" t="str">
        <f>CONCATENATE("54820186879")</f>
        <v>54820186879</v>
      </c>
      <c r="K294" s="3" t="s">
        <v>33</v>
      </c>
      <c r="L294" s="3"/>
      <c r="M294" s="3" t="s">
        <v>128</v>
      </c>
      <c r="N294" s="3" t="str">
        <f>CONCATENATE("CCCGLN71T01I459G")</f>
        <v>CCCGLN71T01I459G</v>
      </c>
      <c r="O294" s="3" t="s">
        <v>385</v>
      </c>
      <c r="P294" s="3" t="s">
        <v>36</v>
      </c>
      <c r="Q294" s="3" t="s">
        <v>225</v>
      </c>
      <c r="R294" s="4">
        <v>46080</v>
      </c>
      <c r="S294" s="3" t="s">
        <v>38</v>
      </c>
      <c r="T294" s="3" t="s">
        <v>39</v>
      </c>
      <c r="U294" s="3" t="s">
        <v>40</v>
      </c>
      <c r="V294" s="5">
        <v>2801.19</v>
      </c>
      <c r="W294" s="5">
        <v>1190.51</v>
      </c>
      <c r="X294" s="5">
        <v>1127.48</v>
      </c>
      <c r="Y294" s="3">
        <v>483.2</v>
      </c>
    </row>
    <row r="295" spans="1:25" ht="72.75" x14ac:dyDescent="0.25">
      <c r="A295" s="3" t="s">
        <v>26</v>
      </c>
      <c r="B295" s="3" t="s">
        <v>27</v>
      </c>
      <c r="C295" s="3" t="s">
        <v>28</v>
      </c>
      <c r="D295" s="3" t="s">
        <v>44</v>
      </c>
      <c r="E295" s="3" t="s">
        <v>253</v>
      </c>
      <c r="F295" s="3" t="s">
        <v>46</v>
      </c>
      <c r="G295" s="3" t="s">
        <v>253</v>
      </c>
      <c r="H295" s="3" t="s">
        <v>78</v>
      </c>
      <c r="I295" s="3">
        <v>2025</v>
      </c>
      <c r="J295" s="3" t="str">
        <f>CONCATENATE("54820052550")</f>
        <v>54820052550</v>
      </c>
      <c r="K295" s="3" t="s">
        <v>33</v>
      </c>
      <c r="L295" s="3"/>
      <c r="M295" s="3" t="s">
        <v>128</v>
      </c>
      <c r="N295" s="3" t="str">
        <f>CONCATENATE("DMNRRT61M22I459L")</f>
        <v>DMNRRT61M22I459L</v>
      </c>
      <c r="O295" s="3" t="s">
        <v>386</v>
      </c>
      <c r="P295" s="3" t="s">
        <v>36</v>
      </c>
      <c r="Q295" s="3" t="s">
        <v>225</v>
      </c>
      <c r="R295" s="4">
        <v>46080</v>
      </c>
      <c r="S295" s="3" t="s">
        <v>38</v>
      </c>
      <c r="T295" s="3" t="s">
        <v>39</v>
      </c>
      <c r="U295" s="3" t="s">
        <v>40</v>
      </c>
      <c r="V295" s="5">
        <v>1527.4</v>
      </c>
      <c r="W295" s="3">
        <v>649.15</v>
      </c>
      <c r="X295" s="3">
        <v>614.78</v>
      </c>
      <c r="Y295" s="3">
        <v>263.47000000000003</v>
      </c>
    </row>
    <row r="296" spans="1:25" ht="72.75" x14ac:dyDescent="0.25">
      <c r="A296" s="3" t="s">
        <v>26</v>
      </c>
      <c r="B296" s="3" t="s">
        <v>27</v>
      </c>
      <c r="C296" s="3" t="s">
        <v>28</v>
      </c>
      <c r="D296" s="3" t="s">
        <v>44</v>
      </c>
      <c r="E296" s="3" t="s">
        <v>54</v>
      </c>
      <c r="F296" s="3" t="s">
        <v>46</v>
      </c>
      <c r="G296" s="3" t="s">
        <v>54</v>
      </c>
      <c r="H296" s="3" t="s">
        <v>55</v>
      </c>
      <c r="I296" s="3">
        <v>2025</v>
      </c>
      <c r="J296" s="3" t="str">
        <f>CONCATENATE("54820025861")</f>
        <v>54820025861</v>
      </c>
      <c r="K296" s="3" t="s">
        <v>33</v>
      </c>
      <c r="L296" s="3"/>
      <c r="M296" s="3" t="s">
        <v>128</v>
      </c>
      <c r="N296" s="3" t="str">
        <f>CONCATENATE("DRNDLE67R04H321G")</f>
        <v>DRNDLE67R04H321G</v>
      </c>
      <c r="O296" s="3" t="s">
        <v>387</v>
      </c>
      <c r="P296" s="3" t="s">
        <v>36</v>
      </c>
      <c r="Q296" s="3" t="s">
        <v>225</v>
      </c>
      <c r="R296" s="4">
        <v>46080</v>
      </c>
      <c r="S296" s="3" t="s">
        <v>38</v>
      </c>
      <c r="T296" s="3" t="s">
        <v>39</v>
      </c>
      <c r="U296" s="3" t="s">
        <v>40</v>
      </c>
      <c r="V296" s="3">
        <v>528.48</v>
      </c>
      <c r="W296" s="3">
        <v>224.6</v>
      </c>
      <c r="X296" s="3">
        <v>212.71</v>
      </c>
      <c r="Y296" s="3">
        <v>91.17</v>
      </c>
    </row>
    <row r="297" spans="1:25" ht="60.75" x14ac:dyDescent="0.25">
      <c r="A297" s="3" t="s">
        <v>26</v>
      </c>
      <c r="B297" s="3" t="s">
        <v>27</v>
      </c>
      <c r="C297" s="3" t="s">
        <v>28</v>
      </c>
      <c r="D297" s="3" t="s">
        <v>61</v>
      </c>
      <c r="E297" s="3" t="s">
        <v>127</v>
      </c>
      <c r="F297" s="3" t="s">
        <v>63</v>
      </c>
      <c r="G297" s="3" t="s">
        <v>127</v>
      </c>
      <c r="H297" s="3" t="s">
        <v>78</v>
      </c>
      <c r="I297" s="3">
        <v>2025</v>
      </c>
      <c r="J297" s="3" t="str">
        <f>CONCATENATE("54820191549")</f>
        <v>54820191549</v>
      </c>
      <c r="K297" s="3" t="s">
        <v>33</v>
      </c>
      <c r="L297" s="3"/>
      <c r="M297" s="3" t="s">
        <v>128</v>
      </c>
      <c r="N297" s="3" t="str">
        <f>CONCATENATE("RCHNDR60P55Z505V")</f>
        <v>RCHNDR60P55Z505V</v>
      </c>
      <c r="O297" s="3" t="s">
        <v>388</v>
      </c>
      <c r="P297" s="3" t="s">
        <v>36</v>
      </c>
      <c r="Q297" s="3" t="s">
        <v>225</v>
      </c>
      <c r="R297" s="4">
        <v>46080</v>
      </c>
      <c r="S297" s="3" t="s">
        <v>38</v>
      </c>
      <c r="T297" s="3" t="s">
        <v>39</v>
      </c>
      <c r="U297" s="3" t="s">
        <v>40</v>
      </c>
      <c r="V297" s="5">
        <v>2233.04</v>
      </c>
      <c r="W297" s="3">
        <v>949.04</v>
      </c>
      <c r="X297" s="3">
        <v>898.8</v>
      </c>
      <c r="Y297" s="3">
        <v>385.2</v>
      </c>
    </row>
    <row r="298" spans="1:25" ht="60.75" x14ac:dyDescent="0.25">
      <c r="A298" s="3" t="s">
        <v>26</v>
      </c>
      <c r="B298" s="3" t="s">
        <v>27</v>
      </c>
      <c r="C298" s="3" t="s">
        <v>28</v>
      </c>
      <c r="D298" s="3" t="s">
        <v>61</v>
      </c>
      <c r="E298" s="3" t="s">
        <v>230</v>
      </c>
      <c r="F298" s="3" t="s">
        <v>63</v>
      </c>
      <c r="G298" s="3" t="s">
        <v>230</v>
      </c>
      <c r="H298" s="3" t="s">
        <v>78</v>
      </c>
      <c r="I298" s="3">
        <v>2025</v>
      </c>
      <c r="J298" s="3" t="str">
        <f>CONCATENATE("54820172713")</f>
        <v>54820172713</v>
      </c>
      <c r="K298" s="3" t="s">
        <v>33</v>
      </c>
      <c r="L298" s="3"/>
      <c r="M298" s="3" t="s">
        <v>128</v>
      </c>
      <c r="N298" s="3" t="str">
        <f>CONCATENATE("BRTLFA58D07G453X")</f>
        <v>BRTLFA58D07G453X</v>
      </c>
      <c r="O298" s="3" t="s">
        <v>389</v>
      </c>
      <c r="P298" s="3" t="s">
        <v>36</v>
      </c>
      <c r="Q298" s="3" t="s">
        <v>225</v>
      </c>
      <c r="R298" s="4">
        <v>46080</v>
      </c>
      <c r="S298" s="3" t="s">
        <v>38</v>
      </c>
      <c r="T298" s="3" t="s">
        <v>39</v>
      </c>
      <c r="U298" s="3" t="s">
        <v>40</v>
      </c>
      <c r="V298" s="3">
        <v>640.86</v>
      </c>
      <c r="W298" s="3">
        <v>272.37</v>
      </c>
      <c r="X298" s="3">
        <v>257.95</v>
      </c>
      <c r="Y298" s="3">
        <v>110.54</v>
      </c>
    </row>
    <row r="299" spans="1:25" ht="60.75" x14ac:dyDescent="0.25">
      <c r="A299" s="3" t="s">
        <v>26</v>
      </c>
      <c r="B299" s="3" t="s">
        <v>27</v>
      </c>
      <c r="C299" s="3" t="s">
        <v>28</v>
      </c>
      <c r="D299" s="3" t="s">
        <v>61</v>
      </c>
      <c r="E299" s="3" t="s">
        <v>62</v>
      </c>
      <c r="F299" s="3" t="s">
        <v>63</v>
      </c>
      <c r="G299" s="3" t="s">
        <v>62</v>
      </c>
      <c r="H299" s="3" t="s">
        <v>47</v>
      </c>
      <c r="I299" s="3">
        <v>2025</v>
      </c>
      <c r="J299" s="3" t="str">
        <f>CONCATENATE("54820053194")</f>
        <v>54820053194</v>
      </c>
      <c r="K299" s="3" t="s">
        <v>33</v>
      </c>
      <c r="L299" s="3"/>
      <c r="M299" s="3" t="s">
        <v>128</v>
      </c>
      <c r="N299" s="3" t="str">
        <f>CONCATENATE("LSSMPL61H69I653Z")</f>
        <v>LSSMPL61H69I653Z</v>
      </c>
      <c r="O299" s="3" t="s">
        <v>390</v>
      </c>
      <c r="P299" s="3" t="s">
        <v>36</v>
      </c>
      <c r="Q299" s="3" t="s">
        <v>225</v>
      </c>
      <c r="R299" s="4">
        <v>46080</v>
      </c>
      <c r="S299" s="3" t="s">
        <v>38</v>
      </c>
      <c r="T299" s="3" t="s">
        <v>39</v>
      </c>
      <c r="U299" s="3" t="s">
        <v>40</v>
      </c>
      <c r="V299" s="5">
        <v>1829.23</v>
      </c>
      <c r="W299" s="3">
        <v>777.42</v>
      </c>
      <c r="X299" s="3">
        <v>736.27</v>
      </c>
      <c r="Y299" s="3">
        <v>315.54000000000002</v>
      </c>
    </row>
    <row r="300" spans="1:25" ht="60.75" x14ac:dyDescent="0.25">
      <c r="A300" s="3" t="s">
        <v>26</v>
      </c>
      <c r="B300" s="3" t="s">
        <v>27</v>
      </c>
      <c r="C300" s="3" t="s">
        <v>28</v>
      </c>
      <c r="D300" s="3" t="s">
        <v>44</v>
      </c>
      <c r="E300" s="3" t="s">
        <v>54</v>
      </c>
      <c r="F300" s="3" t="s">
        <v>46</v>
      </c>
      <c r="G300" s="3" t="s">
        <v>54</v>
      </c>
      <c r="H300" s="3" t="s">
        <v>55</v>
      </c>
      <c r="I300" s="3">
        <v>2025</v>
      </c>
      <c r="J300" s="3" t="str">
        <f>CONCATENATE("54820114269")</f>
        <v>54820114269</v>
      </c>
      <c r="K300" s="3" t="s">
        <v>33</v>
      </c>
      <c r="L300" s="3"/>
      <c r="M300" s="3" t="s">
        <v>128</v>
      </c>
      <c r="N300" s="3" t="str">
        <f>CONCATENATE("SCRCLL44E11I925C")</f>
        <v>SCRCLL44E11I925C</v>
      </c>
      <c r="O300" s="3" t="s">
        <v>391</v>
      </c>
      <c r="P300" s="3" t="s">
        <v>36</v>
      </c>
      <c r="Q300" s="3" t="s">
        <v>225</v>
      </c>
      <c r="R300" s="4">
        <v>46080</v>
      </c>
      <c r="S300" s="3" t="s">
        <v>38</v>
      </c>
      <c r="T300" s="3" t="s">
        <v>39</v>
      </c>
      <c r="U300" s="3" t="s">
        <v>40</v>
      </c>
      <c r="V300" s="3">
        <v>467.12</v>
      </c>
      <c r="W300" s="3">
        <v>198.53</v>
      </c>
      <c r="X300" s="3">
        <v>188.02</v>
      </c>
      <c r="Y300" s="3">
        <v>80.569999999999993</v>
      </c>
    </row>
    <row r="301" spans="1:25" ht="60.75" x14ac:dyDescent="0.25">
      <c r="A301" s="3" t="s">
        <v>26</v>
      </c>
      <c r="B301" s="3" t="s">
        <v>27</v>
      </c>
      <c r="C301" s="3" t="s">
        <v>28</v>
      </c>
      <c r="D301" s="3" t="s">
        <v>29</v>
      </c>
      <c r="E301" s="3" t="s">
        <v>238</v>
      </c>
      <c r="F301" s="3" t="s">
        <v>31</v>
      </c>
      <c r="G301" s="3" t="s">
        <v>238</v>
      </c>
      <c r="H301" s="3" t="s">
        <v>78</v>
      </c>
      <c r="I301" s="3">
        <v>2025</v>
      </c>
      <c r="J301" s="3" t="str">
        <f>CONCATENATE("54820026927")</f>
        <v>54820026927</v>
      </c>
      <c r="K301" s="3" t="s">
        <v>33</v>
      </c>
      <c r="L301" s="3"/>
      <c r="M301" s="3" t="s">
        <v>128</v>
      </c>
      <c r="N301" s="3" t="str">
        <f>CONCATENATE("BLDFNC81M21H294L")</f>
        <v>BLDFNC81M21H294L</v>
      </c>
      <c r="O301" s="3" t="s">
        <v>392</v>
      </c>
      <c r="P301" s="3" t="s">
        <v>36</v>
      </c>
      <c r="Q301" s="3" t="s">
        <v>225</v>
      </c>
      <c r="R301" s="4">
        <v>46080</v>
      </c>
      <c r="S301" s="3" t="s">
        <v>38</v>
      </c>
      <c r="T301" s="3" t="s">
        <v>39</v>
      </c>
      <c r="U301" s="3" t="s">
        <v>40</v>
      </c>
      <c r="V301" s="5">
        <v>2533.6999999999998</v>
      </c>
      <c r="W301" s="5">
        <v>1076.82</v>
      </c>
      <c r="X301" s="5">
        <v>1019.81</v>
      </c>
      <c r="Y301" s="3">
        <v>437.07</v>
      </c>
    </row>
    <row r="302" spans="1:25" ht="60.75" x14ac:dyDescent="0.25">
      <c r="A302" s="3" t="s">
        <v>26</v>
      </c>
      <c r="B302" s="3" t="s">
        <v>27</v>
      </c>
      <c r="C302" s="3" t="s">
        <v>28</v>
      </c>
      <c r="D302" s="3" t="s">
        <v>75</v>
      </c>
      <c r="E302" s="3" t="s">
        <v>76</v>
      </c>
      <c r="F302" s="3" t="s">
        <v>77</v>
      </c>
      <c r="G302" s="3" t="s">
        <v>76</v>
      </c>
      <c r="H302" s="3" t="s">
        <v>78</v>
      </c>
      <c r="I302" s="3">
        <v>2025</v>
      </c>
      <c r="J302" s="3" t="str">
        <f>CONCATENATE("54820257829")</f>
        <v>54820257829</v>
      </c>
      <c r="K302" s="3" t="s">
        <v>33</v>
      </c>
      <c r="L302" s="3"/>
      <c r="M302" s="3" t="s">
        <v>128</v>
      </c>
      <c r="N302" s="3" t="str">
        <f>CONCATENATE("BRBLDA45L20Z130H")</f>
        <v>BRBLDA45L20Z130H</v>
      </c>
      <c r="O302" s="3" t="s">
        <v>393</v>
      </c>
      <c r="P302" s="3" t="s">
        <v>36</v>
      </c>
      <c r="Q302" s="3" t="s">
        <v>225</v>
      </c>
      <c r="R302" s="4">
        <v>46080</v>
      </c>
      <c r="S302" s="3" t="s">
        <v>38</v>
      </c>
      <c r="T302" s="3" t="s">
        <v>39</v>
      </c>
      <c r="U302" s="3" t="s">
        <v>40</v>
      </c>
      <c r="V302" s="5">
        <v>2230.65</v>
      </c>
      <c r="W302" s="3">
        <v>948.03</v>
      </c>
      <c r="X302" s="3">
        <v>897.84</v>
      </c>
      <c r="Y302" s="3">
        <v>384.78</v>
      </c>
    </row>
    <row r="303" spans="1:25" ht="60.75" x14ac:dyDescent="0.25">
      <c r="A303" s="3" t="s">
        <v>26</v>
      </c>
      <c r="B303" s="3" t="s">
        <v>27</v>
      </c>
      <c r="C303" s="3" t="s">
        <v>28</v>
      </c>
      <c r="D303" s="3" t="s">
        <v>44</v>
      </c>
      <c r="E303" s="3" t="s">
        <v>244</v>
      </c>
      <c r="F303" s="3" t="s">
        <v>46</v>
      </c>
      <c r="G303" s="3" t="s">
        <v>244</v>
      </c>
      <c r="H303" s="3" t="s">
        <v>78</v>
      </c>
      <c r="I303" s="3">
        <v>2025</v>
      </c>
      <c r="J303" s="3" t="str">
        <f>CONCATENATE("54820049259")</f>
        <v>54820049259</v>
      </c>
      <c r="K303" s="3" t="s">
        <v>33</v>
      </c>
      <c r="L303" s="3"/>
      <c r="M303" s="3" t="s">
        <v>128</v>
      </c>
      <c r="N303" s="3" t="str">
        <f>CONCATENATE("BRTMRC85D11L500G")</f>
        <v>BRTMRC85D11L500G</v>
      </c>
      <c r="O303" s="3" t="s">
        <v>394</v>
      </c>
      <c r="P303" s="3" t="s">
        <v>36</v>
      </c>
      <c r="Q303" s="3" t="s">
        <v>225</v>
      </c>
      <c r="R303" s="4">
        <v>46080</v>
      </c>
      <c r="S303" s="3" t="s">
        <v>38</v>
      </c>
      <c r="T303" s="3" t="s">
        <v>39</v>
      </c>
      <c r="U303" s="3" t="s">
        <v>40</v>
      </c>
      <c r="V303" s="5">
        <v>1193.73</v>
      </c>
      <c r="W303" s="3">
        <v>507.34</v>
      </c>
      <c r="X303" s="3">
        <v>480.48</v>
      </c>
      <c r="Y303" s="3">
        <v>205.91</v>
      </c>
    </row>
    <row r="304" spans="1:25" ht="60.75" x14ac:dyDescent="0.25">
      <c r="A304" s="3" t="s">
        <v>26</v>
      </c>
      <c r="B304" s="3" t="s">
        <v>27</v>
      </c>
      <c r="C304" s="3" t="s">
        <v>28</v>
      </c>
      <c r="D304" s="3" t="s">
        <v>44</v>
      </c>
      <c r="E304" s="3" t="s">
        <v>54</v>
      </c>
      <c r="F304" s="3" t="s">
        <v>46</v>
      </c>
      <c r="G304" s="3" t="s">
        <v>54</v>
      </c>
      <c r="H304" s="3" t="s">
        <v>55</v>
      </c>
      <c r="I304" s="3">
        <v>2025</v>
      </c>
      <c r="J304" s="3" t="str">
        <f>CONCATENATE("54820067020")</f>
        <v>54820067020</v>
      </c>
      <c r="K304" s="3" t="s">
        <v>33</v>
      </c>
      <c r="L304" s="3"/>
      <c r="M304" s="3" t="s">
        <v>128</v>
      </c>
      <c r="N304" s="3" t="str">
        <f>CONCATENATE("BRTNCL55B25F830R")</f>
        <v>BRTNCL55B25F830R</v>
      </c>
      <c r="O304" s="3" t="s">
        <v>395</v>
      </c>
      <c r="P304" s="3" t="s">
        <v>36</v>
      </c>
      <c r="Q304" s="3" t="s">
        <v>225</v>
      </c>
      <c r="R304" s="4">
        <v>46080</v>
      </c>
      <c r="S304" s="3" t="s">
        <v>38</v>
      </c>
      <c r="T304" s="3" t="s">
        <v>39</v>
      </c>
      <c r="U304" s="3" t="s">
        <v>40</v>
      </c>
      <c r="V304" s="5">
        <v>2916.4</v>
      </c>
      <c r="W304" s="5">
        <v>1239.47</v>
      </c>
      <c r="X304" s="5">
        <v>1173.8499999999999</v>
      </c>
      <c r="Y304" s="3">
        <v>503.08</v>
      </c>
    </row>
    <row r="305" spans="1:25" ht="60.75" x14ac:dyDescent="0.25">
      <c r="A305" s="3" t="s">
        <v>26</v>
      </c>
      <c r="B305" s="3" t="s">
        <v>27</v>
      </c>
      <c r="C305" s="3" t="s">
        <v>28</v>
      </c>
      <c r="D305" s="3" t="s">
        <v>44</v>
      </c>
      <c r="E305" s="3" t="s">
        <v>377</v>
      </c>
      <c r="F305" s="3" t="s">
        <v>46</v>
      </c>
      <c r="G305" s="3" t="s">
        <v>377</v>
      </c>
      <c r="H305" s="3" t="s">
        <v>47</v>
      </c>
      <c r="I305" s="3">
        <v>2025</v>
      </c>
      <c r="J305" s="3" t="str">
        <f>CONCATENATE("54820107644")</f>
        <v>54820107644</v>
      </c>
      <c r="K305" s="3" t="s">
        <v>33</v>
      </c>
      <c r="L305" s="3"/>
      <c r="M305" s="3" t="s">
        <v>128</v>
      </c>
      <c r="N305" s="3" t="str">
        <f>CONCATENATE("BSCLDA70L16D451R")</f>
        <v>BSCLDA70L16D451R</v>
      </c>
      <c r="O305" s="3" t="s">
        <v>396</v>
      </c>
      <c r="P305" s="3" t="s">
        <v>36</v>
      </c>
      <c r="Q305" s="3" t="s">
        <v>225</v>
      </c>
      <c r="R305" s="4">
        <v>46080</v>
      </c>
      <c r="S305" s="3" t="s">
        <v>38</v>
      </c>
      <c r="T305" s="3" t="s">
        <v>39</v>
      </c>
      <c r="U305" s="3" t="s">
        <v>40</v>
      </c>
      <c r="V305" s="5">
        <v>3710.12</v>
      </c>
      <c r="W305" s="5">
        <v>1576.8</v>
      </c>
      <c r="X305" s="5">
        <v>1493.32</v>
      </c>
      <c r="Y305" s="3">
        <v>640</v>
      </c>
    </row>
    <row r="306" spans="1:25" ht="60.75" x14ac:dyDescent="0.25">
      <c r="A306" s="3" t="s">
        <v>26</v>
      </c>
      <c r="B306" s="3" t="s">
        <v>27</v>
      </c>
      <c r="C306" s="3" t="s">
        <v>28</v>
      </c>
      <c r="D306" s="3" t="s">
        <v>61</v>
      </c>
      <c r="E306" s="3" t="s">
        <v>65</v>
      </c>
      <c r="F306" s="3" t="s">
        <v>63</v>
      </c>
      <c r="G306" s="3" t="s">
        <v>65</v>
      </c>
      <c r="H306" s="3" t="s">
        <v>47</v>
      </c>
      <c r="I306" s="3">
        <v>2025</v>
      </c>
      <c r="J306" s="3" t="str">
        <f>CONCATENATE("54820210976")</f>
        <v>54820210976</v>
      </c>
      <c r="K306" s="3" t="s">
        <v>33</v>
      </c>
      <c r="L306" s="3"/>
      <c r="M306" s="3" t="s">
        <v>128</v>
      </c>
      <c r="N306" s="3" t="str">
        <f>CONCATENATE("BNCMCL71S28H501N")</f>
        <v>BNCMCL71S28H501N</v>
      </c>
      <c r="O306" s="3" t="s">
        <v>397</v>
      </c>
      <c r="P306" s="3" t="s">
        <v>36</v>
      </c>
      <c r="Q306" s="3" t="s">
        <v>225</v>
      </c>
      <c r="R306" s="4">
        <v>46080</v>
      </c>
      <c r="S306" s="3" t="s">
        <v>38</v>
      </c>
      <c r="T306" s="3" t="s">
        <v>39</v>
      </c>
      <c r="U306" s="3" t="s">
        <v>40</v>
      </c>
      <c r="V306" s="3">
        <v>357.66</v>
      </c>
      <c r="W306" s="3">
        <v>152.01</v>
      </c>
      <c r="X306" s="3">
        <v>143.96</v>
      </c>
      <c r="Y306" s="3">
        <v>61.69</v>
      </c>
    </row>
    <row r="307" spans="1:25" ht="60.75" x14ac:dyDescent="0.25">
      <c r="A307" s="3" t="s">
        <v>26</v>
      </c>
      <c r="B307" s="3" t="s">
        <v>27</v>
      </c>
      <c r="C307" s="3" t="s">
        <v>28</v>
      </c>
      <c r="D307" s="3" t="s">
        <v>61</v>
      </c>
      <c r="E307" s="3" t="s">
        <v>62</v>
      </c>
      <c r="F307" s="3" t="s">
        <v>63</v>
      </c>
      <c r="G307" s="3" t="s">
        <v>62</v>
      </c>
      <c r="H307" s="3" t="s">
        <v>47</v>
      </c>
      <c r="I307" s="3">
        <v>2025</v>
      </c>
      <c r="J307" s="3" t="str">
        <f>CONCATENATE("54820209341")</f>
        <v>54820209341</v>
      </c>
      <c r="K307" s="3" t="s">
        <v>33</v>
      </c>
      <c r="L307" s="3"/>
      <c r="M307" s="3" t="s">
        <v>128</v>
      </c>
      <c r="N307" s="3" t="str">
        <f>CONCATENATE("BLGCLD86M17Z129O")</f>
        <v>BLGCLD86M17Z129O</v>
      </c>
      <c r="O307" s="3" t="s">
        <v>398</v>
      </c>
      <c r="P307" s="3" t="s">
        <v>36</v>
      </c>
      <c r="Q307" s="3" t="s">
        <v>225</v>
      </c>
      <c r="R307" s="4">
        <v>46080</v>
      </c>
      <c r="S307" s="3" t="s">
        <v>38</v>
      </c>
      <c r="T307" s="3" t="s">
        <v>39</v>
      </c>
      <c r="U307" s="3" t="s">
        <v>40</v>
      </c>
      <c r="V307" s="5">
        <v>1008.76</v>
      </c>
      <c r="W307" s="3">
        <v>428.72</v>
      </c>
      <c r="X307" s="3">
        <v>406.03</v>
      </c>
      <c r="Y307" s="3">
        <v>174.01</v>
      </c>
    </row>
    <row r="308" spans="1:25" ht="36.75" x14ac:dyDescent="0.25">
      <c r="A308" s="3" t="s">
        <v>26</v>
      </c>
      <c r="B308" s="3" t="s">
        <v>27</v>
      </c>
      <c r="C308" s="3" t="s">
        <v>28</v>
      </c>
      <c r="D308" s="3" t="s">
        <v>61</v>
      </c>
      <c r="E308" s="3" t="s">
        <v>207</v>
      </c>
      <c r="F308" s="3" t="s">
        <v>63</v>
      </c>
      <c r="G308" s="3" t="s">
        <v>207</v>
      </c>
      <c r="H308" s="3" t="s">
        <v>78</v>
      </c>
      <c r="I308" s="3">
        <v>2025</v>
      </c>
      <c r="J308" s="3" t="str">
        <f>CONCATENATE("54820192372")</f>
        <v>54820192372</v>
      </c>
      <c r="K308" s="3" t="s">
        <v>33</v>
      </c>
      <c r="L308" s="3"/>
      <c r="M308" s="3" t="s">
        <v>128</v>
      </c>
      <c r="N308" s="3" t="str">
        <f>CONCATENATE("01266920410")</f>
        <v>01266920410</v>
      </c>
      <c r="O308" s="3" t="s">
        <v>399</v>
      </c>
      <c r="P308" s="3" t="s">
        <v>36</v>
      </c>
      <c r="Q308" s="3" t="s">
        <v>225</v>
      </c>
      <c r="R308" s="4">
        <v>46080</v>
      </c>
      <c r="S308" s="3" t="s">
        <v>38</v>
      </c>
      <c r="T308" s="3" t="s">
        <v>39</v>
      </c>
      <c r="U308" s="3" t="s">
        <v>40</v>
      </c>
      <c r="V308" s="5">
        <v>2772.7</v>
      </c>
      <c r="W308" s="5">
        <v>1178.4000000000001</v>
      </c>
      <c r="X308" s="5">
        <v>1116.01</v>
      </c>
      <c r="Y308" s="3">
        <v>478.29</v>
      </c>
    </row>
    <row r="309" spans="1:25" ht="60.75" x14ac:dyDescent="0.25">
      <c r="A309" s="3" t="s">
        <v>26</v>
      </c>
      <c r="B309" s="3" t="s">
        <v>27</v>
      </c>
      <c r="C309" s="3" t="s">
        <v>28</v>
      </c>
      <c r="D309" s="3" t="s">
        <v>44</v>
      </c>
      <c r="E309" s="3" t="s">
        <v>377</v>
      </c>
      <c r="F309" s="3" t="s">
        <v>46</v>
      </c>
      <c r="G309" s="3" t="s">
        <v>377</v>
      </c>
      <c r="H309" s="3" t="s">
        <v>47</v>
      </c>
      <c r="I309" s="3">
        <v>2025</v>
      </c>
      <c r="J309" s="3" t="str">
        <f>CONCATENATE("54820188131")</f>
        <v>54820188131</v>
      </c>
      <c r="K309" s="3" t="s">
        <v>33</v>
      </c>
      <c r="L309" s="3"/>
      <c r="M309" s="3" t="s">
        <v>128</v>
      </c>
      <c r="N309" s="3" t="str">
        <f>CONCATENATE("BLDSDR72E62D451M")</f>
        <v>BLDSDR72E62D451M</v>
      </c>
      <c r="O309" s="3" t="s">
        <v>400</v>
      </c>
      <c r="P309" s="3" t="s">
        <v>36</v>
      </c>
      <c r="Q309" s="3" t="s">
        <v>225</v>
      </c>
      <c r="R309" s="4">
        <v>46080</v>
      </c>
      <c r="S309" s="3" t="s">
        <v>38</v>
      </c>
      <c r="T309" s="3" t="s">
        <v>39</v>
      </c>
      <c r="U309" s="3" t="s">
        <v>40</v>
      </c>
      <c r="V309" s="3">
        <v>466.54</v>
      </c>
      <c r="W309" s="3">
        <v>198.28</v>
      </c>
      <c r="X309" s="3">
        <v>187.78</v>
      </c>
      <c r="Y309" s="3">
        <v>80.48</v>
      </c>
    </row>
    <row r="310" spans="1:25" ht="60.75" x14ac:dyDescent="0.25">
      <c r="A310" s="3" t="s">
        <v>26</v>
      </c>
      <c r="B310" s="3" t="s">
        <v>27</v>
      </c>
      <c r="C310" s="3" t="s">
        <v>28</v>
      </c>
      <c r="D310" s="3" t="s">
        <v>44</v>
      </c>
      <c r="E310" s="3" t="s">
        <v>49</v>
      </c>
      <c r="F310" s="3" t="s">
        <v>46</v>
      </c>
      <c r="G310" s="3" t="s">
        <v>49</v>
      </c>
      <c r="H310" s="3" t="s">
        <v>47</v>
      </c>
      <c r="I310" s="3">
        <v>2025</v>
      </c>
      <c r="J310" s="3" t="str">
        <f>CONCATENATE("54820062666")</f>
        <v>54820062666</v>
      </c>
      <c r="K310" s="3" t="s">
        <v>33</v>
      </c>
      <c r="L310" s="3"/>
      <c r="M310" s="3" t="s">
        <v>128</v>
      </c>
      <c r="N310" s="3" t="str">
        <f>CONCATENATE("BNCLRC45R02D211X")</f>
        <v>BNCLRC45R02D211X</v>
      </c>
      <c r="O310" s="3" t="s">
        <v>401</v>
      </c>
      <c r="P310" s="3" t="s">
        <v>36</v>
      </c>
      <c r="Q310" s="3" t="s">
        <v>225</v>
      </c>
      <c r="R310" s="4">
        <v>46080</v>
      </c>
      <c r="S310" s="3" t="s">
        <v>38</v>
      </c>
      <c r="T310" s="3" t="s">
        <v>39</v>
      </c>
      <c r="U310" s="3" t="s">
        <v>40</v>
      </c>
      <c r="V310" s="3">
        <v>320.86</v>
      </c>
      <c r="W310" s="3">
        <v>136.37</v>
      </c>
      <c r="X310" s="3">
        <v>129.15</v>
      </c>
      <c r="Y310" s="3">
        <v>55.34</v>
      </c>
    </row>
    <row r="311" spans="1:25" ht="72.75" x14ac:dyDescent="0.25">
      <c r="A311" s="3" t="s">
        <v>26</v>
      </c>
      <c r="B311" s="3" t="s">
        <v>27</v>
      </c>
      <c r="C311" s="3" t="s">
        <v>28</v>
      </c>
      <c r="D311" s="3" t="s">
        <v>44</v>
      </c>
      <c r="E311" s="3" t="s">
        <v>49</v>
      </c>
      <c r="F311" s="3" t="s">
        <v>46</v>
      </c>
      <c r="G311" s="3" t="s">
        <v>49</v>
      </c>
      <c r="H311" s="3" t="s">
        <v>47</v>
      </c>
      <c r="I311" s="3">
        <v>2025</v>
      </c>
      <c r="J311" s="3" t="str">
        <f>CONCATENATE("54820169966")</f>
        <v>54820169966</v>
      </c>
      <c r="K311" s="3" t="s">
        <v>33</v>
      </c>
      <c r="L311" s="3"/>
      <c r="M311" s="3" t="s">
        <v>128</v>
      </c>
      <c r="N311" s="3" t="str">
        <f>CONCATENATE("BRSMSM58M31I461A")</f>
        <v>BRSMSM58M31I461A</v>
      </c>
      <c r="O311" s="3" t="s">
        <v>402</v>
      </c>
      <c r="P311" s="3" t="s">
        <v>36</v>
      </c>
      <c r="Q311" s="3" t="s">
        <v>225</v>
      </c>
      <c r="R311" s="4">
        <v>46080</v>
      </c>
      <c r="S311" s="3" t="s">
        <v>38</v>
      </c>
      <c r="T311" s="3" t="s">
        <v>39</v>
      </c>
      <c r="U311" s="3" t="s">
        <v>40</v>
      </c>
      <c r="V311" s="3">
        <v>384.24</v>
      </c>
      <c r="W311" s="3">
        <v>163.30000000000001</v>
      </c>
      <c r="X311" s="3">
        <v>154.66</v>
      </c>
      <c r="Y311" s="3">
        <v>66.28</v>
      </c>
    </row>
    <row r="312" spans="1:25" ht="72.75" x14ac:dyDescent="0.25">
      <c r="A312" s="3" t="s">
        <v>26</v>
      </c>
      <c r="B312" s="3" t="s">
        <v>27</v>
      </c>
      <c r="C312" s="3" t="s">
        <v>28</v>
      </c>
      <c r="D312" s="3" t="s">
        <v>29</v>
      </c>
      <c r="E312" s="3" t="s">
        <v>232</v>
      </c>
      <c r="F312" s="3" t="s">
        <v>31</v>
      </c>
      <c r="G312" s="3" t="s">
        <v>232</v>
      </c>
      <c r="H312" s="3" t="s">
        <v>32</v>
      </c>
      <c r="I312" s="3">
        <v>2025</v>
      </c>
      <c r="J312" s="3" t="str">
        <f>CONCATENATE("54820085816")</f>
        <v>54820085816</v>
      </c>
      <c r="K312" s="3" t="s">
        <v>33</v>
      </c>
      <c r="L312" s="3"/>
      <c r="M312" s="3" t="s">
        <v>128</v>
      </c>
      <c r="N312" s="3" t="str">
        <f>CONCATENATE("BNMSLV85T49H501B")</f>
        <v>BNMSLV85T49H501B</v>
      </c>
      <c r="O312" s="3" t="s">
        <v>403</v>
      </c>
      <c r="P312" s="3" t="s">
        <v>36</v>
      </c>
      <c r="Q312" s="3" t="s">
        <v>225</v>
      </c>
      <c r="R312" s="4">
        <v>46080</v>
      </c>
      <c r="S312" s="3" t="s">
        <v>38</v>
      </c>
      <c r="T312" s="3" t="s">
        <v>39</v>
      </c>
      <c r="U312" s="3" t="s">
        <v>40</v>
      </c>
      <c r="V312" s="3">
        <v>37.479999999999997</v>
      </c>
      <c r="W312" s="3">
        <v>15.93</v>
      </c>
      <c r="X312" s="3">
        <v>15.09</v>
      </c>
      <c r="Y312" s="3">
        <v>6.46</v>
      </c>
    </row>
    <row r="313" spans="1:25" ht="60.75" x14ac:dyDescent="0.25">
      <c r="A313" s="3" t="s">
        <v>26</v>
      </c>
      <c r="B313" s="3" t="s">
        <v>27</v>
      </c>
      <c r="C313" s="3" t="s">
        <v>28</v>
      </c>
      <c r="D313" s="3" t="s">
        <v>61</v>
      </c>
      <c r="E313" s="3" t="s">
        <v>207</v>
      </c>
      <c r="F313" s="3" t="s">
        <v>63</v>
      </c>
      <c r="G313" s="3" t="s">
        <v>207</v>
      </c>
      <c r="H313" s="3" t="s">
        <v>78</v>
      </c>
      <c r="I313" s="3">
        <v>2025</v>
      </c>
      <c r="J313" s="3" t="str">
        <f>CONCATENATE("54820141114")</f>
        <v>54820141114</v>
      </c>
      <c r="K313" s="3" t="s">
        <v>33</v>
      </c>
      <c r="L313" s="3"/>
      <c r="M313" s="3" t="s">
        <v>128</v>
      </c>
      <c r="N313" s="3" t="str">
        <f>CONCATENATE("BRNSFN72A28D488F")</f>
        <v>BRNSFN72A28D488F</v>
      </c>
      <c r="O313" s="3" t="s">
        <v>404</v>
      </c>
      <c r="P313" s="3" t="s">
        <v>36</v>
      </c>
      <c r="Q313" s="3" t="s">
        <v>225</v>
      </c>
      <c r="R313" s="4">
        <v>46080</v>
      </c>
      <c r="S313" s="3" t="s">
        <v>38</v>
      </c>
      <c r="T313" s="3" t="s">
        <v>39</v>
      </c>
      <c r="U313" s="3" t="s">
        <v>40</v>
      </c>
      <c r="V313" s="5">
        <v>2059.56</v>
      </c>
      <c r="W313" s="3">
        <v>875.31</v>
      </c>
      <c r="X313" s="3">
        <v>828.97</v>
      </c>
      <c r="Y313" s="3">
        <v>355.28</v>
      </c>
    </row>
    <row r="314" spans="1:25" ht="60.75" x14ac:dyDescent="0.25">
      <c r="A314" s="3" t="s">
        <v>26</v>
      </c>
      <c r="B314" s="3" t="s">
        <v>27</v>
      </c>
      <c r="C314" s="3" t="s">
        <v>28</v>
      </c>
      <c r="D314" s="3" t="s">
        <v>61</v>
      </c>
      <c r="E314" s="3" t="s">
        <v>207</v>
      </c>
      <c r="F314" s="3" t="s">
        <v>63</v>
      </c>
      <c r="G314" s="3" t="s">
        <v>207</v>
      </c>
      <c r="H314" s="3" t="s">
        <v>78</v>
      </c>
      <c r="I314" s="3">
        <v>2025</v>
      </c>
      <c r="J314" s="3" t="str">
        <f>CONCATENATE("54820214523")</f>
        <v>54820214523</v>
      </c>
      <c r="K314" s="3" t="s">
        <v>33</v>
      </c>
      <c r="L314" s="3"/>
      <c r="M314" s="3" t="s">
        <v>128</v>
      </c>
      <c r="N314" s="3" t="str">
        <f>CONCATENATE("BRSMHL99E13L500L")</f>
        <v>BRSMHL99E13L500L</v>
      </c>
      <c r="O314" s="3" t="s">
        <v>405</v>
      </c>
      <c r="P314" s="3" t="s">
        <v>36</v>
      </c>
      <c r="Q314" s="3" t="s">
        <v>225</v>
      </c>
      <c r="R314" s="4">
        <v>46080</v>
      </c>
      <c r="S314" s="3" t="s">
        <v>38</v>
      </c>
      <c r="T314" s="3" t="s">
        <v>39</v>
      </c>
      <c r="U314" s="3" t="s">
        <v>40</v>
      </c>
      <c r="V314" s="5">
        <v>4507.71</v>
      </c>
      <c r="W314" s="5">
        <v>1915.78</v>
      </c>
      <c r="X314" s="5">
        <v>1814.35</v>
      </c>
      <c r="Y314" s="3">
        <v>777.58</v>
      </c>
    </row>
    <row r="315" spans="1:25" ht="72.75" x14ac:dyDescent="0.25">
      <c r="A315" s="3" t="s">
        <v>26</v>
      </c>
      <c r="B315" s="3" t="s">
        <v>27</v>
      </c>
      <c r="C315" s="3" t="s">
        <v>28</v>
      </c>
      <c r="D315" s="3" t="s">
        <v>41</v>
      </c>
      <c r="E315" s="3" t="s">
        <v>121</v>
      </c>
      <c r="F315" s="3" t="s">
        <v>41</v>
      </c>
      <c r="G315" s="3" t="s">
        <v>121</v>
      </c>
      <c r="H315" s="3" t="s">
        <v>55</v>
      </c>
      <c r="I315" s="3">
        <v>2025</v>
      </c>
      <c r="J315" s="3" t="str">
        <f>CONCATENATE("54820276886")</f>
        <v>54820276886</v>
      </c>
      <c r="K315" s="3" t="s">
        <v>33</v>
      </c>
      <c r="L315" s="3"/>
      <c r="M315" s="3" t="s">
        <v>128</v>
      </c>
      <c r="N315" s="3" t="str">
        <f>CONCATENATE("BRNSML89A19A252U")</f>
        <v>BRNSML89A19A252U</v>
      </c>
      <c r="O315" s="3" t="s">
        <v>406</v>
      </c>
      <c r="P315" s="3" t="s">
        <v>36</v>
      </c>
      <c r="Q315" s="3" t="s">
        <v>225</v>
      </c>
      <c r="R315" s="4">
        <v>46080</v>
      </c>
      <c r="S315" s="3" t="s">
        <v>38</v>
      </c>
      <c r="T315" s="3" t="s">
        <v>39</v>
      </c>
      <c r="U315" s="3" t="s">
        <v>40</v>
      </c>
      <c r="V315" s="5">
        <v>2919.52</v>
      </c>
      <c r="W315" s="5">
        <v>1240.8</v>
      </c>
      <c r="X315" s="5">
        <v>1175.1099999999999</v>
      </c>
      <c r="Y315" s="3">
        <v>503.61</v>
      </c>
    </row>
    <row r="316" spans="1:25" ht="60.75" x14ac:dyDescent="0.25">
      <c r="A316" s="3" t="s">
        <v>26</v>
      </c>
      <c r="B316" s="3" t="s">
        <v>27</v>
      </c>
      <c r="C316" s="3" t="s">
        <v>28</v>
      </c>
      <c r="D316" s="3" t="s">
        <v>44</v>
      </c>
      <c r="E316" s="3" t="s">
        <v>88</v>
      </c>
      <c r="F316" s="3" t="s">
        <v>46</v>
      </c>
      <c r="G316" s="3" t="s">
        <v>88</v>
      </c>
      <c r="H316" s="3" t="s">
        <v>78</v>
      </c>
      <c r="I316" s="3">
        <v>2025</v>
      </c>
      <c r="J316" s="3" t="str">
        <f>CONCATENATE("54820207857")</f>
        <v>54820207857</v>
      </c>
      <c r="K316" s="3" t="s">
        <v>33</v>
      </c>
      <c r="L316" s="3"/>
      <c r="M316" s="3" t="s">
        <v>128</v>
      </c>
      <c r="N316" s="3" t="str">
        <f>CONCATENATE("CLVLRA86B51D451O")</f>
        <v>CLVLRA86B51D451O</v>
      </c>
      <c r="O316" s="3" t="s">
        <v>407</v>
      </c>
      <c r="P316" s="3" t="s">
        <v>36</v>
      </c>
      <c r="Q316" s="3" t="s">
        <v>225</v>
      </c>
      <c r="R316" s="4">
        <v>46080</v>
      </c>
      <c r="S316" s="3" t="s">
        <v>38</v>
      </c>
      <c r="T316" s="3" t="s">
        <v>39</v>
      </c>
      <c r="U316" s="3" t="s">
        <v>40</v>
      </c>
      <c r="V316" s="3">
        <v>270.54000000000002</v>
      </c>
      <c r="W316" s="3">
        <v>114.98</v>
      </c>
      <c r="X316" s="3">
        <v>108.89</v>
      </c>
      <c r="Y316" s="3">
        <v>46.67</v>
      </c>
    </row>
    <row r="317" spans="1:25" ht="72.75" x14ac:dyDescent="0.25">
      <c r="A317" s="3" t="s">
        <v>26</v>
      </c>
      <c r="B317" s="3" t="s">
        <v>27</v>
      </c>
      <c r="C317" s="3" t="s">
        <v>28</v>
      </c>
      <c r="D317" s="3" t="s">
        <v>61</v>
      </c>
      <c r="E317" s="3" t="s">
        <v>127</v>
      </c>
      <c r="F317" s="3" t="s">
        <v>63</v>
      </c>
      <c r="G317" s="3" t="s">
        <v>127</v>
      </c>
      <c r="H317" s="3" t="s">
        <v>78</v>
      </c>
      <c r="I317" s="3">
        <v>2025</v>
      </c>
      <c r="J317" s="3" t="str">
        <f>CONCATENATE("54820234869")</f>
        <v>54820234869</v>
      </c>
      <c r="K317" s="3" t="s">
        <v>33</v>
      </c>
      <c r="L317" s="3"/>
      <c r="M317" s="3" t="s">
        <v>128</v>
      </c>
      <c r="N317" s="3" t="str">
        <f>CONCATENATE("CNDSMN72H54B352M")</f>
        <v>CNDSMN72H54B352M</v>
      </c>
      <c r="O317" s="3" t="s">
        <v>408</v>
      </c>
      <c r="P317" s="3" t="s">
        <v>36</v>
      </c>
      <c r="Q317" s="3" t="s">
        <v>225</v>
      </c>
      <c r="R317" s="4">
        <v>46080</v>
      </c>
      <c r="S317" s="3" t="s">
        <v>38</v>
      </c>
      <c r="T317" s="3" t="s">
        <v>39</v>
      </c>
      <c r="U317" s="3" t="s">
        <v>40</v>
      </c>
      <c r="V317" s="3">
        <v>246.86</v>
      </c>
      <c r="W317" s="3">
        <v>104.92</v>
      </c>
      <c r="X317" s="3">
        <v>99.36</v>
      </c>
      <c r="Y317" s="3">
        <v>42.58</v>
      </c>
    </row>
    <row r="318" spans="1:25" ht="60.75" x14ac:dyDescent="0.25">
      <c r="A318" s="3" t="s">
        <v>26</v>
      </c>
      <c r="B318" s="3" t="s">
        <v>27</v>
      </c>
      <c r="C318" s="3" t="s">
        <v>28</v>
      </c>
      <c r="D318" s="3" t="s">
        <v>61</v>
      </c>
      <c r="E318" s="3" t="s">
        <v>352</v>
      </c>
      <c r="F318" s="3" t="s">
        <v>63</v>
      </c>
      <c r="G318" s="3" t="s">
        <v>352</v>
      </c>
      <c r="H318" s="3" t="s">
        <v>78</v>
      </c>
      <c r="I318" s="3">
        <v>2025</v>
      </c>
      <c r="J318" s="3" t="str">
        <f>CONCATENATE("54820050968")</f>
        <v>54820050968</v>
      </c>
      <c r="K318" s="3" t="s">
        <v>33</v>
      </c>
      <c r="L318" s="3"/>
      <c r="M318" s="3" t="s">
        <v>128</v>
      </c>
      <c r="N318" s="3" t="str">
        <f>CONCATENATE("CNGLCU80T06H294R")</f>
        <v>CNGLCU80T06H294R</v>
      </c>
      <c r="O318" s="3" t="s">
        <v>409</v>
      </c>
      <c r="P318" s="3" t="s">
        <v>36</v>
      </c>
      <c r="Q318" s="3" t="s">
        <v>225</v>
      </c>
      <c r="R318" s="4">
        <v>46080</v>
      </c>
      <c r="S318" s="3" t="s">
        <v>38</v>
      </c>
      <c r="T318" s="3" t="s">
        <v>39</v>
      </c>
      <c r="U318" s="3" t="s">
        <v>40</v>
      </c>
      <c r="V318" s="5">
        <v>1115</v>
      </c>
      <c r="W318" s="3">
        <v>473.88</v>
      </c>
      <c r="X318" s="3">
        <v>448.79</v>
      </c>
      <c r="Y318" s="3">
        <v>192.33</v>
      </c>
    </row>
    <row r="319" spans="1:25" ht="60.75" x14ac:dyDescent="0.25">
      <c r="A319" s="3" t="s">
        <v>26</v>
      </c>
      <c r="B319" s="3" t="s">
        <v>27</v>
      </c>
      <c r="C319" s="3" t="s">
        <v>28</v>
      </c>
      <c r="D319" s="3" t="s">
        <v>61</v>
      </c>
      <c r="E319" s="3" t="s">
        <v>230</v>
      </c>
      <c r="F319" s="3" t="s">
        <v>63</v>
      </c>
      <c r="G319" s="3" t="s">
        <v>230</v>
      </c>
      <c r="H319" s="3" t="s">
        <v>78</v>
      </c>
      <c r="I319" s="3">
        <v>2025</v>
      </c>
      <c r="J319" s="3" t="str">
        <f>CONCATENATE("54820108261")</f>
        <v>54820108261</v>
      </c>
      <c r="K319" s="3" t="s">
        <v>33</v>
      </c>
      <c r="L319" s="3"/>
      <c r="M319" s="3" t="s">
        <v>128</v>
      </c>
      <c r="N319" s="3" t="str">
        <f>CONCATENATE("CNNGNI38D14B352S")</f>
        <v>CNNGNI38D14B352S</v>
      </c>
      <c r="O319" s="3" t="s">
        <v>410</v>
      </c>
      <c r="P319" s="3" t="s">
        <v>36</v>
      </c>
      <c r="Q319" s="3" t="s">
        <v>225</v>
      </c>
      <c r="R319" s="4">
        <v>46080</v>
      </c>
      <c r="S319" s="3" t="s">
        <v>38</v>
      </c>
      <c r="T319" s="3" t="s">
        <v>39</v>
      </c>
      <c r="U319" s="3" t="s">
        <v>40</v>
      </c>
      <c r="V319" s="5">
        <v>2669.66</v>
      </c>
      <c r="W319" s="5">
        <v>1134.6099999999999</v>
      </c>
      <c r="X319" s="5">
        <v>1074.54</v>
      </c>
      <c r="Y319" s="3">
        <v>460.51</v>
      </c>
    </row>
    <row r="320" spans="1:25" ht="60.75" x14ac:dyDescent="0.25">
      <c r="A320" s="3" t="s">
        <v>26</v>
      </c>
      <c r="B320" s="3" t="s">
        <v>27</v>
      </c>
      <c r="C320" s="3" t="s">
        <v>28</v>
      </c>
      <c r="D320" s="3" t="s">
        <v>61</v>
      </c>
      <c r="E320" s="3" t="s">
        <v>62</v>
      </c>
      <c r="F320" s="3" t="s">
        <v>63</v>
      </c>
      <c r="G320" s="3" t="s">
        <v>62</v>
      </c>
      <c r="H320" s="3" t="s">
        <v>47</v>
      </c>
      <c r="I320" s="3">
        <v>2025</v>
      </c>
      <c r="J320" s="3" t="str">
        <f>CONCATENATE("54820204698")</f>
        <v>54820204698</v>
      </c>
      <c r="K320" s="3" t="s">
        <v>33</v>
      </c>
      <c r="L320" s="3"/>
      <c r="M320" s="3" t="s">
        <v>128</v>
      </c>
      <c r="N320" s="3" t="str">
        <f>CONCATENATE("CPTFNN50B27A366C")</f>
        <v>CPTFNN50B27A366C</v>
      </c>
      <c r="O320" s="3" t="s">
        <v>411</v>
      </c>
      <c r="P320" s="3" t="s">
        <v>36</v>
      </c>
      <c r="Q320" s="3" t="s">
        <v>225</v>
      </c>
      <c r="R320" s="4">
        <v>46080</v>
      </c>
      <c r="S320" s="3" t="s">
        <v>38</v>
      </c>
      <c r="T320" s="3" t="s">
        <v>39</v>
      </c>
      <c r="U320" s="3" t="s">
        <v>40</v>
      </c>
      <c r="V320" s="3">
        <v>521.91999999999996</v>
      </c>
      <c r="W320" s="3">
        <v>221.82</v>
      </c>
      <c r="X320" s="3">
        <v>210.07</v>
      </c>
      <c r="Y320" s="3">
        <v>90.03</v>
      </c>
    </row>
    <row r="321" spans="1:25" ht="60.75" x14ac:dyDescent="0.25">
      <c r="A321" s="3" t="s">
        <v>26</v>
      </c>
      <c r="B321" s="3" t="s">
        <v>27</v>
      </c>
      <c r="C321" s="3" t="s">
        <v>28</v>
      </c>
      <c r="D321" s="3" t="s">
        <v>44</v>
      </c>
      <c r="E321" s="3" t="s">
        <v>49</v>
      </c>
      <c r="F321" s="3" t="s">
        <v>46</v>
      </c>
      <c r="G321" s="3" t="s">
        <v>49</v>
      </c>
      <c r="H321" s="3" t="s">
        <v>47</v>
      </c>
      <c r="I321" s="3">
        <v>2025</v>
      </c>
      <c r="J321" s="3" t="str">
        <f>CONCATENATE("54820046826")</f>
        <v>54820046826</v>
      </c>
      <c r="K321" s="3" t="s">
        <v>33</v>
      </c>
      <c r="L321" s="3"/>
      <c r="M321" s="3" t="s">
        <v>128</v>
      </c>
      <c r="N321" s="3" t="str">
        <f>CONCATENATE("CSLMRA72A30D451K")</f>
        <v>CSLMRA72A30D451K</v>
      </c>
      <c r="O321" s="3" t="s">
        <v>412</v>
      </c>
      <c r="P321" s="3" t="s">
        <v>36</v>
      </c>
      <c r="Q321" s="3" t="s">
        <v>225</v>
      </c>
      <c r="R321" s="4">
        <v>46080</v>
      </c>
      <c r="S321" s="3" t="s">
        <v>38</v>
      </c>
      <c r="T321" s="3" t="s">
        <v>39</v>
      </c>
      <c r="U321" s="3" t="s">
        <v>40</v>
      </c>
      <c r="V321" s="5">
        <v>1663.76</v>
      </c>
      <c r="W321" s="3">
        <v>707.1</v>
      </c>
      <c r="X321" s="3">
        <v>669.66</v>
      </c>
      <c r="Y321" s="3">
        <v>287</v>
      </c>
    </row>
    <row r="322" spans="1:25" ht="72.75" x14ac:dyDescent="0.25">
      <c r="A322" s="3" t="s">
        <v>26</v>
      </c>
      <c r="B322" s="3" t="s">
        <v>27</v>
      </c>
      <c r="C322" s="3" t="s">
        <v>28</v>
      </c>
      <c r="D322" s="3" t="s">
        <v>61</v>
      </c>
      <c r="E322" s="3" t="s">
        <v>62</v>
      </c>
      <c r="F322" s="3" t="s">
        <v>63</v>
      </c>
      <c r="G322" s="3" t="s">
        <v>62</v>
      </c>
      <c r="H322" s="3" t="s">
        <v>47</v>
      </c>
      <c r="I322" s="3">
        <v>2025</v>
      </c>
      <c r="J322" s="3" t="str">
        <f>CONCATENATE("54820140116")</f>
        <v>54820140116</v>
      </c>
      <c r="K322" s="3" t="s">
        <v>33</v>
      </c>
      <c r="L322" s="3"/>
      <c r="M322" s="3" t="s">
        <v>128</v>
      </c>
      <c r="N322" s="3" t="str">
        <f>CONCATENATE("CVRMRC84R19D451W")</f>
        <v>CVRMRC84R19D451W</v>
      </c>
      <c r="O322" s="3" t="s">
        <v>413</v>
      </c>
      <c r="P322" s="3" t="s">
        <v>36</v>
      </c>
      <c r="Q322" s="3" t="s">
        <v>225</v>
      </c>
      <c r="R322" s="4">
        <v>46080</v>
      </c>
      <c r="S322" s="3" t="s">
        <v>38</v>
      </c>
      <c r="T322" s="3" t="s">
        <v>39</v>
      </c>
      <c r="U322" s="3" t="s">
        <v>40</v>
      </c>
      <c r="V322" s="5">
        <v>3266.6</v>
      </c>
      <c r="W322" s="5">
        <v>1388.31</v>
      </c>
      <c r="X322" s="5">
        <v>1314.81</v>
      </c>
      <c r="Y322" s="3">
        <v>563.48</v>
      </c>
    </row>
    <row r="323" spans="1:25" ht="60.75" x14ac:dyDescent="0.25">
      <c r="A323" s="3" t="s">
        <v>26</v>
      </c>
      <c r="B323" s="3" t="s">
        <v>27</v>
      </c>
      <c r="C323" s="3" t="s">
        <v>28</v>
      </c>
      <c r="D323" s="3" t="s">
        <v>41</v>
      </c>
      <c r="E323" s="3" t="s">
        <v>121</v>
      </c>
      <c r="F323" s="3" t="s">
        <v>41</v>
      </c>
      <c r="G323" s="3" t="s">
        <v>121</v>
      </c>
      <c r="H323" s="3" t="s">
        <v>55</v>
      </c>
      <c r="I323" s="3">
        <v>2025</v>
      </c>
      <c r="J323" s="3" t="str">
        <f>CONCATENATE("54820133384")</f>
        <v>54820133384</v>
      </c>
      <c r="K323" s="3" t="s">
        <v>33</v>
      </c>
      <c r="L323" s="3"/>
      <c r="M323" s="3" t="s">
        <v>128</v>
      </c>
      <c r="N323" s="3" t="str">
        <f>CONCATENATE("CBTLRD60M01A252M")</f>
        <v>CBTLRD60M01A252M</v>
      </c>
      <c r="O323" s="3" t="s">
        <v>414</v>
      </c>
      <c r="P323" s="3" t="s">
        <v>36</v>
      </c>
      <c r="Q323" s="3" t="s">
        <v>225</v>
      </c>
      <c r="R323" s="4">
        <v>46080</v>
      </c>
      <c r="S323" s="3" t="s">
        <v>38</v>
      </c>
      <c r="T323" s="3" t="s">
        <v>39</v>
      </c>
      <c r="U323" s="3" t="s">
        <v>40</v>
      </c>
      <c r="V323" s="3">
        <v>461.49</v>
      </c>
      <c r="W323" s="3">
        <v>196.13</v>
      </c>
      <c r="X323" s="3">
        <v>185.75</v>
      </c>
      <c r="Y323" s="3">
        <v>79.61</v>
      </c>
    </row>
    <row r="324" spans="1:25" ht="60.75" x14ac:dyDescent="0.25">
      <c r="A324" s="3" t="s">
        <v>26</v>
      </c>
      <c r="B324" s="3" t="s">
        <v>27</v>
      </c>
      <c r="C324" s="3" t="s">
        <v>28</v>
      </c>
      <c r="D324" s="3" t="s">
        <v>44</v>
      </c>
      <c r="E324" s="3" t="s">
        <v>244</v>
      </c>
      <c r="F324" s="3" t="s">
        <v>46</v>
      </c>
      <c r="G324" s="3" t="s">
        <v>244</v>
      </c>
      <c r="H324" s="3" t="s">
        <v>78</v>
      </c>
      <c r="I324" s="3">
        <v>2025</v>
      </c>
      <c r="J324" s="3" t="str">
        <f>CONCATENATE("54820060934")</f>
        <v>54820060934</v>
      </c>
      <c r="K324" s="3" t="s">
        <v>33</v>
      </c>
      <c r="L324" s="3"/>
      <c r="M324" s="3" t="s">
        <v>128</v>
      </c>
      <c r="N324" s="3" t="str">
        <f>CONCATENATE("CNDSVN44E59I459B")</f>
        <v>CNDSVN44E59I459B</v>
      </c>
      <c r="O324" s="3" t="s">
        <v>415</v>
      </c>
      <c r="P324" s="3" t="s">
        <v>36</v>
      </c>
      <c r="Q324" s="3" t="s">
        <v>225</v>
      </c>
      <c r="R324" s="4">
        <v>46080</v>
      </c>
      <c r="S324" s="3" t="s">
        <v>38</v>
      </c>
      <c r="T324" s="3" t="s">
        <v>39</v>
      </c>
      <c r="U324" s="3" t="s">
        <v>40</v>
      </c>
      <c r="V324" s="5">
        <v>1905.85</v>
      </c>
      <c r="W324" s="3">
        <v>809.99</v>
      </c>
      <c r="X324" s="3">
        <v>767.1</v>
      </c>
      <c r="Y324" s="3">
        <v>328.76</v>
      </c>
    </row>
    <row r="325" spans="1:25" ht="60.75" x14ac:dyDescent="0.25">
      <c r="A325" s="3" t="s">
        <v>26</v>
      </c>
      <c r="B325" s="3" t="s">
        <v>27</v>
      </c>
      <c r="C325" s="3" t="s">
        <v>28</v>
      </c>
      <c r="D325" s="3" t="s">
        <v>29</v>
      </c>
      <c r="E325" s="3" t="s">
        <v>249</v>
      </c>
      <c r="F325" s="3" t="s">
        <v>31</v>
      </c>
      <c r="G325" s="3" t="s">
        <v>249</v>
      </c>
      <c r="H325" s="3" t="s">
        <v>32</v>
      </c>
      <c r="I325" s="3">
        <v>2025</v>
      </c>
      <c r="J325" s="3" t="str">
        <f>CONCATENATE("54820015755")</f>
        <v>54820015755</v>
      </c>
      <c r="K325" s="3" t="s">
        <v>33</v>
      </c>
      <c r="L325" s="3"/>
      <c r="M325" s="3" t="s">
        <v>128</v>
      </c>
      <c r="N325" s="3" t="str">
        <f>CONCATENATE("CNTDNL57D44B474C")</f>
        <v>CNTDNL57D44B474C</v>
      </c>
      <c r="O325" s="3" t="s">
        <v>416</v>
      </c>
      <c r="P325" s="3" t="s">
        <v>36</v>
      </c>
      <c r="Q325" s="3" t="s">
        <v>225</v>
      </c>
      <c r="R325" s="4">
        <v>46080</v>
      </c>
      <c r="S325" s="3" t="s">
        <v>38</v>
      </c>
      <c r="T325" s="3" t="s">
        <v>39</v>
      </c>
      <c r="U325" s="3" t="s">
        <v>40</v>
      </c>
      <c r="V325" s="3">
        <v>546.13</v>
      </c>
      <c r="W325" s="3">
        <v>232.11</v>
      </c>
      <c r="X325" s="3">
        <v>219.82</v>
      </c>
      <c r="Y325" s="3">
        <v>94.2</v>
      </c>
    </row>
  </sheetData>
  <autoFilter ref="A3:Y325"/>
  <mergeCells count="2">
    <mergeCell ref="A1:Y1"/>
    <mergeCell ref="A2:Y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DOMANDE_PAGATE_REGI_PSP_Decreto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Galeazzi</dc:creator>
  <cp:lastModifiedBy>Marco</cp:lastModifiedBy>
  <dcterms:created xsi:type="dcterms:W3CDTF">2026-03-16T09:51:47Z</dcterms:created>
  <dcterms:modified xsi:type="dcterms:W3CDTF">2026-03-16T09:53:50Z</dcterms:modified>
</cp:coreProperties>
</file>