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ownloads\"/>
    </mc:Choice>
  </mc:AlternateContent>
  <xr:revisionPtr revIDLastSave="0" documentId="8_{7DECD360-D42F-4D6D-A80F-75C28E39658F}" xr6:coauthVersionLast="47" xr6:coauthVersionMax="47" xr10:uidLastSave="{00000000-0000-0000-0000-000000000000}"/>
  <bookViews>
    <workbookView xWindow="2430" yWindow="780" windowWidth="26325" windowHeight="13515"/>
  </bookViews>
  <sheets>
    <sheet name="DOMANDE_PAGATE_REGI_PSP_Decreto" sheetId="1" r:id="rId1"/>
  </sheets>
  <definedNames>
    <definedName name="_xlnm._FilterDatabase" localSheetId="0" hidden="1">DOMANDE_PAGATE_REGI_PSP_Decreto!$A$3:$Y$320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0" i="1" l="1"/>
  <c r="J320" i="1"/>
  <c r="N319" i="1"/>
  <c r="J319" i="1"/>
  <c r="N318" i="1"/>
  <c r="J318" i="1"/>
  <c r="N317" i="1"/>
  <c r="J317" i="1"/>
  <c r="N316" i="1"/>
  <c r="J316" i="1"/>
  <c r="N315" i="1"/>
  <c r="J315" i="1"/>
  <c r="N314" i="1"/>
  <c r="J314" i="1"/>
  <c r="N313" i="1"/>
  <c r="J313" i="1"/>
  <c r="N312" i="1"/>
  <c r="J312" i="1"/>
  <c r="N311" i="1"/>
  <c r="J311" i="1"/>
  <c r="N310" i="1"/>
  <c r="J310" i="1"/>
  <c r="N309" i="1"/>
  <c r="J309" i="1"/>
  <c r="N308" i="1"/>
  <c r="J308" i="1"/>
  <c r="N307" i="1"/>
  <c r="J307" i="1"/>
  <c r="N306" i="1"/>
  <c r="J306" i="1"/>
  <c r="N305" i="1"/>
  <c r="J305" i="1"/>
  <c r="N304" i="1"/>
  <c r="J304" i="1"/>
  <c r="N303" i="1"/>
  <c r="J303" i="1"/>
  <c r="N302" i="1"/>
  <c r="J302" i="1"/>
  <c r="N301" i="1"/>
  <c r="J301" i="1"/>
  <c r="N300" i="1"/>
  <c r="J300" i="1"/>
  <c r="N299" i="1"/>
  <c r="J299" i="1"/>
  <c r="N298" i="1"/>
  <c r="J298" i="1"/>
  <c r="N297" i="1"/>
  <c r="J297" i="1"/>
  <c r="N296" i="1"/>
  <c r="J296" i="1"/>
  <c r="N295" i="1"/>
  <c r="J295" i="1"/>
  <c r="N294" i="1"/>
  <c r="J294" i="1"/>
  <c r="N293" i="1"/>
  <c r="J293" i="1"/>
  <c r="N292" i="1"/>
  <c r="J292" i="1"/>
  <c r="N291" i="1"/>
  <c r="J291" i="1"/>
  <c r="N290" i="1"/>
  <c r="J290" i="1"/>
  <c r="N289" i="1"/>
  <c r="J289" i="1"/>
  <c r="N288" i="1"/>
  <c r="J288" i="1"/>
  <c r="N287" i="1"/>
  <c r="J287" i="1"/>
  <c r="N286" i="1"/>
  <c r="J286" i="1"/>
  <c r="N285" i="1"/>
  <c r="J285" i="1"/>
  <c r="N284" i="1"/>
  <c r="J284" i="1"/>
  <c r="N283" i="1"/>
  <c r="J283" i="1"/>
  <c r="N282" i="1"/>
  <c r="J282" i="1"/>
  <c r="N281" i="1"/>
  <c r="J281" i="1"/>
  <c r="N280" i="1"/>
  <c r="J280" i="1"/>
  <c r="N279" i="1"/>
  <c r="J279" i="1"/>
  <c r="N278" i="1"/>
  <c r="J278" i="1"/>
  <c r="N277" i="1"/>
  <c r="J277" i="1"/>
  <c r="N276" i="1"/>
  <c r="J276" i="1"/>
  <c r="N275" i="1"/>
  <c r="J275" i="1"/>
  <c r="N274" i="1"/>
  <c r="J274" i="1"/>
  <c r="N273" i="1"/>
  <c r="J273" i="1"/>
  <c r="N272" i="1"/>
  <c r="J272" i="1"/>
  <c r="N271" i="1"/>
  <c r="J271" i="1"/>
  <c r="N270" i="1"/>
  <c r="J270" i="1"/>
  <c r="N269" i="1"/>
  <c r="J269" i="1"/>
  <c r="N268" i="1"/>
  <c r="J268" i="1"/>
  <c r="N267" i="1"/>
  <c r="J267" i="1"/>
  <c r="N266" i="1"/>
  <c r="J266" i="1"/>
  <c r="N265" i="1"/>
  <c r="J265" i="1"/>
  <c r="N264" i="1"/>
  <c r="J264" i="1"/>
  <c r="N263" i="1"/>
  <c r="J263" i="1"/>
  <c r="N262" i="1"/>
  <c r="J262" i="1"/>
  <c r="N261" i="1"/>
  <c r="J261" i="1"/>
  <c r="N260" i="1"/>
  <c r="J260" i="1"/>
  <c r="N259" i="1"/>
  <c r="J259" i="1"/>
  <c r="N258" i="1"/>
  <c r="J258" i="1"/>
  <c r="N257" i="1"/>
  <c r="J257" i="1"/>
  <c r="N256" i="1"/>
  <c r="J256" i="1"/>
  <c r="N255" i="1"/>
  <c r="J255" i="1"/>
  <c r="N254" i="1"/>
  <c r="J254" i="1"/>
  <c r="N253" i="1"/>
  <c r="J253" i="1"/>
  <c r="N252" i="1"/>
  <c r="J252" i="1"/>
  <c r="N251" i="1"/>
  <c r="J251" i="1"/>
  <c r="N250" i="1"/>
  <c r="J250" i="1"/>
  <c r="N249" i="1"/>
  <c r="J249" i="1"/>
  <c r="N248" i="1"/>
  <c r="J248" i="1"/>
  <c r="N247" i="1"/>
  <c r="J247" i="1"/>
  <c r="N246" i="1"/>
  <c r="J246" i="1"/>
  <c r="N245" i="1"/>
  <c r="J245" i="1"/>
  <c r="N244" i="1"/>
  <c r="J244" i="1"/>
  <c r="N243" i="1"/>
  <c r="J243" i="1"/>
  <c r="N242" i="1"/>
  <c r="J242" i="1"/>
  <c r="N241" i="1"/>
  <c r="J241" i="1"/>
  <c r="N240" i="1"/>
  <c r="J240" i="1"/>
  <c r="N239" i="1"/>
  <c r="J239" i="1"/>
  <c r="N238" i="1"/>
  <c r="J238" i="1"/>
  <c r="N237" i="1"/>
  <c r="J237" i="1"/>
  <c r="N236" i="1"/>
  <c r="J236" i="1"/>
  <c r="N235" i="1"/>
  <c r="J235" i="1"/>
  <c r="N234" i="1"/>
  <c r="J234" i="1"/>
  <c r="N233" i="1"/>
  <c r="J233" i="1"/>
  <c r="N232" i="1"/>
  <c r="J232" i="1"/>
  <c r="N231" i="1"/>
  <c r="J231" i="1"/>
  <c r="N230" i="1"/>
  <c r="J230" i="1"/>
  <c r="N229" i="1"/>
  <c r="J229" i="1"/>
  <c r="N228" i="1"/>
  <c r="J228" i="1"/>
  <c r="N227" i="1"/>
  <c r="J227" i="1"/>
  <c r="N226" i="1"/>
  <c r="J226" i="1"/>
  <c r="N225" i="1"/>
  <c r="J225" i="1"/>
  <c r="N224" i="1"/>
  <c r="J224" i="1"/>
  <c r="N223" i="1"/>
  <c r="J223" i="1"/>
  <c r="N222" i="1"/>
  <c r="J222" i="1"/>
  <c r="N221" i="1"/>
  <c r="J221" i="1"/>
  <c r="N220" i="1"/>
  <c r="J220" i="1"/>
  <c r="N219" i="1"/>
  <c r="J219" i="1"/>
  <c r="N218" i="1"/>
  <c r="J218" i="1"/>
  <c r="N217" i="1"/>
  <c r="J217" i="1"/>
  <c r="N216" i="1"/>
  <c r="J216" i="1"/>
  <c r="N215" i="1"/>
  <c r="J215" i="1"/>
  <c r="N214" i="1"/>
  <c r="J214" i="1"/>
  <c r="N213" i="1"/>
  <c r="J213" i="1"/>
  <c r="N212" i="1"/>
  <c r="J212" i="1"/>
  <c r="N211" i="1"/>
  <c r="J211" i="1"/>
  <c r="N210" i="1"/>
  <c r="J210" i="1"/>
  <c r="N209" i="1"/>
  <c r="J209" i="1"/>
  <c r="N208" i="1"/>
  <c r="J208" i="1"/>
  <c r="N207" i="1"/>
  <c r="J207" i="1"/>
  <c r="N206" i="1"/>
  <c r="J206" i="1"/>
  <c r="N205" i="1"/>
  <c r="J205" i="1"/>
  <c r="N204" i="1"/>
  <c r="J204" i="1"/>
  <c r="N203" i="1"/>
  <c r="J203" i="1"/>
  <c r="N202" i="1"/>
  <c r="J202" i="1"/>
  <c r="N201" i="1"/>
  <c r="J201" i="1"/>
  <c r="N200" i="1"/>
  <c r="J200" i="1"/>
  <c r="N199" i="1"/>
  <c r="J199" i="1"/>
  <c r="N198" i="1"/>
  <c r="J198" i="1"/>
  <c r="N197" i="1"/>
  <c r="J197" i="1"/>
  <c r="N196" i="1"/>
  <c r="J196" i="1"/>
  <c r="N195" i="1"/>
  <c r="J195" i="1"/>
  <c r="N194" i="1"/>
  <c r="J194" i="1"/>
  <c r="N193" i="1"/>
  <c r="J193" i="1"/>
  <c r="N192" i="1"/>
  <c r="J192" i="1"/>
  <c r="N191" i="1"/>
  <c r="J191" i="1"/>
  <c r="N190" i="1"/>
  <c r="J190" i="1"/>
  <c r="N189" i="1"/>
  <c r="J189" i="1"/>
  <c r="N188" i="1"/>
  <c r="J188" i="1"/>
  <c r="N187" i="1"/>
  <c r="J187" i="1"/>
  <c r="N186" i="1"/>
  <c r="J186" i="1"/>
  <c r="N185" i="1"/>
  <c r="J185" i="1"/>
  <c r="N184" i="1"/>
  <c r="J184" i="1"/>
  <c r="N183" i="1"/>
  <c r="J183" i="1"/>
  <c r="N182" i="1"/>
  <c r="J182" i="1"/>
  <c r="N181" i="1"/>
  <c r="J181" i="1"/>
  <c r="N180" i="1"/>
  <c r="J180" i="1"/>
  <c r="N179" i="1"/>
  <c r="J179" i="1"/>
  <c r="N178" i="1"/>
  <c r="J178" i="1"/>
  <c r="N177" i="1"/>
  <c r="J177" i="1"/>
  <c r="N176" i="1"/>
  <c r="J176" i="1"/>
  <c r="N175" i="1"/>
  <c r="J175" i="1"/>
  <c r="N174" i="1"/>
  <c r="J174" i="1"/>
  <c r="N173" i="1"/>
  <c r="J173" i="1"/>
  <c r="N172" i="1"/>
  <c r="J172" i="1"/>
  <c r="N171" i="1"/>
  <c r="J171" i="1"/>
  <c r="N170" i="1"/>
  <c r="J170" i="1"/>
  <c r="N169" i="1"/>
  <c r="J169" i="1"/>
  <c r="N168" i="1"/>
  <c r="J168" i="1"/>
  <c r="N167" i="1"/>
  <c r="J167" i="1"/>
  <c r="N166" i="1"/>
  <c r="J166" i="1"/>
  <c r="N165" i="1"/>
  <c r="J165" i="1"/>
  <c r="N164" i="1"/>
  <c r="J164" i="1"/>
  <c r="N163" i="1"/>
  <c r="J163" i="1"/>
  <c r="N162" i="1"/>
  <c r="J162" i="1"/>
  <c r="N161" i="1"/>
  <c r="J161" i="1"/>
  <c r="N160" i="1"/>
  <c r="J160" i="1"/>
  <c r="N159" i="1"/>
  <c r="J159" i="1"/>
  <c r="N158" i="1"/>
  <c r="J158" i="1"/>
  <c r="N157" i="1"/>
  <c r="J157" i="1"/>
  <c r="N156" i="1"/>
  <c r="J156" i="1"/>
  <c r="N155" i="1"/>
  <c r="J155" i="1"/>
  <c r="N154" i="1"/>
  <c r="J154" i="1"/>
  <c r="N153" i="1"/>
  <c r="J153" i="1"/>
  <c r="N152" i="1"/>
  <c r="J152" i="1"/>
  <c r="N151" i="1"/>
  <c r="J151" i="1"/>
  <c r="N150" i="1"/>
  <c r="J150" i="1"/>
  <c r="N149" i="1"/>
  <c r="J149" i="1"/>
  <c r="N148" i="1"/>
  <c r="J148" i="1"/>
  <c r="N147" i="1"/>
  <c r="J147" i="1"/>
  <c r="N146" i="1"/>
  <c r="J146" i="1"/>
  <c r="N145" i="1"/>
  <c r="J145" i="1"/>
  <c r="N144" i="1"/>
  <c r="J144" i="1"/>
  <c r="N143" i="1"/>
  <c r="J143" i="1"/>
  <c r="N142" i="1"/>
  <c r="J142" i="1"/>
  <c r="N141" i="1"/>
  <c r="J141" i="1"/>
  <c r="N140" i="1"/>
  <c r="J140" i="1"/>
  <c r="N139" i="1"/>
  <c r="J139" i="1"/>
  <c r="N138" i="1"/>
  <c r="J138" i="1"/>
  <c r="N137" i="1"/>
  <c r="J137" i="1"/>
  <c r="N136" i="1"/>
  <c r="J136" i="1"/>
  <c r="N135" i="1"/>
  <c r="J135" i="1"/>
  <c r="N134" i="1"/>
  <c r="J134" i="1"/>
  <c r="N133" i="1"/>
  <c r="J133" i="1"/>
  <c r="N132" i="1"/>
  <c r="J132" i="1"/>
  <c r="N131" i="1"/>
  <c r="J131" i="1"/>
  <c r="N130" i="1"/>
  <c r="J130" i="1"/>
  <c r="N129" i="1"/>
  <c r="J129" i="1"/>
  <c r="N128" i="1"/>
  <c r="J128" i="1"/>
  <c r="N127" i="1"/>
  <c r="J127" i="1"/>
  <c r="N126" i="1"/>
  <c r="J126" i="1"/>
  <c r="N125" i="1"/>
  <c r="J125" i="1"/>
  <c r="N124" i="1"/>
  <c r="J124" i="1"/>
  <c r="N123" i="1"/>
  <c r="J123" i="1"/>
  <c r="N122" i="1"/>
  <c r="J122" i="1"/>
  <c r="N121" i="1"/>
  <c r="J121" i="1"/>
  <c r="N120" i="1"/>
  <c r="J120" i="1"/>
  <c r="N119" i="1"/>
  <c r="J119" i="1"/>
  <c r="N118" i="1"/>
  <c r="J118" i="1"/>
  <c r="N117" i="1"/>
  <c r="J117" i="1"/>
  <c r="N116" i="1"/>
  <c r="J116" i="1"/>
  <c r="N115" i="1"/>
  <c r="J115" i="1"/>
  <c r="N114" i="1"/>
  <c r="J114" i="1"/>
  <c r="N113" i="1"/>
  <c r="J113" i="1"/>
  <c r="N112" i="1"/>
  <c r="J112" i="1"/>
  <c r="N111" i="1"/>
  <c r="J111" i="1"/>
  <c r="N110" i="1"/>
  <c r="J110" i="1"/>
  <c r="N109" i="1"/>
  <c r="J109" i="1"/>
  <c r="N108" i="1"/>
  <c r="J108" i="1"/>
  <c r="N107" i="1"/>
  <c r="J107" i="1"/>
  <c r="N106" i="1"/>
  <c r="J106" i="1"/>
  <c r="N105" i="1"/>
  <c r="J105" i="1"/>
  <c r="N104" i="1"/>
  <c r="J104" i="1"/>
  <c r="N103" i="1"/>
  <c r="J103" i="1"/>
  <c r="N102" i="1"/>
  <c r="J102" i="1"/>
  <c r="N101" i="1"/>
  <c r="J101" i="1"/>
  <c r="N100" i="1"/>
  <c r="J100" i="1"/>
  <c r="N99" i="1"/>
  <c r="J99" i="1"/>
  <c r="N98" i="1"/>
  <c r="J98" i="1"/>
  <c r="N97" i="1"/>
  <c r="J97" i="1"/>
  <c r="N96" i="1"/>
  <c r="J96" i="1"/>
  <c r="N95" i="1"/>
  <c r="J95" i="1"/>
  <c r="N94" i="1"/>
  <c r="J94" i="1"/>
  <c r="N93" i="1"/>
  <c r="J93" i="1"/>
  <c r="N92" i="1"/>
  <c r="J92" i="1"/>
  <c r="N91" i="1"/>
  <c r="J91" i="1"/>
  <c r="N90" i="1"/>
  <c r="J90" i="1"/>
  <c r="N89" i="1"/>
  <c r="J89" i="1"/>
  <c r="N88" i="1"/>
  <c r="J88" i="1"/>
  <c r="N87" i="1"/>
  <c r="J87" i="1"/>
  <c r="N86" i="1"/>
  <c r="J86" i="1"/>
  <c r="N85" i="1"/>
  <c r="J85" i="1"/>
  <c r="N84" i="1"/>
  <c r="J84" i="1"/>
  <c r="N83" i="1"/>
  <c r="J83" i="1"/>
  <c r="N82" i="1"/>
  <c r="J82" i="1"/>
  <c r="N81" i="1"/>
  <c r="J81" i="1"/>
  <c r="N80" i="1"/>
  <c r="J80" i="1"/>
  <c r="N79" i="1"/>
  <c r="J79" i="1"/>
  <c r="N78" i="1"/>
  <c r="J78" i="1"/>
  <c r="N77" i="1"/>
  <c r="J77" i="1"/>
  <c r="N76" i="1"/>
  <c r="J76" i="1"/>
  <c r="N75" i="1"/>
  <c r="J75" i="1"/>
  <c r="N74" i="1"/>
  <c r="J74" i="1"/>
  <c r="N73" i="1"/>
  <c r="J73" i="1"/>
  <c r="N72" i="1"/>
  <c r="J72" i="1"/>
  <c r="N71" i="1"/>
  <c r="J71" i="1"/>
  <c r="N70" i="1"/>
  <c r="J70" i="1"/>
  <c r="N69" i="1"/>
  <c r="J69" i="1"/>
  <c r="N68" i="1"/>
  <c r="J68" i="1"/>
  <c r="N67" i="1"/>
  <c r="J67" i="1"/>
  <c r="N66" i="1"/>
  <c r="J66" i="1"/>
  <c r="N65" i="1"/>
  <c r="J65" i="1"/>
  <c r="N64" i="1"/>
  <c r="J64" i="1"/>
  <c r="N63" i="1"/>
  <c r="J63" i="1"/>
  <c r="N62" i="1"/>
  <c r="J62" i="1"/>
  <c r="N61" i="1"/>
  <c r="J61" i="1"/>
  <c r="N60" i="1"/>
  <c r="J60" i="1"/>
  <c r="N59" i="1"/>
  <c r="J59" i="1"/>
  <c r="N58" i="1"/>
  <c r="J58" i="1"/>
  <c r="N57" i="1"/>
  <c r="J57" i="1"/>
  <c r="N56" i="1"/>
  <c r="J56" i="1"/>
  <c r="N55" i="1"/>
  <c r="J55" i="1"/>
  <c r="N54" i="1"/>
  <c r="J54" i="1"/>
  <c r="N53" i="1"/>
  <c r="J53" i="1"/>
  <c r="N52" i="1"/>
  <c r="J52" i="1"/>
  <c r="N51" i="1"/>
  <c r="J51" i="1"/>
  <c r="N50" i="1"/>
  <c r="J50" i="1"/>
  <c r="N49" i="1"/>
  <c r="J49" i="1"/>
  <c r="N48" i="1"/>
  <c r="J48" i="1"/>
  <c r="N47" i="1"/>
  <c r="J47" i="1"/>
  <c r="N46" i="1"/>
  <c r="J46" i="1"/>
  <c r="N45" i="1"/>
  <c r="J45" i="1"/>
  <c r="N44" i="1"/>
  <c r="J44" i="1"/>
  <c r="N43" i="1"/>
  <c r="J43" i="1"/>
  <c r="N42" i="1"/>
  <c r="J42" i="1"/>
  <c r="N41" i="1"/>
  <c r="J41" i="1"/>
  <c r="N40" i="1"/>
  <c r="J40" i="1"/>
  <c r="N39" i="1"/>
  <c r="J39" i="1"/>
  <c r="N38" i="1"/>
  <c r="J38" i="1"/>
  <c r="N37" i="1"/>
  <c r="J37" i="1"/>
  <c r="N36" i="1"/>
  <c r="J36" i="1"/>
  <c r="N35" i="1"/>
  <c r="J35" i="1"/>
  <c r="N34" i="1"/>
  <c r="J34" i="1"/>
  <c r="N33" i="1"/>
  <c r="J33" i="1"/>
  <c r="N32" i="1"/>
  <c r="J32" i="1"/>
  <c r="N31" i="1"/>
  <c r="J31" i="1"/>
  <c r="N30" i="1"/>
  <c r="J30" i="1"/>
  <c r="N29" i="1"/>
  <c r="J29" i="1"/>
  <c r="N28" i="1"/>
  <c r="J28" i="1"/>
  <c r="N27" i="1"/>
  <c r="J27" i="1"/>
  <c r="N26" i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<sst xmlns="http://schemas.openxmlformats.org/spreadsheetml/2006/main" count="4781" uniqueCount="426">
  <si>
    <t>Domande Pagate Decreto 67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</si>
  <si>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</si>
  <si>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</si>
  <si>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</si>
  <si>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</si>
  <si>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</si>
  <si>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</si>
  <si>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</si>
  <si>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</si>
  <si>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</si>
  <si>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</si>
  <si>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</si>
  <si>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</si>
  <si>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</si>
  <si>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</si>
  <si>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</si>
  <si>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</si>
  <si>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</si>
  <si>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</si>
  <si>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</si>
  <si>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</si>
  <si>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</si>
  <si>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</si>
  <si>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</si>
  <si>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</si>
  <si>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</si>
  <si>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</si>
  <si>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</si>
  <si>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</si>
  <si>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IN PROPRIO</t>
  </si>
  <si>
    <t>Ufficio Utente Qualificato</t>
  </si>
  <si>
    <t>CAA COLDIRETTI S.R.L.</t>
  </si>
  <si>
    <t>CAA Coldiretti - ANCONA - 002</t>
  </si>
  <si>
    <t>SERV. DEC. AGRICOLTURA E ALIMENTAZIONE - ANCONA</t>
  </si>
  <si>
    <t>PSP Programmazione 2023/2027</t>
  </si>
  <si>
    <t>SRB01</t>
  </si>
  <si>
    <t>LOCCI SANDRO</t>
  </si>
  <si>
    <t>Istruttoria Automatica</t>
  </si>
  <si>
    <t>Erogata</t>
  </si>
  <si>
    <t>Saldo</t>
  </si>
  <si>
    <t>Co-Finanziato</t>
  </si>
  <si>
    <t>CAA Coldiretti srl</t>
  </si>
  <si>
    <t>CAA Coldiretti - MACERATA - 017</t>
  </si>
  <si>
    <t>SERV. DEC. AGRICOLTURA E ALIM. - MACERATA</t>
  </si>
  <si>
    <t>ANGELONI ROSA</t>
  </si>
  <si>
    <t>CAA CIA srl</t>
  </si>
  <si>
    <t>CAA CIA - ANCONA - 005</t>
  </si>
  <si>
    <t>CAA CIA</t>
  </si>
  <si>
    <t>PINTI MARIELLA</t>
  </si>
  <si>
    <t>CAA Coldiretti - PESARO E URBINO - 001</t>
  </si>
  <si>
    <t>CAA CIA - PESARO E URBINO - 007</t>
  </si>
  <si>
    <t>SERV. DEC. AGRICOLTURA E ALIMENTAZIONE - PESARO</t>
  </si>
  <si>
    <t>SABBATINI DAVID</t>
  </si>
  <si>
    <t>CAA Coldiretti - PESARO E URBINO - 013</t>
  </si>
  <si>
    <t>CARONI GIORGIO</t>
  </si>
  <si>
    <t>GAMBINI MARINO</t>
  </si>
  <si>
    <t>RE SOLE SOCIETA' AGRICOLA SRL</t>
  </si>
  <si>
    <t>CAA Coldiretti - PESARO E URBINO - 008</t>
  </si>
  <si>
    <t>PAGNANELLI MAURIZIO</t>
  </si>
  <si>
    <t>BRICCA PIERANGELO</t>
  </si>
  <si>
    <t>SOCIETA' AGRICOLA SCALONI DARIO &amp; VINCENZO S.S.</t>
  </si>
  <si>
    <t>BETTI DAVID</t>
  </si>
  <si>
    <t>CAA LiberiAgricoltori srl già CAA AGCI srl</t>
  </si>
  <si>
    <t>CAA LiberiAgricoltori - PESARO E URBINO - 001</t>
  </si>
  <si>
    <t>CAA LIBERIAGRICOLTORI S.R.L</t>
  </si>
  <si>
    <t>SOCIETA' AGRICOLA TERRE VERDI S.S.</t>
  </si>
  <si>
    <t>AMANTINI LINO</t>
  </si>
  <si>
    <t>CAA CIA - ASCOLI PICENO - 004</t>
  </si>
  <si>
    <t>SERV. DEC. AGRICOLTURA E ALIM. -ASCOLI PICENO</t>
  </si>
  <si>
    <t>SOCIETA' AGRICOLA MONSIGNORI S.S.</t>
  </si>
  <si>
    <t>CAA Coldiretti - ASCOLI PICENO - 025</t>
  </si>
  <si>
    <t>SOCIETA'AGRICOLA "PONTE ETE" DI LUPI EVA &amp; C.S.S.</t>
  </si>
  <si>
    <t>CAA Coldiretti - PESARO E URBINO - 004</t>
  </si>
  <si>
    <t>SOCIETA' AGRICOLA TERRA E SAPORI DI BALDACCIONI ROMINA E RAIMONDO S.S.</t>
  </si>
  <si>
    <t>CAA Coldiretti - ANCONA - 005</t>
  </si>
  <si>
    <t>MAGNONI DANIELE</t>
  </si>
  <si>
    <t>MARTINELLI MARICA</t>
  </si>
  <si>
    <t>FABIANI GIORGIO</t>
  </si>
  <si>
    <t>STALLA SOCIALE SAN PAOLO S.C.A R.L.</t>
  </si>
  <si>
    <t>CAA LiberiAgricoltori - MACERATA - 002</t>
  </si>
  <si>
    <t>MAGGI FEDERICA</t>
  </si>
  <si>
    <t>CAA LiberiAgricoltori - MACERATA - 003</t>
  </si>
  <si>
    <t>RICCIONI STEFANO</t>
  </si>
  <si>
    <t>BALSAMINI ROSELLA</t>
  </si>
  <si>
    <t>GRELLI ALBERTO</t>
  </si>
  <si>
    <t>RAFFEINER JACOB</t>
  </si>
  <si>
    <t>CAA CIA - PESARO E URBINO - 002</t>
  </si>
  <si>
    <t>PASSERI ADRIANO</t>
  </si>
  <si>
    <t>FULVI ERMANNO</t>
  </si>
  <si>
    <t>MAGNANI RENZO</t>
  </si>
  <si>
    <t>SOCIETA' AGRICOLA CRETE SENESI S.S.</t>
  </si>
  <si>
    <t>CAA CIA - PESARO E URBINO - 008</t>
  </si>
  <si>
    <t>AZIENDA AGRICOLA FORLANI MILVA &amp; BILANCINI CLAUDIO SOCIETA' AGRICOLA S</t>
  </si>
  <si>
    <t>CAA CIA - PESARO E URBINO - 005</t>
  </si>
  <si>
    <t>VITALINI GIUSEPPE</t>
  </si>
  <si>
    <t>LETIZI FERDINANDO</t>
  </si>
  <si>
    <t>CAA LiberiAgricoltori - MACERATA - 005</t>
  </si>
  <si>
    <t>SOC.AGR.ZOOTECNICA ANTICA SIBILLA S.S.</t>
  </si>
  <si>
    <t>ZAMPARINI ITALO</t>
  </si>
  <si>
    <t>BALDI ROBERTO</t>
  </si>
  <si>
    <t>MAGNONI GIOVANNI</t>
  </si>
  <si>
    <t>ABDYRRAHMANI MAJLINDA</t>
  </si>
  <si>
    <t>MARZIALI PASQUALE</t>
  </si>
  <si>
    <t>SOCIETA' AGRICOLA CA' LANTE S.S.</t>
  </si>
  <si>
    <t>SOCIETA' AGRICOLA AGRIENERGETICA S.R.L.</t>
  </si>
  <si>
    <t>AUTORINO LORENZO</t>
  </si>
  <si>
    <t>BERI MARISA</t>
  </si>
  <si>
    <t>FIECCHI LUCIANO</t>
  </si>
  <si>
    <t>GROSSI RINO</t>
  </si>
  <si>
    <t>BARTOLUCCI GABRIELE</t>
  </si>
  <si>
    <t>ROMITI GIANMARCO</t>
  </si>
  <si>
    <t>TINI PATRIZIA</t>
  </si>
  <si>
    <t>ROSSI GIOVANNI ALFREDO</t>
  </si>
  <si>
    <t>PAGLIARINI TIZIANA</t>
  </si>
  <si>
    <t>CUGURU ANNA</t>
  </si>
  <si>
    <t>CAA Coldiretti - PERUGIA - 006</t>
  </si>
  <si>
    <t>AMBROGI FRANCESCA</t>
  </si>
  <si>
    <t>MACCARONI LORIS E ANTONIO</t>
  </si>
  <si>
    <t>LOCCI ARTEMIO</t>
  </si>
  <si>
    <t>CAA Coldiretti - PESARO E URBINO - 006</t>
  </si>
  <si>
    <t>BLASI MARILENA</t>
  </si>
  <si>
    <t>GRANDONI CORRADO</t>
  </si>
  <si>
    <t>CAA CIA - ASCOLI PICENO - 005</t>
  </si>
  <si>
    <t>GRAVUCCI MARIO</t>
  </si>
  <si>
    <t>BRUNI ANDREA</t>
  </si>
  <si>
    <t>AGRARIA 1906 SNC DI PRETELLI FRANCESCO E DE ANGELI GIORGIA SOCIETA' AG</t>
  </si>
  <si>
    <t>CAA LiberiAgricoltori - MACERATA - 001</t>
  </si>
  <si>
    <t>PARENZA GIACOMO</t>
  </si>
  <si>
    <t>CAA Confagricoltura srl</t>
  </si>
  <si>
    <t>CAA Confagricoltura - ASCOLI PICENO - 001</t>
  </si>
  <si>
    <t>CAA CONFAGRICOLTURA S.R.L.</t>
  </si>
  <si>
    <t>PAPEROGA SOCIETA' AGRICOLA SEMPLICE DI BAGALINI ALFIOE C</t>
  </si>
  <si>
    <t>COFANI ROMUALDO</t>
  </si>
  <si>
    <t>GLI ANGELI DI NONNO EZIO SOCIETA' AGRICOLA A RESPONSABILITA' LIMITATA</t>
  </si>
  <si>
    <t>MATTEUCCI MICHELE</t>
  </si>
  <si>
    <t>TENUTE DEL MONTEFELTRO SOCIETA' AGRICOLA S.S.</t>
  </si>
  <si>
    <t>CAA UNICAA srl</t>
  </si>
  <si>
    <t>CAA UNICAA - ASCOLI PICENO - 003</t>
  </si>
  <si>
    <t>CAA UNICAA</t>
  </si>
  <si>
    <t>FIORI FRANCESCO</t>
  </si>
  <si>
    <t>CAA Coldiretti - MACERATA - 007</t>
  </si>
  <si>
    <t>PARIS ELIO</t>
  </si>
  <si>
    <t>BETTI SERENA</t>
  </si>
  <si>
    <t>TIBONI RINO</t>
  </si>
  <si>
    <t>FADDA LUCIANO E MARIO SOCIETA' SEMPLICE</t>
  </si>
  <si>
    <t>BALDELLI MATTIA</t>
  </si>
  <si>
    <t>TOMASSETTI DANIELE</t>
  </si>
  <si>
    <t>ARBAU PIERO E SALVATORE SOC SEMPLICE</t>
  </si>
  <si>
    <t>CAA Confagricoltura - PERUGIA - 006</t>
  </si>
  <si>
    <t>OTTAVIANI MARCO</t>
  </si>
  <si>
    <t>ANTOGNOLI MICHELE</t>
  </si>
  <si>
    <t>TIBERI TIZIANO</t>
  </si>
  <si>
    <t>CAA Confagricoltura - PESARO E URBINO - 001</t>
  </si>
  <si>
    <t>SOCIETA' AGRICOLA BIEFFE SRL</t>
  </si>
  <si>
    <t>CAA Coldiretti - PESARO E URBINO - 010</t>
  </si>
  <si>
    <t>SOCIETA' AGRICOLA BENEDETTI MASSIMO E NAZZARENO SS</t>
  </si>
  <si>
    <t>MENNECOZZI PIA</t>
  </si>
  <si>
    <t>SOCIETA' AGRICOLA SAN NICOLA S.S.</t>
  </si>
  <si>
    <t>SOCIETA' AGRICOLA GEMINI SRL</t>
  </si>
  <si>
    <t>STORTINI DAVIDE</t>
  </si>
  <si>
    <t>MENCARINI DANIELE</t>
  </si>
  <si>
    <t>SUBISSATI SIMONE</t>
  </si>
  <si>
    <t>BERARDI GIANCARLO</t>
  </si>
  <si>
    <t>CAA Coldiretti - PESARO E URBINO - 007</t>
  </si>
  <si>
    <t>VERGINETO SOCIETA' AGRICOLA SEMPLICE</t>
  </si>
  <si>
    <t>BASILISSI ALBERTO</t>
  </si>
  <si>
    <t>BOSSOLETTI LINDA</t>
  </si>
  <si>
    <t>SOCIETA' AGRICOLA MONTEGEMMO DI ZEPPA FILIPPO &amp; C. S.A.S.</t>
  </si>
  <si>
    <t>WEISSANG FRAUKE HEDWIG</t>
  </si>
  <si>
    <t>CAA Coldiretti - FERMO - 001</t>
  </si>
  <si>
    <t>BURATTI SILVANA</t>
  </si>
  <si>
    <t>CAA-CAF AGRI S.R.L.</t>
  </si>
  <si>
    <t>CAA CAF AGRI - ASCOLI PICENO - 223</t>
  </si>
  <si>
    <t>VIGNAROLI GIOVANNI</t>
  </si>
  <si>
    <t>FERRETTI GIUSEPPE PAUL</t>
  </si>
  <si>
    <t>SILVERI LUCA</t>
  </si>
  <si>
    <t>PUGNALI DOMENICO</t>
  </si>
  <si>
    <t>SERRI SILVANA</t>
  </si>
  <si>
    <t>VENNARUCCI MATTEO</t>
  </si>
  <si>
    <t>CAA Confagricoltura - MACERATA - 001</t>
  </si>
  <si>
    <t>COOPERATIVA AGRICOLA DI MECCIANO S.C.A.M. S.R.L.</t>
  </si>
  <si>
    <t>CAA LiberiAgricoltori - PESARO E URBINO - 002</t>
  </si>
  <si>
    <t>V.E.S. DI ANTONIUCCI ROBERTO &amp; C. SNC</t>
  </si>
  <si>
    <t>SOCIETA' AGRICOLA BORDINI ADOLFO E ANTONIO S.S.</t>
  </si>
  <si>
    <t>CAPANNINI SIMONE</t>
  </si>
  <si>
    <t>MULATTIERI MELISSA</t>
  </si>
  <si>
    <t>FEDELI GIUSEPPE</t>
  </si>
  <si>
    <t>LA FATTORIA DI MIA SOCIETA' AGRICOLA SEMPLICE DI ROSSI FRANCESCO E ROS</t>
  </si>
  <si>
    <t>POLITI MATTEO</t>
  </si>
  <si>
    <t>MOCHI II SOCIETA' AGRICOLA S.S.</t>
  </si>
  <si>
    <t>SOCIETA' AGRICOLA LA.CRI.MA. VERDE S.S.</t>
  </si>
  <si>
    <t>SOCIETA' AGRICOLA CONFORTI LUCIANO &amp; SIMONE S.S.</t>
  </si>
  <si>
    <t>PICCHIO MICHELE</t>
  </si>
  <si>
    <t>PONTE DELL'ARMELLINA SOCIETA' AGRICOLA A R.L.</t>
  </si>
  <si>
    <t>DE LEO PIERLAMBERTO</t>
  </si>
  <si>
    <t>PAOLUCCI LUCIANO</t>
  </si>
  <si>
    <t>NUOVA AGRIMM</t>
  </si>
  <si>
    <t>NUOVA AGRIMM - RIMINI - 006</t>
  </si>
  <si>
    <t>NUOVA AGRIMM S.R.L.</t>
  </si>
  <si>
    <t>GABRIELLI GIORGIO</t>
  </si>
  <si>
    <t>SOCIETA' AGRICOLA "IL PICCHIO BIO" DI TROTTINI SARA E PICCHIO MICHELE</t>
  </si>
  <si>
    <t>SOCIETA' AGRICOLA LANA CARLO E RICCARDO S.S.</t>
  </si>
  <si>
    <t>BRUNORI SIMONA</t>
  </si>
  <si>
    <t>MANIERI SERGIO</t>
  </si>
  <si>
    <t>AGAMENNONE MARCO</t>
  </si>
  <si>
    <t>IEZZI GIUSEPPE</t>
  </si>
  <si>
    <t>CAA CAF AGRI - ANCONA - 223</t>
  </si>
  <si>
    <t>GUIDI ANTONELLA</t>
  </si>
  <si>
    <t>BARTOLUCCI DANIELE</t>
  </si>
  <si>
    <t>TOMASSINI FABRIZIO</t>
  </si>
  <si>
    <t>FIECCHI GIUSEPPE</t>
  </si>
  <si>
    <t>SPADONI EMANUELE</t>
  </si>
  <si>
    <t>SOCIETA' AGRICOLA BARZOTTI ALDO E FIGLI S.S.</t>
  </si>
  <si>
    <t>SOCIETA' AGRICOLA MERELLI MARCELLO E C. S.S.</t>
  </si>
  <si>
    <t>CAA CIA - ASCOLI PICENO - 001</t>
  </si>
  <si>
    <t>PICCIONI GIOVANNI</t>
  </si>
  <si>
    <t>CAA UNICAA - ANCONA - 003</t>
  </si>
  <si>
    <t>CICCOLINI GIOVANNI</t>
  </si>
  <si>
    <t>SOCIETA' AGRICOLA VERDEPIANO S.S.</t>
  </si>
  <si>
    <t>MICHELI SIMONETTA</t>
  </si>
  <si>
    <t>SOCIETA' AGRICOLA ROMANINI DOMENICO E ALESSANDRO SOCIETA' SEMPLIC E</t>
  </si>
  <si>
    <t>SOCIETA' AGRICOLA FABRIZI VENANZO FABRIZIO E LIBERTI ENZA S.S.</t>
  </si>
  <si>
    <t>SOCIETA' AGRICOLA TERRE DI RAFFAELLO S.S.</t>
  </si>
  <si>
    <t>RUGOLETTI CARLA</t>
  </si>
  <si>
    <t>ALESSI GASPARE</t>
  </si>
  <si>
    <t>BAIONI MARIO</t>
  </si>
  <si>
    <t>MAROCHI FABIO</t>
  </si>
  <si>
    <t>POSSANZA EUGENIO</t>
  </si>
  <si>
    <t>BONAVENTURA RACHELE</t>
  </si>
  <si>
    <t>CAA Coldiretti - ASCOLI PICENO - 010</t>
  </si>
  <si>
    <t>LAURI LUIGI</t>
  </si>
  <si>
    <t>MATTEI LIVIANA</t>
  </si>
  <si>
    <t>SOCIETA' AGRICOLA VICHI PIETRO E DANIELE S.S.</t>
  </si>
  <si>
    <t>CAI Toscana</t>
  </si>
  <si>
    <t>CAI Toscana - AREZZO - 008</t>
  </si>
  <si>
    <t>CENTRO ASSISTENZA IMPRESE COLDIRETTI TOSCANA SRL</t>
  </si>
  <si>
    <t>FABBRETTI CIPRIANO E FABIO SOCIETA' AGRICOLA S.S.</t>
  </si>
  <si>
    <t>CHIESI FABIO</t>
  </si>
  <si>
    <t>SEPI-CAMERESI VALERIO</t>
  </si>
  <si>
    <t>SOCIETA' AGRICOLA ORPELLO S.S.</t>
  </si>
  <si>
    <t>PAZZAGLIA ADRIANO</t>
  </si>
  <si>
    <t>FRANCHINI FRANCO FRANCESCO</t>
  </si>
  <si>
    <t>SISINI GIUSEPPE</t>
  </si>
  <si>
    <t>SOCIETA' AGRICOLA LA COLLINA DELLE FATE S.R.L.</t>
  </si>
  <si>
    <t>BALDACCIONI GIUSEPPE</t>
  </si>
  <si>
    <t>RICCIONI NATALE</t>
  </si>
  <si>
    <t>LISI ARGO</t>
  </si>
  <si>
    <t>PACI TIZIANA</t>
  </si>
  <si>
    <t>FEDERONI MARINO</t>
  </si>
  <si>
    <t>SOCIETA' AGRICOLA BRUSCOLI MARIANNA &amp; C. S.S.</t>
  </si>
  <si>
    <t>BACIANI PIERPAOLA</t>
  </si>
  <si>
    <t>SOCIETA' AGRICOLA FERRI S.S.</t>
  </si>
  <si>
    <t>CANCELLIERI GIANFRANCO</t>
  </si>
  <si>
    <t>SOCIETA' AGRICOLA ROSASPINA S.S.</t>
  </si>
  <si>
    <t>SOCIETA' AGRICOLA MA.FRA DI ROSSI FRANCESCA E BUCCOLINI MARTA S.S.</t>
  </si>
  <si>
    <t>CAVERNI SOCIETA' AGRICOLA SEMPLICE</t>
  </si>
  <si>
    <t>SOCIETA' AGRICOLA ILARI LUIGI S.S.</t>
  </si>
  <si>
    <t>GIAMBARTOLOMEI GIANNINO</t>
  </si>
  <si>
    <t>CALDARIGI GIAMPIERO</t>
  </si>
  <si>
    <t>MORLACCA ERRI</t>
  </si>
  <si>
    <t>CICCOLINI GIANLUIGI</t>
  </si>
  <si>
    <t>BONIFAZI DONATO</t>
  </si>
  <si>
    <t>EREDI DI PACIONI PIETRO ADORNO E GRILLI GIOCONDA SOC.SEMPLICE</t>
  </si>
  <si>
    <t>SOCIETA' AGRICOLA ALLEGRETTI S.S.</t>
  </si>
  <si>
    <t>GAMBINI LARA</t>
  </si>
  <si>
    <t>MORETTI ALVARO</t>
  </si>
  <si>
    <t>POCOGNOLI REMIGIO</t>
  </si>
  <si>
    <t>CESARI INNOCENZO</t>
  </si>
  <si>
    <t>TAGNANI DANIELE</t>
  </si>
  <si>
    <t>CAA Coldiretti - MACERATA - 009</t>
  </si>
  <si>
    <t>VERDE PIU' DI SCATTOLINI MATTIA &amp; C. S.S. SOCIETA' AGRICOLA</t>
  </si>
  <si>
    <t>TENAGLIA MAURA</t>
  </si>
  <si>
    <t>CATANI SONIA</t>
  </si>
  <si>
    <t>TREGGIARI STEFANO</t>
  </si>
  <si>
    <t>LILLI FIORLINDA</t>
  </si>
  <si>
    <t>PAGLIARI GABRIELE</t>
  </si>
  <si>
    <t>CUGURU NINO</t>
  </si>
  <si>
    <t>MINUTELLI SEMIKOLENNYKH ILYA</t>
  </si>
  <si>
    <t>SOCIETA' AGRICOLA CASULA</t>
  </si>
  <si>
    <t>FERRETTI PAOLO</t>
  </si>
  <si>
    <t>SOCIETA' AGRICOLA TROTICOLTURA CHERUBINI S.N.C. DI CHERUBINI STEFANO E</t>
  </si>
  <si>
    <t>CECCHINI DANIELE</t>
  </si>
  <si>
    <t>PIERAGOSTINI ATTILIO</t>
  </si>
  <si>
    <t>ARPINI MIRKO</t>
  </si>
  <si>
    <t>VAL DI FIBBIO SOCIETA' AGRICOLA S.A.S. DI GALLETTI GIULIANA &amp; C.</t>
  </si>
  <si>
    <t>BOZZI GIOVANNI</t>
  </si>
  <si>
    <t>FICCADENTI FRANCESCO</t>
  </si>
  <si>
    <t>VENANZETTI EMANUELA</t>
  </si>
  <si>
    <t>FOSCOLI PAOLO</t>
  </si>
  <si>
    <t>CARLI LUCIANO</t>
  </si>
  <si>
    <t>BALLANTI GUIDO</t>
  </si>
  <si>
    <t>LORENZETTI MATTIA</t>
  </si>
  <si>
    <t>GAMBINI MAURIZIO</t>
  </si>
  <si>
    <t>MOCCI MARCO</t>
  </si>
  <si>
    <t>BERLONI ROBERTO</t>
  </si>
  <si>
    <t>STANGONI GUIDO</t>
  </si>
  <si>
    <t>CAA UNICAA - PESARO E URBINO - 003</t>
  </si>
  <si>
    <t>SOC.AGR.FARINELLI ELENA E LUCIANO</t>
  </si>
  <si>
    <t>CAA CAF AGRI - MACERATA - 224</t>
  </si>
  <si>
    <t>MAGGI YURI</t>
  </si>
  <si>
    <t>TRENTA VALENTINA</t>
  </si>
  <si>
    <t>RAGNI JULIAN</t>
  </si>
  <si>
    <t>MONTI FILIPPO</t>
  </si>
  <si>
    <t>FIORELLI DIEGO</t>
  </si>
  <si>
    <t>GAMBINI GABRIELE</t>
  </si>
  <si>
    <t>COMEDINI GIORGIO</t>
  </si>
  <si>
    <t>GABELLINI GABRIELE-DOMENICO</t>
  </si>
  <si>
    <t>SOCIETA' AGRICOLA RAIKA BIO S.S.</t>
  </si>
  <si>
    <t>ANSOVINI LUCA</t>
  </si>
  <si>
    <t>SIBILLA SOCIETA' AGRICOLA S.R.L. A CAPITALE RIDOTTO</t>
  </si>
  <si>
    <t>ING. AGAR SORBATTI 1900 S.R.L. SOCIETA' AGRICOLA</t>
  </si>
  <si>
    <t>IL BIOLOGICO DEL PERSICO SOCIETA' AGRICOLA S.S.</t>
  </si>
  <si>
    <t>POCOGNOLI RENATO</t>
  </si>
  <si>
    <t>MONTEFELTRO FORAGGI S.R.L.</t>
  </si>
  <si>
    <t>FABBRIZI DAVID</t>
  </si>
  <si>
    <t>SOCIETA' AGRICOLA "LA VESCIARIA" S.S.</t>
  </si>
  <si>
    <t>TROIANI FABIO-MASSIMO</t>
  </si>
  <si>
    <t>DI AGOSTINI ANTONIETTA</t>
  </si>
  <si>
    <t>BULDRINI SIMONE</t>
  </si>
  <si>
    <t>CAA CIA - MACERATA - 001</t>
  </si>
  <si>
    <t>QUACQUARINI LANFRANCO</t>
  </si>
  <si>
    <t>FENUCCI UGO</t>
  </si>
  <si>
    <t>CARBONARI ANTONELLA</t>
  </si>
  <si>
    <t>CAMOSCI TONINO</t>
  </si>
  <si>
    <t>DEL ROMANO ROBERTO</t>
  </si>
  <si>
    <t>EGIDI SERGIO</t>
  </si>
  <si>
    <t>FALCONI MICHELE</t>
  </si>
  <si>
    <t>TEMPESTINI FRANCESCO</t>
  </si>
  <si>
    <t>SOCIETA' AGRICOLA MINUTELLI S.S. DI BARBIERI MASSIMO &amp; C.</t>
  </si>
  <si>
    <t>TRAVAGLIATI GIUSEPPE</t>
  </si>
  <si>
    <t>DE SCRILLI VINCENZO &amp; GIULIA S.S.</t>
  </si>
  <si>
    <t>NUCCI DAVIDE</t>
  </si>
  <si>
    <t>SOCIETA' AGRICOLA TODO S.S.</t>
  </si>
  <si>
    <t>MAGGI NAZZARENO</t>
  </si>
  <si>
    <t>CARELLI MARCELLO</t>
  </si>
  <si>
    <t>FIORANI LUIGI</t>
  </si>
  <si>
    <t>BETTI MAURIZIO</t>
  </si>
  <si>
    <t>DIMENSIONE NATURA SOC. COOP. SOCIALE A R.L.</t>
  </si>
  <si>
    <t>CAA Coldiretti - ANCONA - 006</t>
  </si>
  <si>
    <t>RUGGERI MIKI</t>
  </si>
  <si>
    <t>SOCIETA' AGRICOLA BRA.MA. S.R.L.</t>
  </si>
  <si>
    <t>MANCINELLI FABIO</t>
  </si>
  <si>
    <t>BRUNI MARCO</t>
  </si>
  <si>
    <t>RICCI SANDRO</t>
  </si>
  <si>
    <t>GIAMPAOLI FABIO</t>
  </si>
  <si>
    <t>MB SOCIETA' AGRICOLA S.S.</t>
  </si>
  <si>
    <t>SUIGI DANIELE</t>
  </si>
  <si>
    <t>MADRESELVI SERGIO</t>
  </si>
  <si>
    <t>ANGELI MIRKO</t>
  </si>
  <si>
    <t>SOCIETA' AGRICOLA ANGELI SOCIETA' SEMPLICE</t>
  </si>
  <si>
    <t>MARIANI MARTA</t>
  </si>
  <si>
    <t>ALLEVAMENTO DEI BEDOZZO E ASAM DI ASAM HUBERT J. &amp; C. SAS SOCIETA' AGR</t>
  </si>
  <si>
    <t>GRASSI ANGELA</t>
  </si>
  <si>
    <t>J.P. S.R.L.</t>
  </si>
  <si>
    <t>MENGARELLI FORTUNATO</t>
  </si>
  <si>
    <t>BERNARDI SERENA</t>
  </si>
  <si>
    <t>PAGNANELLI RENZO</t>
  </si>
  <si>
    <t>BARZOTTI GIORGIO</t>
  </si>
  <si>
    <t>FOGLIETTA FILIPPO</t>
  </si>
  <si>
    <t>NUNZI MARIA ROSA</t>
  </si>
  <si>
    <t>FONTEABETI SOCIETA' AGRICOLA S.R.L.</t>
  </si>
  <si>
    <t>PUGNALI EMO</t>
  </si>
  <si>
    <t>BICCHIARELLI GABRIELE</t>
  </si>
  <si>
    <t>ANGELI FABIO</t>
  </si>
  <si>
    <t>IRIDE 2021 S.S. SOCIETA' AGRICOLA</t>
  </si>
  <si>
    <t>FATTORI FRANCESCO</t>
  </si>
  <si>
    <t>FORLANI MILVA</t>
  </si>
  <si>
    <t>FUCILI FRANCO</t>
  </si>
  <si>
    <t>BIDUCCI ANDREA</t>
  </si>
  <si>
    <t>LOPUSAN VILIAM</t>
  </si>
  <si>
    <t>BALDARELLI DONATELLA</t>
  </si>
  <si>
    <t>MATTEI SIMONE</t>
  </si>
  <si>
    <t>STAFFOLANI NICOLA</t>
  </si>
  <si>
    <t>ROSELLI ANTONELLO</t>
  </si>
  <si>
    <t>TRIONFETTI DANIELE</t>
  </si>
  <si>
    <t>CAA Confagricoltura - ANCONA - 001</t>
  </si>
  <si>
    <t>LOV SOCIETA' AGRICOLA - SOCIETA' A RESPONSABILITA' LIMITATA</t>
  </si>
  <si>
    <t>LAURI FABIO</t>
  </si>
  <si>
    <t>MAISANO PAOLO</t>
  </si>
  <si>
    <t>GIANNINI ALFREDO</t>
  </si>
  <si>
    <t>NUCCI MARIA ROSITA</t>
  </si>
  <si>
    <t>EREDI DI FIOCCHI GIANNI SOCIETA' SEMPLICE AGRICOLA</t>
  </si>
  <si>
    <t>TAGNANI NAZZARENO E LORENZO S.S.</t>
  </si>
  <si>
    <t>CANTIANI GIUSEPPINA</t>
  </si>
  <si>
    <t>BARTOLI MARIA-ADELE</t>
  </si>
  <si>
    <t>MARONCELLI MARIA - PIA</t>
  </si>
  <si>
    <t>SOCIETA' AGRICOLA SABBATINI S.S.</t>
  </si>
  <si>
    <t>FRATELLI GRASSI SOCIETA' AGRICOLA S.S.</t>
  </si>
  <si>
    <t>FERRI MAURO</t>
  </si>
  <si>
    <t>FIORUCCI GIANFRANCO</t>
  </si>
  <si>
    <t>CAA LiberiAgricoltori - MACERATA - 004</t>
  </si>
  <si>
    <t>CHIAPPINI GIANFRANCO</t>
  </si>
  <si>
    <t>RASTELLI SILVIA</t>
  </si>
  <si>
    <t>ZOCCOLANTI DEMIS</t>
  </si>
  <si>
    <t>POLI MICHELA</t>
  </si>
  <si>
    <t>FORMICA GIANLUCA</t>
  </si>
  <si>
    <t>DI COSMO CLAUDIA</t>
  </si>
  <si>
    <t>AZIENDA AGRICOLA RICCIONI SS</t>
  </si>
  <si>
    <t>CAI Emilia Rom.</t>
  </si>
  <si>
    <t>CAI Emilia Rom. - RIMINI - 002</t>
  </si>
  <si>
    <t>CENTRO ASSISTENZA IMPRESE COLDIRETTI EMILIA-ROMAGNA S.R.L.</t>
  </si>
  <si>
    <t>AGRICOLA GIARDINO DI GALANTI LORIANA E C. S.A.S.</t>
  </si>
  <si>
    <t>CAA C.A.N.A.P.A. srl</t>
  </si>
  <si>
    <t>CAA C.A.N.A.P.A. - RIETI - 001</t>
  </si>
  <si>
    <t>CAA CENTRO AUT.NAZ.ASS.PRODUTTORI AGRICOLI S.R.L.</t>
  </si>
  <si>
    <t>MARELLA GIOVANNI</t>
  </si>
  <si>
    <t>GRELLI ILARIA</t>
  </si>
  <si>
    <t>FATTORIA ROSY - SOCIETA' SEMPLICE AGRICOLA DI MANOLO FUNARI</t>
  </si>
  <si>
    <t>CANGIARI DAVIDE</t>
  </si>
  <si>
    <t>AGRIBIOLOGICA SOCIETA' AGRICOLA SEMPLICE</t>
  </si>
  <si>
    <t>TOMMASOLI ANNA DOMENICA</t>
  </si>
  <si>
    <t>SOCIETA AGRICOLA BLASI RICCARDO E ROBERTO SS</t>
  </si>
  <si>
    <t>CAA CIA - PESARO E URBINO - 001</t>
  </si>
  <si>
    <t>LA CARDEA SOCIETA' AGRICOLA S.S.</t>
  </si>
  <si>
    <t>CARDELLINI GIORGIO</t>
  </si>
  <si>
    <t>MARIANI PIERANGELO</t>
  </si>
  <si>
    <t>BARTOLUCCI MARINA</t>
  </si>
  <si>
    <t>BELLINI GIANLUCA</t>
  </si>
  <si>
    <t>SOCIETA' AGRICOLA AZIENDE BIOLOGICHE RIUNITE MARCHE S.S.</t>
  </si>
  <si>
    <t>CAROBINI SOCIETA' AGRICOLA S.S.</t>
  </si>
  <si>
    <t>PETRETI ANNA MARIA</t>
  </si>
  <si>
    <t>AZIENDA AGRICOLA SBAFFI SOCIETA' SEMPLICE</t>
  </si>
  <si>
    <t>AZIENDA SANTA BARBARA S.R.L.</t>
  </si>
  <si>
    <t>CECCAROLI FAUSTO</t>
  </si>
  <si>
    <t>MASCIOLI KETTY</t>
  </si>
  <si>
    <t>MARCONI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</si>
</sst>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0"/>
  <sheetViews>
    <sheetView showGridLines="0" tabSelected="1" workbookViewId="0">
      <selection activeCell="P3" sqref="P3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6.42578125" style="1" bestFit="1" customWidth="1"/>
    <col min="6" max="6" width="36.5703125" style="1" bestFit="1" customWidth="1"/>
    <col min="7" max="7" width="36.4257812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3.14062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24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>
        <v>2025</v>
      </c>
      <c r="J4" s="3" t="str">
        <f>CONCATENATE("54820042890")</f>
        <v>54820042890</v>
      </c>
      <c r="K4" s="3" t="s">
        <v>34</v>
      </c>
      <c r="L4" s="3"/>
      <c r="M4" s="3" t="s">
        <v>35</v>
      </c>
      <c r="N4" s="3" t="str">
        <f>CONCATENATE("LCCSDR78D12D451E")</f>
        <v>LCCSDR78D12D451E</v>
      </c>
      <c r="O4" s="3" t="s">
        <v>36</v>
      </c>
      <c r="P4" s="3" t="s">
        <v>37</v>
      </c>
      <c r="Q4" s="3"/>
      <c r="R4" s="4">
        <v>46058</v>
      </c>
      <c r="S4" s="3" t="s">
        <v>38</v>
      </c>
      <c r="T4" s="3" t="s">
        <v>39</v>
      </c>
      <c r="U4" s="3" t="s">
        <v>40</v>
      </c>
      <c r="V4" s="3">
        <v>110.59</v>
      </c>
      <c r="W4" s="3">
        <v>47</v>
      </c>
      <c r="X4" s="3">
        <v>44.51</v>
      </c>
      <c r="Y4" s="3">
        <v>19.079999999999998</v>
      </c>
    </row>
    <row r="5" spans="1:25" x14ac:dyDescent="0.25">
      <c r="A5" s="3" t="s">
        <v>26</v>
      </c>
      <c r="B5" s="3" t="s">
        <v>27</v>
      </c>
      <c r="C5" s="3" t="s">
        <v>28</v>
      </c>
      <c r="D5" s="3" t="s">
        <v>41</v>
      </c>
      <c r="E5" s="3" t="s">
        <v>42</v>
      </c>
      <c r="F5" s="3" t="s">
        <v>31</v>
      </c>
      <c r="G5" s="3" t="s">
        <v>42</v>
      </c>
      <c r="H5" s="3" t="s">
        <v>43</v>
      </c>
      <c r="I5" s="3">
        <v>2025</v>
      </c>
      <c r="J5" s="3" t="str">
        <f>CONCATENATE("54820175302")</f>
        <v>54820175302</v>
      </c>
      <c r="K5" s="3" t="s">
        <v>34</v>
      </c>
      <c r="L5" s="3"/>
      <c r="M5" s="3" t="s">
        <v>35</v>
      </c>
      <c r="N5" s="3" t="str">
        <f>CONCATENATE("NGLRSO64D69B474W")</f>
        <v>NGLRSO64D69B474W</v>
      </c>
      <c r="O5" s="3" t="s">
        <v>44</v>
      </c>
      <c r="P5" s="3" t="s">
        <v>37</v>
      </c>
      <c r="Q5" s="3"/>
      <c r="R5" s="4">
        <v>46058</v>
      </c>
      <c r="S5" s="3" t="s">
        <v>38</v>
      </c>
      <c r="T5" s="3" t="s">
        <v>39</v>
      </c>
      <c r="U5" s="3" t="s">
        <v>40</v>
      </c>
      <c r="V5" s="3">
        <v>349.5</v>
      </c>
      <c r="W5" s="3">
        <v>148.54</v>
      </c>
      <c r="X5" s="3">
        <v>140.66999999999999</v>
      </c>
      <c r="Y5" s="3">
        <v>60.29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45</v>
      </c>
      <c r="E6" s="3" t="s">
        <v>46</v>
      </c>
      <c r="F6" s="3" t="s">
        <v>47</v>
      </c>
      <c r="G6" s="3" t="s">
        <v>46</v>
      </c>
      <c r="H6" s="3" t="s">
        <v>33</v>
      </c>
      <c r="I6" s="3">
        <v>2025</v>
      </c>
      <c r="J6" s="3" t="str">
        <f>CONCATENATE("54820089081")</f>
        <v>54820089081</v>
      </c>
      <c r="K6" s="3" t="s">
        <v>34</v>
      </c>
      <c r="L6" s="3"/>
      <c r="M6" s="3" t="s">
        <v>35</v>
      </c>
      <c r="N6" s="3" t="str">
        <f>CONCATENATE("PNTMLL50P59I653E")</f>
        <v>PNTMLL50P59I653E</v>
      </c>
      <c r="O6" s="3" t="s">
        <v>48</v>
      </c>
      <c r="P6" s="3" t="s">
        <v>37</v>
      </c>
      <c r="Q6" s="3"/>
      <c r="R6" s="4">
        <v>46058</v>
      </c>
      <c r="S6" s="3" t="s">
        <v>38</v>
      </c>
      <c r="T6" s="3" t="s">
        <v>39</v>
      </c>
      <c r="U6" s="3" t="s">
        <v>40</v>
      </c>
      <c r="V6" s="3">
        <v>70.459999999999994</v>
      </c>
      <c r="W6" s="3">
        <v>29.95</v>
      </c>
      <c r="X6" s="3">
        <v>28.36</v>
      </c>
      <c r="Y6" s="3">
        <v>12.15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41</v>
      </c>
      <c r="E7" s="3" t="s">
        <v>49</v>
      </c>
      <c r="F7" s="3" t="s">
        <v>47</v>
      </c>
      <c r="G7" s="3" t="s">
        <v>50</v>
      </c>
      <c r="H7" s="3" t="s">
        <v>51</v>
      </c>
      <c r="I7" s="3">
        <v>2025</v>
      </c>
      <c r="J7" s="3" t="str">
        <f>CONCATENATE("54820073481")</f>
        <v>54820073481</v>
      </c>
      <c r="K7" s="3" t="s">
        <v>34</v>
      </c>
      <c r="L7" s="3"/>
      <c r="M7" s="3" t="s">
        <v>35</v>
      </c>
      <c r="N7" s="3" t="str">
        <f>CONCATENATE("SBBDVD76E01B352B")</f>
        <v>SBBDVD76E01B352B</v>
      </c>
      <c r="O7" s="3" t="s">
        <v>52</v>
      </c>
      <c r="P7" s="3" t="s">
        <v>37</v>
      </c>
      <c r="Q7" s="3"/>
      <c r="R7" s="4">
        <v>46058</v>
      </c>
      <c r="S7" s="3" t="s">
        <v>38</v>
      </c>
      <c r="T7" s="3" t="s">
        <v>39</v>
      </c>
      <c r="U7" s="3" t="s">
        <v>40</v>
      </c>
      <c r="V7" s="3">
        <v>153.11000000000001</v>
      </c>
      <c r="W7" s="3">
        <v>65.069999999999993</v>
      </c>
      <c r="X7" s="3">
        <v>61.63</v>
      </c>
      <c r="Y7" s="3">
        <v>26.41</v>
      </c>
    </row>
    <row r="8" spans="1:25" ht="24.75" x14ac:dyDescent="0.25">
      <c r="A8" s="3" t="s">
        <v>26</v>
      </c>
      <c r="B8" s="3" t="s">
        <v>27</v>
      </c>
      <c r="C8" s="3" t="s">
        <v>28</v>
      </c>
      <c r="D8" s="3" t="s">
        <v>41</v>
      </c>
      <c r="E8" s="3" t="s">
        <v>53</v>
      </c>
      <c r="F8" s="3" t="s">
        <v>31</v>
      </c>
      <c r="G8" s="3" t="s">
        <v>53</v>
      </c>
      <c r="H8" s="3" t="s">
        <v>51</v>
      </c>
      <c r="I8" s="3">
        <v>2025</v>
      </c>
      <c r="J8" s="3" t="str">
        <f>CONCATENATE("54820053392")</f>
        <v>54820053392</v>
      </c>
      <c r="K8" s="3" t="s">
        <v>34</v>
      </c>
      <c r="L8" s="3"/>
      <c r="M8" s="3" t="s">
        <v>35</v>
      </c>
      <c r="N8" s="3" t="str">
        <f>CONCATENATE("CRNGRG64E29D749C")</f>
        <v>CRNGRG64E29D749C</v>
      </c>
      <c r="O8" s="3" t="s">
        <v>54</v>
      </c>
      <c r="P8" s="3" t="s">
        <v>37</v>
      </c>
      <c r="Q8" s="3"/>
      <c r="R8" s="4">
        <v>46058</v>
      </c>
      <c r="S8" s="3" t="s">
        <v>38</v>
      </c>
      <c r="T8" s="3" t="s">
        <v>39</v>
      </c>
      <c r="U8" s="3" t="s">
        <v>40</v>
      </c>
      <c r="V8" s="3">
        <v>162.88999999999999</v>
      </c>
      <c r="W8" s="3">
        <v>69.23</v>
      </c>
      <c r="X8" s="3">
        <v>65.56</v>
      </c>
      <c r="Y8" s="3">
        <v>28.1</v>
      </c>
    </row>
    <row r="9" spans="1:25" ht="24.75" x14ac:dyDescent="0.25">
      <c r="A9" s="3" t="s">
        <v>26</v>
      </c>
      <c r="B9" s="3" t="s">
        <v>27</v>
      </c>
      <c r="C9" s="3" t="s">
        <v>28</v>
      </c>
      <c r="D9" s="3" t="s">
        <v>41</v>
      </c>
      <c r="E9" s="3" t="s">
        <v>53</v>
      </c>
      <c r="F9" s="3" t="s">
        <v>31</v>
      </c>
      <c r="G9" s="3" t="s">
        <v>53</v>
      </c>
      <c r="H9" s="3" t="s">
        <v>51</v>
      </c>
      <c r="I9" s="3">
        <v>2025</v>
      </c>
      <c r="J9" s="3" t="str">
        <f>CONCATENATE("54820149471")</f>
        <v>54820149471</v>
      </c>
      <c r="K9" s="3" t="s">
        <v>34</v>
      </c>
      <c r="L9" s="3"/>
      <c r="M9" s="3" t="s">
        <v>35</v>
      </c>
      <c r="N9" s="3" t="str">
        <f>CONCATENATE("GMBMRN50P08F497F")</f>
        <v>GMBMRN50P08F497F</v>
      </c>
      <c r="O9" s="3" t="s">
        <v>55</v>
      </c>
      <c r="P9" s="3" t="s">
        <v>37</v>
      </c>
      <c r="Q9" s="3"/>
      <c r="R9" s="4">
        <v>46058</v>
      </c>
      <c r="S9" s="3" t="s">
        <v>38</v>
      </c>
      <c r="T9" s="3" t="s">
        <v>39</v>
      </c>
      <c r="U9" s="3" t="s">
        <v>40</v>
      </c>
      <c r="V9" s="3">
        <v>942.47</v>
      </c>
      <c r="W9" s="3">
        <v>400.55</v>
      </c>
      <c r="X9" s="3">
        <v>379.34</v>
      </c>
      <c r="Y9" s="3">
        <v>162.58000000000001</v>
      </c>
    </row>
    <row r="10" spans="1:25" ht="24.75" x14ac:dyDescent="0.25">
      <c r="A10" s="3" t="s">
        <v>26</v>
      </c>
      <c r="B10" s="3" t="s">
        <v>27</v>
      </c>
      <c r="C10" s="3" t="s">
        <v>28</v>
      </c>
      <c r="D10" s="3" t="s">
        <v>45</v>
      </c>
      <c r="E10" s="3" t="s">
        <v>50</v>
      </c>
      <c r="F10" s="3" t="s">
        <v>47</v>
      </c>
      <c r="G10" s="3" t="s">
        <v>50</v>
      </c>
      <c r="H10" s="3" t="s">
        <v>51</v>
      </c>
      <c r="I10" s="3">
        <v>2025</v>
      </c>
      <c r="J10" s="3" t="str">
        <f>CONCATENATE("54820133111")</f>
        <v>54820133111</v>
      </c>
      <c r="K10" s="3" t="s">
        <v>34</v>
      </c>
      <c r="L10" s="3"/>
      <c r="M10" s="3" t="s">
        <v>35</v>
      </c>
      <c r="N10" s="3" t="str">
        <f>CONCATENATE("02344190414")</f>
        <v>02344190414</v>
      </c>
      <c r="O10" s="3" t="s">
        <v>56</v>
      </c>
      <c r="P10" s="3" t="s">
        <v>37</v>
      </c>
      <c r="Q10" s="3"/>
      <c r="R10" s="4">
        <v>46058</v>
      </c>
      <c r="S10" s="3" t="s">
        <v>38</v>
      </c>
      <c r="T10" s="3" t="s">
        <v>39</v>
      </c>
      <c r="U10" s="3" t="s">
        <v>40</v>
      </c>
      <c r="V10" s="3">
        <v>94.02</v>
      </c>
      <c r="W10" s="3">
        <v>39.96</v>
      </c>
      <c r="X10" s="3">
        <v>37.840000000000003</v>
      </c>
      <c r="Y10" s="3">
        <v>16.22</v>
      </c>
    </row>
    <row r="11" spans="1:25" ht="24.75" x14ac:dyDescent="0.25">
      <c r="A11" s="3" t="s">
        <v>26</v>
      </c>
      <c r="B11" s="3" t="s">
        <v>27</v>
      </c>
      <c r="C11" s="3" t="s">
        <v>28</v>
      </c>
      <c r="D11" s="3" t="s">
        <v>41</v>
      </c>
      <c r="E11" s="3" t="s">
        <v>57</v>
      </c>
      <c r="F11" s="3" t="s">
        <v>31</v>
      </c>
      <c r="G11" s="3" t="s">
        <v>57</v>
      </c>
      <c r="H11" s="3" t="s">
        <v>51</v>
      </c>
      <c r="I11" s="3">
        <v>2025</v>
      </c>
      <c r="J11" s="3" t="str">
        <f>CONCATENATE("54820179536")</f>
        <v>54820179536</v>
      </c>
      <c r="K11" s="3" t="s">
        <v>34</v>
      </c>
      <c r="L11" s="3"/>
      <c r="M11" s="3" t="s">
        <v>35</v>
      </c>
      <c r="N11" s="3" t="str">
        <f>CONCATENATE("PGNMRZ78P16L500N")</f>
        <v>PGNMRZ78P16L500N</v>
      </c>
      <c r="O11" s="3" t="s">
        <v>58</v>
      </c>
      <c r="P11" s="3" t="s">
        <v>37</v>
      </c>
      <c r="Q11" s="3"/>
      <c r="R11" s="4">
        <v>46058</v>
      </c>
      <c r="S11" s="3" t="s">
        <v>38</v>
      </c>
      <c r="T11" s="3" t="s">
        <v>39</v>
      </c>
      <c r="U11" s="3" t="s">
        <v>40</v>
      </c>
      <c r="V11" s="5">
        <v>6132.66</v>
      </c>
      <c r="W11" s="5">
        <v>2606.38</v>
      </c>
      <c r="X11" s="5">
        <v>2468.4</v>
      </c>
      <c r="Y11" s="5">
        <v>1057.8800000000001</v>
      </c>
    </row>
    <row r="12" spans="1:25" ht="24.75" x14ac:dyDescent="0.25">
      <c r="A12" s="3" t="s">
        <v>26</v>
      </c>
      <c r="B12" s="3" t="s">
        <v>27</v>
      </c>
      <c r="C12" s="3" t="s">
        <v>28</v>
      </c>
      <c r="D12" s="3" t="s">
        <v>41</v>
      </c>
      <c r="E12" s="3" t="s">
        <v>49</v>
      </c>
      <c r="F12" s="3" t="s">
        <v>31</v>
      </c>
      <c r="G12" s="3" t="s">
        <v>49</v>
      </c>
      <c r="H12" s="3" t="s">
        <v>51</v>
      </c>
      <c r="I12" s="3">
        <v>2025</v>
      </c>
      <c r="J12" s="3" t="str">
        <f>CONCATENATE("54820257530")</f>
        <v>54820257530</v>
      </c>
      <c r="K12" s="3" t="s">
        <v>34</v>
      </c>
      <c r="L12" s="3"/>
      <c r="M12" s="3" t="s">
        <v>35</v>
      </c>
      <c r="N12" s="3" t="str">
        <f>CONCATENATE("BRCPNG56R25A327B")</f>
        <v>BRCPNG56R25A327B</v>
      </c>
      <c r="O12" s="3" t="s">
        <v>59</v>
      </c>
      <c r="P12" s="3" t="s">
        <v>37</v>
      </c>
      <c r="Q12" s="3"/>
      <c r="R12" s="4">
        <v>46058</v>
      </c>
      <c r="S12" s="3" t="s">
        <v>38</v>
      </c>
      <c r="T12" s="3" t="s">
        <v>39</v>
      </c>
      <c r="U12" s="3" t="s">
        <v>40</v>
      </c>
      <c r="V12" s="5">
        <v>6967.9</v>
      </c>
      <c r="W12" s="5">
        <v>2961.36</v>
      </c>
      <c r="X12" s="5">
        <v>2804.58</v>
      </c>
      <c r="Y12" s="5">
        <v>1201.96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45</v>
      </c>
      <c r="E13" s="3" t="s">
        <v>46</v>
      </c>
      <c r="F13" s="3" t="s">
        <v>47</v>
      </c>
      <c r="G13" s="3" t="s">
        <v>46</v>
      </c>
      <c r="H13" s="3" t="s">
        <v>33</v>
      </c>
      <c r="I13" s="3">
        <v>2025</v>
      </c>
      <c r="J13" s="3" t="str">
        <f>CONCATENATE("54820132329")</f>
        <v>54820132329</v>
      </c>
      <c r="K13" s="3" t="s">
        <v>34</v>
      </c>
      <c r="L13" s="3"/>
      <c r="M13" s="3" t="s">
        <v>35</v>
      </c>
      <c r="N13" s="3" t="str">
        <f>CONCATENATE("01490770425")</f>
        <v>01490770425</v>
      </c>
      <c r="O13" s="3" t="s">
        <v>60</v>
      </c>
      <c r="P13" s="3" t="s">
        <v>37</v>
      </c>
      <c r="Q13" s="3"/>
      <c r="R13" s="4">
        <v>46058</v>
      </c>
      <c r="S13" s="3" t="s">
        <v>38</v>
      </c>
      <c r="T13" s="3" t="s">
        <v>39</v>
      </c>
      <c r="U13" s="3" t="s">
        <v>40</v>
      </c>
      <c r="V13" s="3">
        <v>424.08</v>
      </c>
      <c r="W13" s="3">
        <v>180.23</v>
      </c>
      <c r="X13" s="3">
        <v>170.69</v>
      </c>
      <c r="Y13" s="3">
        <v>73.16</v>
      </c>
    </row>
    <row r="14" spans="1:25" ht="24.75" x14ac:dyDescent="0.25">
      <c r="A14" s="3" t="s">
        <v>26</v>
      </c>
      <c r="B14" s="3" t="s">
        <v>27</v>
      </c>
      <c r="C14" s="3" t="s">
        <v>28</v>
      </c>
      <c r="D14" s="3" t="s">
        <v>41</v>
      </c>
      <c r="E14" s="3" t="s">
        <v>32</v>
      </c>
      <c r="F14" s="3" t="s">
        <v>31</v>
      </c>
      <c r="G14" s="3" t="s">
        <v>32</v>
      </c>
      <c r="H14" s="3" t="s">
        <v>33</v>
      </c>
      <c r="I14" s="3">
        <v>2025</v>
      </c>
      <c r="J14" s="3" t="str">
        <f>CONCATENATE("54820188008")</f>
        <v>54820188008</v>
      </c>
      <c r="K14" s="3" t="s">
        <v>34</v>
      </c>
      <c r="L14" s="3"/>
      <c r="M14" s="3" t="s">
        <v>35</v>
      </c>
      <c r="N14" s="3" t="str">
        <f>CONCATENATE("BTTDVD61P13D451P")</f>
        <v>BTTDVD61P13D451P</v>
      </c>
      <c r="O14" s="3" t="s">
        <v>61</v>
      </c>
      <c r="P14" s="3" t="s">
        <v>37</v>
      </c>
      <c r="Q14" s="3"/>
      <c r="R14" s="4">
        <v>46058</v>
      </c>
      <c r="S14" s="3" t="s">
        <v>38</v>
      </c>
      <c r="T14" s="3" t="s">
        <v>39</v>
      </c>
      <c r="U14" s="3" t="s">
        <v>40</v>
      </c>
      <c r="V14" s="5">
        <v>7570.61</v>
      </c>
      <c r="W14" s="5">
        <v>3217.51</v>
      </c>
      <c r="X14" s="5">
        <v>3047.17</v>
      </c>
      <c r="Y14" s="5">
        <v>1305.93</v>
      </c>
    </row>
    <row r="15" spans="1:25" ht="24.75" x14ac:dyDescent="0.25">
      <c r="A15" s="3" t="s">
        <v>26</v>
      </c>
      <c r="B15" s="3" t="s">
        <v>27</v>
      </c>
      <c r="C15" s="3" t="s">
        <v>28</v>
      </c>
      <c r="D15" s="3" t="s">
        <v>62</v>
      </c>
      <c r="E15" s="3" t="s">
        <v>63</v>
      </c>
      <c r="F15" s="3" t="s">
        <v>64</v>
      </c>
      <c r="G15" s="3" t="s">
        <v>63</v>
      </c>
      <c r="H15" s="3" t="s">
        <v>51</v>
      </c>
      <c r="I15" s="3">
        <v>2025</v>
      </c>
      <c r="J15" s="3" t="str">
        <f>CONCATENATE("54820080601")</f>
        <v>54820080601</v>
      </c>
      <c r="K15" s="3" t="s">
        <v>34</v>
      </c>
      <c r="L15" s="3"/>
      <c r="M15" s="3" t="s">
        <v>35</v>
      </c>
      <c r="N15" s="3" t="str">
        <f>CONCATENATE("02688080411")</f>
        <v>02688080411</v>
      </c>
      <c r="O15" s="3" t="s">
        <v>65</v>
      </c>
      <c r="P15" s="3" t="s">
        <v>37</v>
      </c>
      <c r="Q15" s="3"/>
      <c r="R15" s="4">
        <v>46058</v>
      </c>
      <c r="S15" s="3" t="s">
        <v>38</v>
      </c>
      <c r="T15" s="3" t="s">
        <v>39</v>
      </c>
      <c r="U15" s="3" t="s">
        <v>40</v>
      </c>
      <c r="V15" s="5">
        <v>4400.71</v>
      </c>
      <c r="W15" s="5">
        <v>1870.3</v>
      </c>
      <c r="X15" s="5">
        <v>1771.29</v>
      </c>
      <c r="Y15" s="3">
        <v>759.12</v>
      </c>
    </row>
    <row r="16" spans="1:25" ht="24.75" x14ac:dyDescent="0.25">
      <c r="A16" s="3" t="s">
        <v>26</v>
      </c>
      <c r="B16" s="3" t="s">
        <v>27</v>
      </c>
      <c r="C16" s="3" t="s">
        <v>28</v>
      </c>
      <c r="D16" s="3" t="s">
        <v>45</v>
      </c>
      <c r="E16" s="3" t="s">
        <v>50</v>
      </c>
      <c r="F16" s="3" t="s">
        <v>47</v>
      </c>
      <c r="G16" s="3" t="s">
        <v>50</v>
      </c>
      <c r="H16" s="3" t="s">
        <v>51</v>
      </c>
      <c r="I16" s="3">
        <v>2025</v>
      </c>
      <c r="J16" s="3" t="str">
        <f>CONCATENATE("54820203054")</f>
        <v>54820203054</v>
      </c>
      <c r="K16" s="3" t="s">
        <v>34</v>
      </c>
      <c r="L16" s="3"/>
      <c r="M16" s="3" t="s">
        <v>35</v>
      </c>
      <c r="N16" s="3" t="str">
        <f>CONCATENATE("MNTLNI47R17A327W")</f>
        <v>MNTLNI47R17A327W</v>
      </c>
      <c r="O16" s="3" t="s">
        <v>66</v>
      </c>
      <c r="P16" s="3" t="s">
        <v>37</v>
      </c>
      <c r="Q16" s="3"/>
      <c r="R16" s="4">
        <v>46058</v>
      </c>
      <c r="S16" s="3" t="s">
        <v>38</v>
      </c>
      <c r="T16" s="3" t="s">
        <v>39</v>
      </c>
      <c r="U16" s="3" t="s">
        <v>40</v>
      </c>
      <c r="V16" s="3">
        <v>423.94</v>
      </c>
      <c r="W16" s="3">
        <v>180.17</v>
      </c>
      <c r="X16" s="3">
        <v>170.64</v>
      </c>
      <c r="Y16" s="3">
        <v>73.13</v>
      </c>
    </row>
    <row r="17" spans="1:25" ht="24.75" x14ac:dyDescent="0.25">
      <c r="A17" s="3" t="s">
        <v>26</v>
      </c>
      <c r="B17" s="3" t="s">
        <v>27</v>
      </c>
      <c r="C17" s="3" t="s">
        <v>28</v>
      </c>
      <c r="D17" s="3" t="s">
        <v>45</v>
      </c>
      <c r="E17" s="3" t="s">
        <v>67</v>
      </c>
      <c r="F17" s="3" t="s">
        <v>47</v>
      </c>
      <c r="G17" s="3" t="s">
        <v>67</v>
      </c>
      <c r="H17" s="3" t="s">
        <v>68</v>
      </c>
      <c r="I17" s="3">
        <v>2025</v>
      </c>
      <c r="J17" s="3" t="str">
        <f>CONCATENATE("54820265400")</f>
        <v>54820265400</v>
      </c>
      <c r="K17" s="3" t="s">
        <v>34</v>
      </c>
      <c r="L17" s="3"/>
      <c r="M17" s="3" t="s">
        <v>35</v>
      </c>
      <c r="N17" s="3" t="str">
        <f>CONCATENATE("01517310445")</f>
        <v>01517310445</v>
      </c>
      <c r="O17" s="3" t="s">
        <v>69</v>
      </c>
      <c r="P17" s="3" t="s">
        <v>37</v>
      </c>
      <c r="Q17" s="3"/>
      <c r="R17" s="4">
        <v>46058</v>
      </c>
      <c r="S17" s="3" t="s">
        <v>38</v>
      </c>
      <c r="T17" s="3" t="s">
        <v>39</v>
      </c>
      <c r="U17" s="3" t="s">
        <v>40</v>
      </c>
      <c r="V17" s="5">
        <v>1041.5999999999999</v>
      </c>
      <c r="W17" s="3">
        <v>442.68</v>
      </c>
      <c r="X17" s="3">
        <v>419.24</v>
      </c>
      <c r="Y17" s="3">
        <v>179.68</v>
      </c>
    </row>
    <row r="18" spans="1:25" ht="24.75" x14ac:dyDescent="0.25">
      <c r="A18" s="3" t="s">
        <v>26</v>
      </c>
      <c r="B18" s="3" t="s">
        <v>27</v>
      </c>
      <c r="C18" s="3" t="s">
        <v>28</v>
      </c>
      <c r="D18" s="3" t="s">
        <v>41</v>
      </c>
      <c r="E18" s="3" t="s">
        <v>70</v>
      </c>
      <c r="F18" s="3" t="s">
        <v>31</v>
      </c>
      <c r="G18" s="3" t="s">
        <v>70</v>
      </c>
      <c r="H18" s="3" t="s">
        <v>68</v>
      </c>
      <c r="I18" s="3">
        <v>2025</v>
      </c>
      <c r="J18" s="3" t="str">
        <f>CONCATENATE("54820241120")</f>
        <v>54820241120</v>
      </c>
      <c r="K18" s="3" t="s">
        <v>34</v>
      </c>
      <c r="L18" s="3"/>
      <c r="M18" s="3" t="s">
        <v>35</v>
      </c>
      <c r="N18" s="3" t="str">
        <f>CONCATENATE("00470250440")</f>
        <v>00470250440</v>
      </c>
      <c r="O18" s="3" t="s">
        <v>71</v>
      </c>
      <c r="P18" s="3" t="s">
        <v>37</v>
      </c>
      <c r="Q18" s="3"/>
      <c r="R18" s="4">
        <v>46058</v>
      </c>
      <c r="S18" s="3" t="s">
        <v>38</v>
      </c>
      <c r="T18" s="3" t="s">
        <v>39</v>
      </c>
      <c r="U18" s="3" t="s">
        <v>40</v>
      </c>
      <c r="V18" s="5">
        <v>7015.36</v>
      </c>
      <c r="W18" s="5">
        <v>2981.53</v>
      </c>
      <c r="X18" s="5">
        <v>2823.68</v>
      </c>
      <c r="Y18" s="5">
        <v>1210.1500000000001</v>
      </c>
    </row>
    <row r="19" spans="1:25" ht="36.75" x14ac:dyDescent="0.25">
      <c r="A19" s="3" t="s">
        <v>26</v>
      </c>
      <c r="B19" s="3" t="s">
        <v>27</v>
      </c>
      <c r="C19" s="3" t="s">
        <v>28</v>
      </c>
      <c r="D19" s="3" t="s">
        <v>41</v>
      </c>
      <c r="E19" s="3" t="s">
        <v>72</v>
      </c>
      <c r="F19" s="3" t="s">
        <v>31</v>
      </c>
      <c r="G19" s="3" t="s">
        <v>72</v>
      </c>
      <c r="H19" s="3" t="s">
        <v>51</v>
      </c>
      <c r="I19" s="3">
        <v>2025</v>
      </c>
      <c r="J19" s="3" t="str">
        <f>CONCATENATE("54820138268")</f>
        <v>54820138268</v>
      </c>
      <c r="K19" s="3" t="s">
        <v>34</v>
      </c>
      <c r="L19" s="3"/>
      <c r="M19" s="3" t="s">
        <v>35</v>
      </c>
      <c r="N19" s="3" t="str">
        <f>CONCATENATE("00984410415")</f>
        <v>00984410415</v>
      </c>
      <c r="O19" s="3" t="s">
        <v>73</v>
      </c>
      <c r="P19" s="3" t="s">
        <v>37</v>
      </c>
      <c r="Q19" s="3"/>
      <c r="R19" s="4">
        <v>46058</v>
      </c>
      <c r="S19" s="3" t="s">
        <v>38</v>
      </c>
      <c r="T19" s="3" t="s">
        <v>39</v>
      </c>
      <c r="U19" s="3" t="s">
        <v>40</v>
      </c>
      <c r="V19" s="5">
        <v>1139.77</v>
      </c>
      <c r="W19" s="3">
        <v>484.4</v>
      </c>
      <c r="X19" s="3">
        <v>458.76</v>
      </c>
      <c r="Y19" s="3">
        <v>196.61</v>
      </c>
    </row>
    <row r="20" spans="1:25" ht="60.75" x14ac:dyDescent="0.25">
      <c r="A20" s="3" t="s">
        <v>26</v>
      </c>
      <c r="B20" s="3" t="s">
        <v>27</v>
      </c>
      <c r="C20" s="3" t="s">
        <v>28</v>
      </c>
      <c r="D20" s="3" t="s">
        <v>41</v>
      </c>
      <c r="E20" s="3" t="s">
        <v>74</v>
      </c>
      <c r="F20" s="3" t="s">
        <v>31</v>
      </c>
      <c r="G20" s="3" t="s">
        <v>74</v>
      </c>
      <c r="H20" s="3" t="s">
        <v>33</v>
      </c>
      <c r="I20" s="3">
        <v>2025</v>
      </c>
      <c r="J20" s="3" t="str">
        <f>CONCATENATE("54820138706")</f>
        <v>54820138706</v>
      </c>
      <c r="K20" s="3" t="s">
        <v>34</v>
      </c>
      <c r="L20" s="3"/>
      <c r="M20" s="3" t="s">
        <v>35</v>
      </c>
      <c r="N20" s="3" t="str">
        <f>CONCATENATE("MGNDNL85T25D451S")</f>
        <v>MGNDNL85T25D451S</v>
      </c>
      <c r="O20" s="3" t="s">
        <v>75</v>
      </c>
      <c r="P20" s="3" t="s">
        <v>37</v>
      </c>
      <c r="Q20" s="3"/>
      <c r="R20" s="4">
        <v>46058</v>
      </c>
      <c r="S20" s="3" t="s">
        <v>38</v>
      </c>
      <c r="T20" s="3" t="s">
        <v>39</v>
      </c>
      <c r="U20" s="3" t="s">
        <v>40</v>
      </c>
      <c r="V20" s="5">
        <v>1222.1300000000001</v>
      </c>
      <c r="W20" s="3">
        <v>519.41</v>
      </c>
      <c r="X20" s="3">
        <v>491.91</v>
      </c>
      <c r="Y20" s="3">
        <v>210.81</v>
      </c>
    </row>
    <row r="21" spans="1:25" ht="60.75" x14ac:dyDescent="0.25">
      <c r="A21" s="3" t="s">
        <v>26</v>
      </c>
      <c r="B21" s="3" t="s">
        <v>27</v>
      </c>
      <c r="C21" s="3" t="s">
        <v>28</v>
      </c>
      <c r="D21" s="3" t="s">
        <v>41</v>
      </c>
      <c r="E21" s="3" t="s">
        <v>49</v>
      </c>
      <c r="F21" s="3" t="s">
        <v>31</v>
      </c>
      <c r="G21" s="3" t="s">
        <v>49</v>
      </c>
      <c r="H21" s="3" t="s">
        <v>51</v>
      </c>
      <c r="I21" s="3">
        <v>2025</v>
      </c>
      <c r="J21" s="3" t="str">
        <f>CONCATENATE("54820043971")</f>
        <v>54820043971</v>
      </c>
      <c r="K21" s="3" t="s">
        <v>34</v>
      </c>
      <c r="L21" s="3"/>
      <c r="M21" s="3" t="s">
        <v>35</v>
      </c>
      <c r="N21" s="3" t="str">
        <f>CONCATENATE("MRTMRC79P64L500K")</f>
        <v>MRTMRC79P64L500K</v>
      </c>
      <c r="O21" s="3" t="s">
        <v>76</v>
      </c>
      <c r="P21" s="3" t="s">
        <v>37</v>
      </c>
      <c r="Q21" s="3"/>
      <c r="R21" s="4">
        <v>46058</v>
      </c>
      <c r="S21" s="3" t="s">
        <v>38</v>
      </c>
      <c r="T21" s="3" t="s">
        <v>39</v>
      </c>
      <c r="U21" s="3" t="s">
        <v>40</v>
      </c>
      <c r="V21" s="3">
        <v>26.44</v>
      </c>
      <c r="W21" s="3">
        <v>11.24</v>
      </c>
      <c r="X21" s="3">
        <v>10.64</v>
      </c>
      <c r="Y21" s="3">
        <v>4.5599999999999996</v>
      </c>
    </row>
    <row r="22" spans="1:25" ht="72.75" x14ac:dyDescent="0.25">
      <c r="A22" s="3" t="s">
        <v>26</v>
      </c>
      <c r="B22" s="3" t="s">
        <v>27</v>
      </c>
      <c r="C22" s="3" t="s">
        <v>28</v>
      </c>
      <c r="D22" s="3" t="s">
        <v>41</v>
      </c>
      <c r="E22" s="3" t="s">
        <v>42</v>
      </c>
      <c r="F22" s="3" t="s">
        <v>31</v>
      </c>
      <c r="G22" s="3" t="s">
        <v>42</v>
      </c>
      <c r="H22" s="3" t="s">
        <v>43</v>
      </c>
      <c r="I22" s="3">
        <v>2025</v>
      </c>
      <c r="J22" s="3" t="str">
        <f>CONCATENATE("54820071113")</f>
        <v>54820071113</v>
      </c>
      <c r="K22" s="3" t="s">
        <v>34</v>
      </c>
      <c r="L22" s="3"/>
      <c r="M22" s="3" t="s">
        <v>35</v>
      </c>
      <c r="N22" s="3" t="str">
        <f>CONCATENATE("FBNGRG60A18B474M")</f>
        <v>FBNGRG60A18B474M</v>
      </c>
      <c r="O22" s="3" t="s">
        <v>77</v>
      </c>
      <c r="P22" s="3" t="s">
        <v>37</v>
      </c>
      <c r="Q22" s="3"/>
      <c r="R22" s="4">
        <v>46058</v>
      </c>
      <c r="S22" s="3" t="s">
        <v>38</v>
      </c>
      <c r="T22" s="3" t="s">
        <v>39</v>
      </c>
      <c r="U22" s="3" t="s">
        <v>40</v>
      </c>
      <c r="V22" s="3">
        <v>438.67</v>
      </c>
      <c r="W22" s="3">
        <v>186.43</v>
      </c>
      <c r="X22" s="3">
        <v>176.56</v>
      </c>
      <c r="Y22" s="3">
        <v>75.680000000000007</v>
      </c>
    </row>
    <row r="23" spans="1:25" ht="36.75" x14ac:dyDescent="0.25">
      <c r="A23" s="3" t="s">
        <v>26</v>
      </c>
      <c r="B23" s="3" t="s">
        <v>27</v>
      </c>
      <c r="C23" s="3" t="s">
        <v>28</v>
      </c>
      <c r="D23" s="3" t="s">
        <v>41</v>
      </c>
      <c r="E23" s="3" t="s">
        <v>72</v>
      </c>
      <c r="F23" s="3" t="s">
        <v>31</v>
      </c>
      <c r="G23" s="3" t="s">
        <v>72</v>
      </c>
      <c r="H23" s="3" t="s">
        <v>51</v>
      </c>
      <c r="I23" s="3">
        <v>2025</v>
      </c>
      <c r="J23" s="3" t="str">
        <f>CONCATENATE("54820040902")</f>
        <v>54820040902</v>
      </c>
      <c r="K23" s="3" t="s">
        <v>34</v>
      </c>
      <c r="L23" s="3"/>
      <c r="M23" s="3" t="s">
        <v>35</v>
      </c>
      <c r="N23" s="3" t="str">
        <f>CONCATENATE("00389630419")</f>
        <v>00389630419</v>
      </c>
      <c r="O23" s="3" t="s">
        <v>78</v>
      </c>
      <c r="P23" s="3" t="s">
        <v>37</v>
      </c>
      <c r="Q23" s="3"/>
      <c r="R23" s="4">
        <v>46058</v>
      </c>
      <c r="S23" s="3" t="s">
        <v>38</v>
      </c>
      <c r="T23" s="3" t="s">
        <v>39</v>
      </c>
      <c r="U23" s="3" t="s">
        <v>40</v>
      </c>
      <c r="V23" s="3">
        <v>891.25</v>
      </c>
      <c r="W23" s="3">
        <v>378.78</v>
      </c>
      <c r="X23" s="3">
        <v>358.73</v>
      </c>
      <c r="Y23" s="3">
        <v>153.74</v>
      </c>
    </row>
    <row r="24" spans="1:25" ht="72.75" x14ac:dyDescent="0.25">
      <c r="A24" s="3" t="s">
        <v>26</v>
      </c>
      <c r="B24" s="3" t="s">
        <v>27</v>
      </c>
      <c r="C24" s="3" t="s">
        <v>28</v>
      </c>
      <c r="D24" s="3" t="s">
        <v>62</v>
      </c>
      <c r="E24" s="3" t="s">
        <v>79</v>
      </c>
      <c r="F24" s="3" t="s">
        <v>64</v>
      </c>
      <c r="G24" s="3" t="s">
        <v>79</v>
      </c>
      <c r="H24" s="3" t="s">
        <v>43</v>
      </c>
      <c r="I24" s="3">
        <v>2025</v>
      </c>
      <c r="J24" s="3" t="str">
        <f>CONCATENATE("54820060835")</f>
        <v>54820060835</v>
      </c>
      <c r="K24" s="3" t="s">
        <v>34</v>
      </c>
      <c r="L24" s="3"/>
      <c r="M24" s="3" t="s">
        <v>35</v>
      </c>
      <c r="N24" s="3" t="str">
        <f>CONCATENATE("MGGFRC81M58B474M")</f>
        <v>MGGFRC81M58B474M</v>
      </c>
      <c r="O24" s="3" t="s">
        <v>80</v>
      </c>
      <c r="P24" s="3" t="s">
        <v>37</v>
      </c>
      <c r="Q24" s="3"/>
      <c r="R24" s="4">
        <v>46058</v>
      </c>
      <c r="S24" s="3" t="s">
        <v>38</v>
      </c>
      <c r="T24" s="3" t="s">
        <v>39</v>
      </c>
      <c r="U24" s="3" t="s">
        <v>40</v>
      </c>
      <c r="V24" s="5">
        <v>7329.53</v>
      </c>
      <c r="W24" s="5">
        <v>3115.05</v>
      </c>
      <c r="X24" s="5">
        <v>2950.14</v>
      </c>
      <c r="Y24" s="5">
        <v>1264.3399999999999</v>
      </c>
    </row>
    <row r="25" spans="1:25" ht="60.75" x14ac:dyDescent="0.25">
      <c r="A25" s="3" t="s">
        <v>26</v>
      </c>
      <c r="B25" s="3" t="s">
        <v>27</v>
      </c>
      <c r="C25" s="3" t="s">
        <v>28</v>
      </c>
      <c r="D25" s="3" t="s">
        <v>62</v>
      </c>
      <c r="E25" s="3" t="s">
        <v>81</v>
      </c>
      <c r="F25" s="3" t="s">
        <v>64</v>
      </c>
      <c r="G25" s="3" t="s">
        <v>81</v>
      </c>
      <c r="H25" s="3" t="s">
        <v>43</v>
      </c>
      <c r="I25" s="3">
        <v>2025</v>
      </c>
      <c r="J25" s="3" t="str">
        <f>CONCATENATE("54820087325")</f>
        <v>54820087325</v>
      </c>
      <c r="K25" s="3" t="s">
        <v>34</v>
      </c>
      <c r="L25" s="3"/>
      <c r="M25" s="3" t="s">
        <v>35</v>
      </c>
      <c r="N25" s="3" t="str">
        <f>CONCATENATE("RCCSFN79A06I156Z")</f>
        <v>RCCSFN79A06I156Z</v>
      </c>
      <c r="O25" s="3" t="s">
        <v>82</v>
      </c>
      <c r="P25" s="3" t="s">
        <v>37</v>
      </c>
      <c r="Q25" s="3"/>
      <c r="R25" s="4">
        <v>46058</v>
      </c>
      <c r="S25" s="3" t="s">
        <v>38</v>
      </c>
      <c r="T25" s="3" t="s">
        <v>39</v>
      </c>
      <c r="U25" s="3" t="s">
        <v>40</v>
      </c>
      <c r="V25" s="5">
        <v>2720.55</v>
      </c>
      <c r="W25" s="5">
        <v>1156.23</v>
      </c>
      <c r="X25" s="5">
        <v>1095.02</v>
      </c>
      <c r="Y25" s="3">
        <v>469.3</v>
      </c>
    </row>
    <row r="26" spans="1:25" ht="60.75" x14ac:dyDescent="0.25">
      <c r="A26" s="3" t="s">
        <v>26</v>
      </c>
      <c r="B26" s="3" t="s">
        <v>27</v>
      </c>
      <c r="C26" s="3" t="s">
        <v>28</v>
      </c>
      <c r="D26" s="3" t="s">
        <v>41</v>
      </c>
      <c r="E26" s="3" t="s">
        <v>57</v>
      </c>
      <c r="F26" s="3" t="s">
        <v>31</v>
      </c>
      <c r="G26" s="3" t="s">
        <v>57</v>
      </c>
      <c r="H26" s="3" t="s">
        <v>51</v>
      </c>
      <c r="I26" s="3">
        <v>2025</v>
      </c>
      <c r="J26" s="3" t="str">
        <f>CONCATENATE("54820073747")</f>
        <v>54820073747</v>
      </c>
      <c r="K26" s="3" t="s">
        <v>34</v>
      </c>
      <c r="L26" s="3"/>
      <c r="M26" s="3" t="s">
        <v>35</v>
      </c>
      <c r="N26" s="3" t="str">
        <f>CONCATENATE("BLSRLL61M68B846X")</f>
        <v>BLSRLL61M68B846X</v>
      </c>
      <c r="O26" s="3" t="s">
        <v>83</v>
      </c>
      <c r="P26" s="3" t="s">
        <v>37</v>
      </c>
      <c r="Q26" s="3"/>
      <c r="R26" s="4">
        <v>46058</v>
      </c>
      <c r="S26" s="3" t="s">
        <v>38</v>
      </c>
      <c r="T26" s="3" t="s">
        <v>39</v>
      </c>
      <c r="U26" s="3" t="s">
        <v>40</v>
      </c>
      <c r="V26" s="3">
        <v>786.13</v>
      </c>
      <c r="W26" s="3">
        <v>334.11</v>
      </c>
      <c r="X26" s="3">
        <v>316.42</v>
      </c>
      <c r="Y26" s="3">
        <v>135.6</v>
      </c>
    </row>
    <row r="27" spans="1:25" ht="60.75" x14ac:dyDescent="0.25">
      <c r="A27" s="3" t="s">
        <v>26</v>
      </c>
      <c r="B27" s="3" t="s">
        <v>27</v>
      </c>
      <c r="C27" s="3" t="s">
        <v>28</v>
      </c>
      <c r="D27" s="3" t="s">
        <v>41</v>
      </c>
      <c r="E27" s="3" t="s">
        <v>53</v>
      </c>
      <c r="F27" s="3" t="s">
        <v>31</v>
      </c>
      <c r="G27" s="3" t="s">
        <v>53</v>
      </c>
      <c r="H27" s="3" t="s">
        <v>51</v>
      </c>
      <c r="I27" s="3">
        <v>2025</v>
      </c>
      <c r="J27" s="3" t="str">
        <f>CONCATENATE("54820036801")</f>
        <v>54820036801</v>
      </c>
      <c r="K27" s="3" t="s">
        <v>34</v>
      </c>
      <c r="L27" s="3"/>
      <c r="M27" s="3" t="s">
        <v>35</v>
      </c>
      <c r="N27" s="3" t="str">
        <f>CONCATENATE("GRLLRT83B27D749E")</f>
        <v>GRLLRT83B27D749E</v>
      </c>
      <c r="O27" s="3" t="s">
        <v>84</v>
      </c>
      <c r="P27" s="3" t="s">
        <v>37</v>
      </c>
      <c r="Q27" s="3"/>
      <c r="R27" s="4">
        <v>46058</v>
      </c>
      <c r="S27" s="3" t="s">
        <v>38</v>
      </c>
      <c r="T27" s="3" t="s">
        <v>39</v>
      </c>
      <c r="U27" s="3" t="s">
        <v>40</v>
      </c>
      <c r="V27" s="5">
        <v>1815.86</v>
      </c>
      <c r="W27" s="3">
        <v>771.74</v>
      </c>
      <c r="X27" s="3">
        <v>730.88</v>
      </c>
      <c r="Y27" s="3">
        <v>313.24</v>
      </c>
    </row>
    <row r="28" spans="1:25" ht="60.75" x14ac:dyDescent="0.25">
      <c r="A28" s="3" t="s">
        <v>26</v>
      </c>
      <c r="B28" s="3" t="s">
        <v>27</v>
      </c>
      <c r="C28" s="3" t="s">
        <v>28</v>
      </c>
      <c r="D28" s="3" t="s">
        <v>41</v>
      </c>
      <c r="E28" s="3" t="s">
        <v>53</v>
      </c>
      <c r="F28" s="3" t="s">
        <v>31</v>
      </c>
      <c r="G28" s="3" t="s">
        <v>53</v>
      </c>
      <c r="H28" s="3" t="s">
        <v>51</v>
      </c>
      <c r="I28" s="3">
        <v>2025</v>
      </c>
      <c r="J28" s="3" t="str">
        <f>CONCATENATE("54820134424")</f>
        <v>54820134424</v>
      </c>
      <c r="K28" s="3" t="s">
        <v>34</v>
      </c>
      <c r="L28" s="3"/>
      <c r="M28" s="3" t="s">
        <v>35</v>
      </c>
      <c r="N28" s="3" t="str">
        <f>CONCATENATE("RFFJCB96T25L500S")</f>
        <v>RFFJCB96T25L500S</v>
      </c>
      <c r="O28" s="3" t="s">
        <v>85</v>
      </c>
      <c r="P28" s="3" t="s">
        <v>37</v>
      </c>
      <c r="Q28" s="3"/>
      <c r="R28" s="4">
        <v>46058</v>
      </c>
      <c r="S28" s="3" t="s">
        <v>38</v>
      </c>
      <c r="T28" s="3" t="s">
        <v>39</v>
      </c>
      <c r="U28" s="3" t="s">
        <v>40</v>
      </c>
      <c r="V28" s="5">
        <v>3294.95</v>
      </c>
      <c r="W28" s="5">
        <v>1400.35</v>
      </c>
      <c r="X28" s="5">
        <v>1326.22</v>
      </c>
      <c r="Y28" s="3">
        <v>568.38</v>
      </c>
    </row>
    <row r="29" spans="1:25" ht="60.75" x14ac:dyDescent="0.25">
      <c r="A29" s="3" t="s">
        <v>26</v>
      </c>
      <c r="B29" s="3" t="s">
        <v>27</v>
      </c>
      <c r="C29" s="3" t="s">
        <v>28</v>
      </c>
      <c r="D29" s="3" t="s">
        <v>45</v>
      </c>
      <c r="E29" s="3" t="s">
        <v>86</v>
      </c>
      <c r="F29" s="3" t="s">
        <v>47</v>
      </c>
      <c r="G29" s="3" t="s">
        <v>86</v>
      </c>
      <c r="H29" s="3" t="s">
        <v>51</v>
      </c>
      <c r="I29" s="3">
        <v>2025</v>
      </c>
      <c r="J29" s="3" t="str">
        <f>CONCATENATE("54820120258")</f>
        <v>54820120258</v>
      </c>
      <c r="K29" s="3" t="s">
        <v>34</v>
      </c>
      <c r="L29" s="3"/>
      <c r="M29" s="3" t="s">
        <v>35</v>
      </c>
      <c r="N29" s="3" t="str">
        <f>CONCATENATE("PSSDRN76R23L500S")</f>
        <v>PSSDRN76R23L500S</v>
      </c>
      <c r="O29" s="3" t="s">
        <v>87</v>
      </c>
      <c r="P29" s="3" t="s">
        <v>37</v>
      </c>
      <c r="Q29" s="3"/>
      <c r="R29" s="4">
        <v>46058</v>
      </c>
      <c r="S29" s="3" t="s">
        <v>38</v>
      </c>
      <c r="T29" s="3" t="s">
        <v>39</v>
      </c>
      <c r="U29" s="3" t="s">
        <v>40</v>
      </c>
      <c r="V29" s="5">
        <v>1159.8900000000001</v>
      </c>
      <c r="W29" s="3">
        <v>492.95</v>
      </c>
      <c r="X29" s="3">
        <v>466.86</v>
      </c>
      <c r="Y29" s="3">
        <v>200.08</v>
      </c>
    </row>
    <row r="30" spans="1:25" ht="60.75" x14ac:dyDescent="0.25">
      <c r="A30" s="3" t="s">
        <v>26</v>
      </c>
      <c r="B30" s="3" t="s">
        <v>27</v>
      </c>
      <c r="C30" s="3" t="s">
        <v>28</v>
      </c>
      <c r="D30" s="3" t="s">
        <v>41</v>
      </c>
      <c r="E30" s="3" t="s">
        <v>53</v>
      </c>
      <c r="F30" s="3" t="s">
        <v>31</v>
      </c>
      <c r="G30" s="3" t="s">
        <v>53</v>
      </c>
      <c r="H30" s="3" t="s">
        <v>51</v>
      </c>
      <c r="I30" s="3">
        <v>2025</v>
      </c>
      <c r="J30" s="3" t="str">
        <f>CONCATENATE("54820151899")</f>
        <v>54820151899</v>
      </c>
      <c r="K30" s="3" t="s">
        <v>34</v>
      </c>
      <c r="L30" s="3"/>
      <c r="M30" s="3" t="s">
        <v>35</v>
      </c>
      <c r="N30" s="3" t="str">
        <f>CONCATENATE("FLVRNN78H06C745V")</f>
        <v>FLVRNN78H06C745V</v>
      </c>
      <c r="O30" s="3" t="s">
        <v>88</v>
      </c>
      <c r="P30" s="3" t="s">
        <v>37</v>
      </c>
      <c r="Q30" s="3"/>
      <c r="R30" s="4">
        <v>46058</v>
      </c>
      <c r="S30" s="3" t="s">
        <v>38</v>
      </c>
      <c r="T30" s="3" t="s">
        <v>39</v>
      </c>
      <c r="U30" s="3" t="s">
        <v>40</v>
      </c>
      <c r="V30" s="5">
        <v>1635.06</v>
      </c>
      <c r="W30" s="3">
        <v>694.9</v>
      </c>
      <c r="X30" s="3">
        <v>658.11</v>
      </c>
      <c r="Y30" s="3">
        <v>282.05</v>
      </c>
    </row>
    <row r="31" spans="1:25" ht="72.75" x14ac:dyDescent="0.25">
      <c r="A31" s="3" t="s">
        <v>26</v>
      </c>
      <c r="B31" s="3" t="s">
        <v>27</v>
      </c>
      <c r="C31" s="3" t="s">
        <v>28</v>
      </c>
      <c r="D31" s="3" t="s">
        <v>62</v>
      </c>
      <c r="E31" s="3" t="s">
        <v>63</v>
      </c>
      <c r="F31" s="3" t="s">
        <v>64</v>
      </c>
      <c r="G31" s="3" t="s">
        <v>63</v>
      </c>
      <c r="H31" s="3" t="s">
        <v>51</v>
      </c>
      <c r="I31" s="3">
        <v>2025</v>
      </c>
      <c r="J31" s="3" t="str">
        <f>CONCATENATE("54820259908")</f>
        <v>54820259908</v>
      </c>
      <c r="K31" s="3" t="s">
        <v>34</v>
      </c>
      <c r="L31" s="3"/>
      <c r="M31" s="3" t="s">
        <v>35</v>
      </c>
      <c r="N31" s="3" t="str">
        <f>CONCATENATE("MGNRNZ56M20G479H")</f>
        <v>MGNRNZ56M20G479H</v>
      </c>
      <c r="O31" s="3" t="s">
        <v>89</v>
      </c>
      <c r="P31" s="3" t="s">
        <v>37</v>
      </c>
      <c r="Q31" s="3"/>
      <c r="R31" s="4">
        <v>46058</v>
      </c>
      <c r="S31" s="3" t="s">
        <v>38</v>
      </c>
      <c r="T31" s="3" t="s">
        <v>39</v>
      </c>
      <c r="U31" s="3" t="s">
        <v>40</v>
      </c>
      <c r="V31" s="5">
        <v>1269.5999999999999</v>
      </c>
      <c r="W31" s="3">
        <v>539.58000000000004</v>
      </c>
      <c r="X31" s="3">
        <v>511.01</v>
      </c>
      <c r="Y31" s="3">
        <v>219.01</v>
      </c>
    </row>
    <row r="32" spans="1:25" ht="36.75" x14ac:dyDescent="0.25">
      <c r="A32" s="3" t="s">
        <v>26</v>
      </c>
      <c r="B32" s="3" t="s">
        <v>27</v>
      </c>
      <c r="C32" s="3" t="s">
        <v>28</v>
      </c>
      <c r="D32" s="3" t="s">
        <v>62</v>
      </c>
      <c r="E32" s="3" t="s">
        <v>63</v>
      </c>
      <c r="F32" s="3" t="s">
        <v>64</v>
      </c>
      <c r="G32" s="3" t="s">
        <v>63</v>
      </c>
      <c r="H32" s="3" t="s">
        <v>51</v>
      </c>
      <c r="I32" s="3">
        <v>2025</v>
      </c>
      <c r="J32" s="3" t="str">
        <f>CONCATENATE("54820026646")</f>
        <v>54820026646</v>
      </c>
      <c r="K32" s="3" t="s">
        <v>34</v>
      </c>
      <c r="L32" s="3"/>
      <c r="M32" s="3" t="s">
        <v>35</v>
      </c>
      <c r="N32" s="3" t="str">
        <f>CONCATENATE("02224210415")</f>
        <v>02224210415</v>
      </c>
      <c r="O32" s="3" t="s">
        <v>90</v>
      </c>
      <c r="P32" s="3" t="s">
        <v>37</v>
      </c>
      <c r="Q32" s="3"/>
      <c r="R32" s="4">
        <v>46058</v>
      </c>
      <c r="S32" s="3" t="s">
        <v>38</v>
      </c>
      <c r="T32" s="3" t="s">
        <v>39</v>
      </c>
      <c r="U32" s="3" t="s">
        <v>40</v>
      </c>
      <c r="V32" s="5">
        <v>1532.97</v>
      </c>
      <c r="W32" s="3">
        <v>651.51</v>
      </c>
      <c r="X32" s="3">
        <v>617.02</v>
      </c>
      <c r="Y32" s="3">
        <v>264.44</v>
      </c>
    </row>
    <row r="33" spans="1:25" ht="36.75" x14ac:dyDescent="0.25">
      <c r="A33" s="3" t="s">
        <v>26</v>
      </c>
      <c r="B33" s="3" t="s">
        <v>27</v>
      </c>
      <c r="C33" s="3" t="s">
        <v>28</v>
      </c>
      <c r="D33" s="3" t="s">
        <v>45</v>
      </c>
      <c r="E33" s="3" t="s">
        <v>91</v>
      </c>
      <c r="F33" s="3" t="s">
        <v>47</v>
      </c>
      <c r="G33" s="3" t="s">
        <v>91</v>
      </c>
      <c r="H33" s="3" t="s">
        <v>51</v>
      </c>
      <c r="I33" s="3">
        <v>2025</v>
      </c>
      <c r="J33" s="3" t="str">
        <f>CONCATENATE("54820069331")</f>
        <v>54820069331</v>
      </c>
      <c r="K33" s="3" t="s">
        <v>34</v>
      </c>
      <c r="L33" s="3"/>
      <c r="M33" s="3" t="s">
        <v>35</v>
      </c>
      <c r="N33" s="3" t="str">
        <f>CONCATENATE("02559240417")</f>
        <v>02559240417</v>
      </c>
      <c r="O33" s="3" t="s">
        <v>92</v>
      </c>
      <c r="P33" s="3" t="s">
        <v>37</v>
      </c>
      <c r="Q33" s="3"/>
      <c r="R33" s="4">
        <v>46058</v>
      </c>
      <c r="S33" s="3" t="s">
        <v>38</v>
      </c>
      <c r="T33" s="3" t="s">
        <v>39</v>
      </c>
      <c r="U33" s="3" t="s">
        <v>40</v>
      </c>
      <c r="V33" s="3">
        <v>775.54</v>
      </c>
      <c r="W33" s="3">
        <v>329.6</v>
      </c>
      <c r="X33" s="3">
        <v>312.14999999999998</v>
      </c>
      <c r="Y33" s="3">
        <v>133.79</v>
      </c>
    </row>
    <row r="34" spans="1:25" ht="60.75" x14ac:dyDescent="0.25">
      <c r="A34" s="3" t="s">
        <v>26</v>
      </c>
      <c r="B34" s="3" t="s">
        <v>27</v>
      </c>
      <c r="C34" s="3" t="s">
        <v>28</v>
      </c>
      <c r="D34" s="3" t="s">
        <v>45</v>
      </c>
      <c r="E34" s="3" t="s">
        <v>93</v>
      </c>
      <c r="F34" s="3" t="s">
        <v>47</v>
      </c>
      <c r="G34" s="3" t="s">
        <v>93</v>
      </c>
      <c r="H34" s="3" t="s">
        <v>51</v>
      </c>
      <c r="I34" s="3">
        <v>2025</v>
      </c>
      <c r="J34" s="3" t="str">
        <f>CONCATENATE("54820121736")</f>
        <v>54820121736</v>
      </c>
      <c r="K34" s="3" t="s">
        <v>34</v>
      </c>
      <c r="L34" s="3"/>
      <c r="M34" s="3" t="s">
        <v>35</v>
      </c>
      <c r="N34" s="3" t="str">
        <f>CONCATENATE("VTLGPP65S07D488P")</f>
        <v>VTLGPP65S07D488P</v>
      </c>
      <c r="O34" s="3" t="s">
        <v>94</v>
      </c>
      <c r="P34" s="3" t="s">
        <v>37</v>
      </c>
      <c r="Q34" s="3"/>
      <c r="R34" s="4">
        <v>46058</v>
      </c>
      <c r="S34" s="3" t="s">
        <v>38</v>
      </c>
      <c r="T34" s="3" t="s">
        <v>39</v>
      </c>
      <c r="U34" s="3" t="s">
        <v>40</v>
      </c>
      <c r="V34" s="5">
        <v>7034.2</v>
      </c>
      <c r="W34" s="5">
        <v>2989.54</v>
      </c>
      <c r="X34" s="5">
        <v>2831.27</v>
      </c>
      <c r="Y34" s="5">
        <v>1213.3900000000001</v>
      </c>
    </row>
    <row r="35" spans="1:25" ht="60.75" x14ac:dyDescent="0.25">
      <c r="A35" s="3" t="s">
        <v>26</v>
      </c>
      <c r="B35" s="3" t="s">
        <v>27</v>
      </c>
      <c r="C35" s="3" t="s">
        <v>28</v>
      </c>
      <c r="D35" s="3" t="s">
        <v>41</v>
      </c>
      <c r="E35" s="3" t="s">
        <v>53</v>
      </c>
      <c r="F35" s="3" t="s">
        <v>31</v>
      </c>
      <c r="G35" s="3" t="s">
        <v>53</v>
      </c>
      <c r="H35" s="3" t="s">
        <v>51</v>
      </c>
      <c r="I35" s="3">
        <v>2025</v>
      </c>
      <c r="J35" s="3" t="str">
        <f>CONCATENATE("54820122759")</f>
        <v>54820122759</v>
      </c>
      <c r="K35" s="3" t="s">
        <v>34</v>
      </c>
      <c r="L35" s="3"/>
      <c r="M35" s="3" t="s">
        <v>35</v>
      </c>
      <c r="N35" s="3" t="str">
        <f>CONCATENATE("LTZFDN44E09G453L")</f>
        <v>LTZFDN44E09G453L</v>
      </c>
      <c r="O35" s="3" t="s">
        <v>95</v>
      </c>
      <c r="P35" s="3" t="s">
        <v>37</v>
      </c>
      <c r="Q35" s="3"/>
      <c r="R35" s="4">
        <v>46058</v>
      </c>
      <c r="S35" s="3" t="s">
        <v>38</v>
      </c>
      <c r="T35" s="3" t="s">
        <v>39</v>
      </c>
      <c r="U35" s="3" t="s">
        <v>40</v>
      </c>
      <c r="V35" s="5">
        <v>1808.88</v>
      </c>
      <c r="W35" s="3">
        <v>768.77</v>
      </c>
      <c r="X35" s="3">
        <v>728.07</v>
      </c>
      <c r="Y35" s="3">
        <v>312.04000000000002</v>
      </c>
    </row>
    <row r="36" spans="1:25" ht="36.75" x14ac:dyDescent="0.25">
      <c r="A36" s="3" t="s">
        <v>26</v>
      </c>
      <c r="B36" s="3" t="s">
        <v>27</v>
      </c>
      <c r="C36" s="3" t="s">
        <v>28</v>
      </c>
      <c r="D36" s="3" t="s">
        <v>62</v>
      </c>
      <c r="E36" s="3" t="s">
        <v>96</v>
      </c>
      <c r="F36" s="3" t="s">
        <v>64</v>
      </c>
      <c r="G36" s="3" t="s">
        <v>96</v>
      </c>
      <c r="H36" s="3" t="s">
        <v>68</v>
      </c>
      <c r="I36" s="3">
        <v>2025</v>
      </c>
      <c r="J36" s="3" t="str">
        <f>CONCATENATE("54820286943")</f>
        <v>54820286943</v>
      </c>
      <c r="K36" s="3" t="s">
        <v>34</v>
      </c>
      <c r="L36" s="3"/>
      <c r="M36" s="3" t="s">
        <v>35</v>
      </c>
      <c r="N36" s="3" t="str">
        <f>CONCATENATE("02452140441")</f>
        <v>02452140441</v>
      </c>
      <c r="O36" s="3" t="s">
        <v>97</v>
      </c>
      <c r="P36" s="3" t="s">
        <v>37</v>
      </c>
      <c r="Q36" s="3"/>
      <c r="R36" s="4">
        <v>46058</v>
      </c>
      <c r="S36" s="3" t="s">
        <v>38</v>
      </c>
      <c r="T36" s="3" t="s">
        <v>39</v>
      </c>
      <c r="U36" s="3" t="s">
        <v>40</v>
      </c>
      <c r="V36" s="3">
        <v>851.07</v>
      </c>
      <c r="W36" s="3">
        <v>361.7</v>
      </c>
      <c r="X36" s="3">
        <v>342.56</v>
      </c>
      <c r="Y36" s="3">
        <v>146.81</v>
      </c>
    </row>
    <row r="37" spans="1:25" ht="60.75" x14ac:dyDescent="0.25">
      <c r="A37" s="3" t="s">
        <v>26</v>
      </c>
      <c r="B37" s="3" t="s">
        <v>27</v>
      </c>
      <c r="C37" s="3" t="s">
        <v>28</v>
      </c>
      <c r="D37" s="3" t="s">
        <v>45</v>
      </c>
      <c r="E37" s="3" t="s">
        <v>46</v>
      </c>
      <c r="F37" s="3" t="s">
        <v>47</v>
      </c>
      <c r="G37" s="3" t="s">
        <v>46</v>
      </c>
      <c r="H37" s="3" t="s">
        <v>33</v>
      </c>
      <c r="I37" s="3">
        <v>2025</v>
      </c>
      <c r="J37" s="3" t="str">
        <f>CONCATENATE("54820163639")</f>
        <v>54820163639</v>
      </c>
      <c r="K37" s="3" t="s">
        <v>34</v>
      </c>
      <c r="L37" s="3"/>
      <c r="M37" s="3" t="s">
        <v>35</v>
      </c>
      <c r="N37" s="3" t="str">
        <f>CONCATENATE("ZMPTLI39P15D451P")</f>
        <v>ZMPTLI39P15D451P</v>
      </c>
      <c r="O37" s="3" t="s">
        <v>98</v>
      </c>
      <c r="P37" s="3" t="s">
        <v>37</v>
      </c>
      <c r="Q37" s="3"/>
      <c r="R37" s="4">
        <v>46058</v>
      </c>
      <c r="S37" s="3" t="s">
        <v>38</v>
      </c>
      <c r="T37" s="3" t="s">
        <v>39</v>
      </c>
      <c r="U37" s="3" t="s">
        <v>40</v>
      </c>
      <c r="V37" s="3">
        <v>207.06</v>
      </c>
      <c r="W37" s="3">
        <v>88</v>
      </c>
      <c r="X37" s="3">
        <v>83.34</v>
      </c>
      <c r="Y37" s="3">
        <v>35.72</v>
      </c>
    </row>
    <row r="38" spans="1:25" ht="72.75" x14ac:dyDescent="0.25">
      <c r="A38" s="3" t="s">
        <v>26</v>
      </c>
      <c r="B38" s="3" t="s">
        <v>27</v>
      </c>
      <c r="C38" s="3" t="s">
        <v>28</v>
      </c>
      <c r="D38" s="3" t="s">
        <v>62</v>
      </c>
      <c r="E38" s="3" t="s">
        <v>79</v>
      </c>
      <c r="F38" s="3" t="s">
        <v>64</v>
      </c>
      <c r="G38" s="3" t="s">
        <v>79</v>
      </c>
      <c r="H38" s="3" t="s">
        <v>43</v>
      </c>
      <c r="I38" s="3">
        <v>2025</v>
      </c>
      <c r="J38" s="3" t="str">
        <f>CONCATENATE("54820014733")</f>
        <v>54820014733</v>
      </c>
      <c r="K38" s="3" t="s">
        <v>34</v>
      </c>
      <c r="L38" s="3"/>
      <c r="M38" s="3" t="s">
        <v>35</v>
      </c>
      <c r="N38" s="3" t="str">
        <f>CONCATENATE("BLDRRT97B18B474G")</f>
        <v>BLDRRT97B18B474G</v>
      </c>
      <c r="O38" s="3" t="s">
        <v>99</v>
      </c>
      <c r="P38" s="3" t="s">
        <v>37</v>
      </c>
      <c r="Q38" s="3"/>
      <c r="R38" s="4">
        <v>46058</v>
      </c>
      <c r="S38" s="3" t="s">
        <v>38</v>
      </c>
      <c r="T38" s="3" t="s">
        <v>39</v>
      </c>
      <c r="U38" s="3" t="s">
        <v>40</v>
      </c>
      <c r="V38" s="3">
        <v>92.45</v>
      </c>
      <c r="W38" s="3">
        <v>39.29</v>
      </c>
      <c r="X38" s="3">
        <v>37.21</v>
      </c>
      <c r="Y38" s="3">
        <v>15.95</v>
      </c>
    </row>
    <row r="39" spans="1:25" ht="72.75" x14ac:dyDescent="0.25">
      <c r="A39" s="3" t="s">
        <v>26</v>
      </c>
      <c r="B39" s="3" t="s">
        <v>27</v>
      </c>
      <c r="C39" s="3" t="s">
        <v>28</v>
      </c>
      <c r="D39" s="3" t="s">
        <v>41</v>
      </c>
      <c r="E39" s="3" t="s">
        <v>74</v>
      </c>
      <c r="F39" s="3" t="s">
        <v>31</v>
      </c>
      <c r="G39" s="3" t="s">
        <v>74</v>
      </c>
      <c r="H39" s="3" t="s">
        <v>33</v>
      </c>
      <c r="I39" s="3">
        <v>2025</v>
      </c>
      <c r="J39" s="3" t="str">
        <f>CONCATENATE("54820232764")</f>
        <v>54820232764</v>
      </c>
      <c r="K39" s="3" t="s">
        <v>34</v>
      </c>
      <c r="L39" s="3"/>
      <c r="M39" s="3" t="s">
        <v>35</v>
      </c>
      <c r="N39" s="3" t="str">
        <f>CONCATENATE("MGNGNN54A10I461W")</f>
        <v>MGNGNN54A10I461W</v>
      </c>
      <c r="O39" s="3" t="s">
        <v>100</v>
      </c>
      <c r="P39" s="3" t="s">
        <v>37</v>
      </c>
      <c r="Q39" s="3"/>
      <c r="R39" s="4">
        <v>46058</v>
      </c>
      <c r="S39" s="3" t="s">
        <v>38</v>
      </c>
      <c r="T39" s="3" t="s">
        <v>39</v>
      </c>
      <c r="U39" s="3" t="s">
        <v>40</v>
      </c>
      <c r="V39" s="5">
        <v>5939.62</v>
      </c>
      <c r="W39" s="5">
        <v>2524.34</v>
      </c>
      <c r="X39" s="5">
        <v>2390.6999999999998</v>
      </c>
      <c r="Y39" s="5">
        <v>1024.58</v>
      </c>
    </row>
    <row r="40" spans="1:25" ht="60.75" x14ac:dyDescent="0.25">
      <c r="A40" s="3" t="s">
        <v>26</v>
      </c>
      <c r="B40" s="3" t="s">
        <v>27</v>
      </c>
      <c r="C40" s="3" t="s">
        <v>28</v>
      </c>
      <c r="D40" s="3" t="s">
        <v>45</v>
      </c>
      <c r="E40" s="3" t="s">
        <v>46</v>
      </c>
      <c r="F40" s="3" t="s">
        <v>47</v>
      </c>
      <c r="G40" s="3" t="s">
        <v>46</v>
      </c>
      <c r="H40" s="3" t="s">
        <v>33</v>
      </c>
      <c r="I40" s="3">
        <v>2025</v>
      </c>
      <c r="J40" s="3" t="str">
        <f>CONCATENATE("54820052485")</f>
        <v>54820052485</v>
      </c>
      <c r="K40" s="3" t="s">
        <v>34</v>
      </c>
      <c r="L40" s="3"/>
      <c r="M40" s="3" t="s">
        <v>35</v>
      </c>
      <c r="N40" s="3" t="str">
        <f>CONCATENATE("BDYMLN71E42Z100O")</f>
        <v>BDYMLN71E42Z100O</v>
      </c>
      <c r="O40" s="3" t="s">
        <v>101</v>
      </c>
      <c r="P40" s="3" t="s">
        <v>37</v>
      </c>
      <c r="Q40" s="3"/>
      <c r="R40" s="4">
        <v>46058</v>
      </c>
      <c r="S40" s="3" t="s">
        <v>38</v>
      </c>
      <c r="T40" s="3" t="s">
        <v>39</v>
      </c>
      <c r="U40" s="3" t="s">
        <v>40</v>
      </c>
      <c r="V40" s="3">
        <v>791.54</v>
      </c>
      <c r="W40" s="3">
        <v>336.4</v>
      </c>
      <c r="X40" s="3">
        <v>318.58999999999997</v>
      </c>
      <c r="Y40" s="3">
        <v>136.55000000000001</v>
      </c>
    </row>
    <row r="41" spans="1:25" ht="60.75" x14ac:dyDescent="0.25">
      <c r="A41" s="3" t="s">
        <v>26</v>
      </c>
      <c r="B41" s="3" t="s">
        <v>27</v>
      </c>
      <c r="C41" s="3" t="s">
        <v>28</v>
      </c>
      <c r="D41" s="3" t="s">
        <v>62</v>
      </c>
      <c r="E41" s="3" t="s">
        <v>79</v>
      </c>
      <c r="F41" s="3" t="s">
        <v>64</v>
      </c>
      <c r="G41" s="3" t="s">
        <v>79</v>
      </c>
      <c r="H41" s="3" t="s">
        <v>43</v>
      </c>
      <c r="I41" s="3">
        <v>2025</v>
      </c>
      <c r="J41" s="3" t="str">
        <f>CONCATENATE("54820061650")</f>
        <v>54820061650</v>
      </c>
      <c r="K41" s="3" t="s">
        <v>34</v>
      </c>
      <c r="L41" s="3"/>
      <c r="M41" s="3" t="s">
        <v>35</v>
      </c>
      <c r="N41" s="3" t="str">
        <f>CONCATENATE("MRZPQL53C12L517D")</f>
        <v>MRZPQL53C12L517D</v>
      </c>
      <c r="O41" s="3" t="s">
        <v>102</v>
      </c>
      <c r="P41" s="3" t="s">
        <v>37</v>
      </c>
      <c r="Q41" s="3"/>
      <c r="R41" s="4">
        <v>46058</v>
      </c>
      <c r="S41" s="3" t="s">
        <v>38</v>
      </c>
      <c r="T41" s="3" t="s">
        <v>39</v>
      </c>
      <c r="U41" s="3" t="s">
        <v>40</v>
      </c>
      <c r="V41" s="3">
        <v>346.97</v>
      </c>
      <c r="W41" s="3">
        <v>147.46</v>
      </c>
      <c r="X41" s="3">
        <v>139.66</v>
      </c>
      <c r="Y41" s="3">
        <v>59.85</v>
      </c>
    </row>
    <row r="42" spans="1:25" ht="36.75" x14ac:dyDescent="0.25">
      <c r="A42" s="3" t="s">
        <v>26</v>
      </c>
      <c r="B42" s="3" t="s">
        <v>27</v>
      </c>
      <c r="C42" s="3" t="s">
        <v>28</v>
      </c>
      <c r="D42" s="3" t="s">
        <v>62</v>
      </c>
      <c r="E42" s="3" t="s">
        <v>63</v>
      </c>
      <c r="F42" s="3" t="s">
        <v>64</v>
      </c>
      <c r="G42" s="3" t="s">
        <v>63</v>
      </c>
      <c r="H42" s="3" t="s">
        <v>51</v>
      </c>
      <c r="I42" s="3">
        <v>2025</v>
      </c>
      <c r="J42" s="3" t="str">
        <f>CONCATENATE("54820026604")</f>
        <v>54820026604</v>
      </c>
      <c r="K42" s="3" t="s">
        <v>34</v>
      </c>
      <c r="L42" s="3"/>
      <c r="M42" s="3" t="s">
        <v>35</v>
      </c>
      <c r="N42" s="3" t="str">
        <f>CONCATENATE("02793420411")</f>
        <v>02793420411</v>
      </c>
      <c r="O42" s="3" t="s">
        <v>103</v>
      </c>
      <c r="P42" s="3" t="s">
        <v>37</v>
      </c>
      <c r="Q42" s="3"/>
      <c r="R42" s="4">
        <v>46058</v>
      </c>
      <c r="S42" s="3" t="s">
        <v>38</v>
      </c>
      <c r="T42" s="3" t="s">
        <v>39</v>
      </c>
      <c r="U42" s="3" t="s">
        <v>40</v>
      </c>
      <c r="V42" s="3">
        <v>621.19000000000005</v>
      </c>
      <c r="W42" s="3">
        <v>264.01</v>
      </c>
      <c r="X42" s="3">
        <v>250.03</v>
      </c>
      <c r="Y42" s="3">
        <v>107.15</v>
      </c>
    </row>
    <row r="43" spans="1:25" ht="36.75" x14ac:dyDescent="0.25">
      <c r="A43" s="3" t="s">
        <v>26</v>
      </c>
      <c r="B43" s="3" t="s">
        <v>27</v>
      </c>
      <c r="C43" s="3" t="s">
        <v>28</v>
      </c>
      <c r="D43" s="3" t="s">
        <v>62</v>
      </c>
      <c r="E43" s="3" t="s">
        <v>63</v>
      </c>
      <c r="F43" s="3" t="s">
        <v>64</v>
      </c>
      <c r="G43" s="3" t="s">
        <v>63</v>
      </c>
      <c r="H43" s="3" t="s">
        <v>51</v>
      </c>
      <c r="I43" s="3">
        <v>2025</v>
      </c>
      <c r="J43" s="3" t="str">
        <f>CONCATENATE("54820029053")</f>
        <v>54820029053</v>
      </c>
      <c r="K43" s="3" t="s">
        <v>34</v>
      </c>
      <c r="L43" s="3"/>
      <c r="M43" s="3" t="s">
        <v>35</v>
      </c>
      <c r="N43" s="3" t="str">
        <f>CONCATENATE("02347150415")</f>
        <v>02347150415</v>
      </c>
      <c r="O43" s="3" t="s">
        <v>104</v>
      </c>
      <c r="P43" s="3" t="s">
        <v>37</v>
      </c>
      <c r="Q43" s="3"/>
      <c r="R43" s="4">
        <v>46058</v>
      </c>
      <c r="S43" s="3" t="s">
        <v>38</v>
      </c>
      <c r="T43" s="3" t="s">
        <v>39</v>
      </c>
      <c r="U43" s="3" t="s">
        <v>40</v>
      </c>
      <c r="V43" s="5">
        <v>1893.56</v>
      </c>
      <c r="W43" s="3">
        <v>804.76</v>
      </c>
      <c r="X43" s="3">
        <v>762.16</v>
      </c>
      <c r="Y43" s="3">
        <v>326.64</v>
      </c>
    </row>
    <row r="44" spans="1:25" ht="60.75" x14ac:dyDescent="0.25">
      <c r="A44" s="3" t="s">
        <v>26</v>
      </c>
      <c r="B44" s="3" t="s">
        <v>27</v>
      </c>
      <c r="C44" s="3" t="s">
        <v>28</v>
      </c>
      <c r="D44" s="3" t="s">
        <v>62</v>
      </c>
      <c r="E44" s="3" t="s">
        <v>79</v>
      </c>
      <c r="F44" s="3" t="s">
        <v>64</v>
      </c>
      <c r="G44" s="3" t="s">
        <v>79</v>
      </c>
      <c r="H44" s="3" t="s">
        <v>43</v>
      </c>
      <c r="I44" s="3">
        <v>2025</v>
      </c>
      <c r="J44" s="3" t="str">
        <f>CONCATENATE("54820014642")</f>
        <v>54820014642</v>
      </c>
      <c r="K44" s="3" t="s">
        <v>34</v>
      </c>
      <c r="L44" s="3"/>
      <c r="M44" s="3" t="s">
        <v>35</v>
      </c>
      <c r="N44" s="3" t="str">
        <f>CONCATENATE("TRNLNZ76L01B474E")</f>
        <v>TRNLNZ76L01B474E</v>
      </c>
      <c r="O44" s="3" t="s">
        <v>105</v>
      </c>
      <c r="P44" s="3" t="s">
        <v>37</v>
      </c>
      <c r="Q44" s="3"/>
      <c r="R44" s="4">
        <v>46058</v>
      </c>
      <c r="S44" s="3" t="s">
        <v>38</v>
      </c>
      <c r="T44" s="3" t="s">
        <v>39</v>
      </c>
      <c r="U44" s="3" t="s">
        <v>40</v>
      </c>
      <c r="V44" s="3">
        <v>849.71</v>
      </c>
      <c r="W44" s="3">
        <v>361.13</v>
      </c>
      <c r="X44" s="3">
        <v>342.01</v>
      </c>
      <c r="Y44" s="3">
        <v>146.57</v>
      </c>
    </row>
    <row r="45" spans="1:25" ht="60.75" x14ac:dyDescent="0.25">
      <c r="A45" s="3" t="s">
        <v>26</v>
      </c>
      <c r="B45" s="3" t="s">
        <v>27</v>
      </c>
      <c r="C45" s="3" t="s">
        <v>28</v>
      </c>
      <c r="D45" s="3" t="s">
        <v>41</v>
      </c>
      <c r="E45" s="3" t="s">
        <v>74</v>
      </c>
      <c r="F45" s="3" t="s">
        <v>31</v>
      </c>
      <c r="G45" s="3" t="s">
        <v>74</v>
      </c>
      <c r="H45" s="3" t="s">
        <v>33</v>
      </c>
      <c r="I45" s="3">
        <v>2025</v>
      </c>
      <c r="J45" s="3" t="str">
        <f>CONCATENATE("54820110622")</f>
        <v>54820110622</v>
      </c>
      <c r="K45" s="3" t="s">
        <v>34</v>
      </c>
      <c r="L45" s="3"/>
      <c r="M45" s="3" t="s">
        <v>35</v>
      </c>
      <c r="N45" s="3" t="str">
        <f>CONCATENATE("BREMRS38E61I461N")</f>
        <v>BREMRS38E61I461N</v>
      </c>
      <c r="O45" s="3" t="s">
        <v>106</v>
      </c>
      <c r="P45" s="3" t="s">
        <v>37</v>
      </c>
      <c r="Q45" s="3"/>
      <c r="R45" s="4">
        <v>46058</v>
      </c>
      <c r="S45" s="3" t="s">
        <v>38</v>
      </c>
      <c r="T45" s="3" t="s">
        <v>39</v>
      </c>
      <c r="U45" s="3" t="s">
        <v>40</v>
      </c>
      <c r="V45" s="5">
        <v>1416.6</v>
      </c>
      <c r="W45" s="3">
        <v>602.05999999999995</v>
      </c>
      <c r="X45" s="3">
        <v>570.17999999999995</v>
      </c>
      <c r="Y45" s="3">
        <v>244.36</v>
      </c>
    </row>
    <row r="46" spans="1:25" ht="60.75" x14ac:dyDescent="0.25">
      <c r="A46" s="3" t="s">
        <v>26</v>
      </c>
      <c r="B46" s="3" t="s">
        <v>27</v>
      </c>
      <c r="C46" s="3" t="s">
        <v>28</v>
      </c>
      <c r="D46" s="3" t="s">
        <v>62</v>
      </c>
      <c r="E46" s="3" t="s">
        <v>79</v>
      </c>
      <c r="F46" s="3" t="s">
        <v>64</v>
      </c>
      <c r="G46" s="3" t="s">
        <v>79</v>
      </c>
      <c r="H46" s="3" t="s">
        <v>43</v>
      </c>
      <c r="I46" s="3">
        <v>2025</v>
      </c>
      <c r="J46" s="3" t="str">
        <f>CONCATENATE("54820110242")</f>
        <v>54820110242</v>
      </c>
      <c r="K46" s="3" t="s">
        <v>34</v>
      </c>
      <c r="L46" s="3"/>
      <c r="M46" s="3" t="s">
        <v>35</v>
      </c>
      <c r="N46" s="3" t="str">
        <f>CONCATENATE("FCCLCN56T13M082M")</f>
        <v>FCCLCN56T13M082M</v>
      </c>
      <c r="O46" s="3" t="s">
        <v>107</v>
      </c>
      <c r="P46" s="3" t="s">
        <v>37</v>
      </c>
      <c r="Q46" s="3"/>
      <c r="R46" s="4">
        <v>46058</v>
      </c>
      <c r="S46" s="3" t="s">
        <v>38</v>
      </c>
      <c r="T46" s="3" t="s">
        <v>39</v>
      </c>
      <c r="U46" s="3" t="s">
        <v>40</v>
      </c>
      <c r="V46" s="5">
        <v>6457.38</v>
      </c>
      <c r="W46" s="5">
        <v>2744.39</v>
      </c>
      <c r="X46" s="5">
        <v>2599.1</v>
      </c>
      <c r="Y46" s="5">
        <v>1113.8900000000001</v>
      </c>
    </row>
    <row r="47" spans="1:25" ht="60.75" x14ac:dyDescent="0.25">
      <c r="A47" s="3" t="s">
        <v>26</v>
      </c>
      <c r="B47" s="3" t="s">
        <v>27</v>
      </c>
      <c r="C47" s="3" t="s">
        <v>28</v>
      </c>
      <c r="D47" s="3" t="s">
        <v>45</v>
      </c>
      <c r="E47" s="3" t="s">
        <v>91</v>
      </c>
      <c r="F47" s="3" t="s">
        <v>47</v>
      </c>
      <c r="G47" s="3" t="s">
        <v>91</v>
      </c>
      <c r="H47" s="3" t="s">
        <v>51</v>
      </c>
      <c r="I47" s="3">
        <v>2025</v>
      </c>
      <c r="J47" s="3" t="str">
        <f>CONCATENATE("54820054028")</f>
        <v>54820054028</v>
      </c>
      <c r="K47" s="3" t="s">
        <v>34</v>
      </c>
      <c r="L47" s="3"/>
      <c r="M47" s="3" t="s">
        <v>35</v>
      </c>
      <c r="N47" s="3" t="str">
        <f>CONCATENATE("GRSRNI56P17F136W")</f>
        <v>GRSRNI56P17F136W</v>
      </c>
      <c r="O47" s="3" t="s">
        <v>108</v>
      </c>
      <c r="P47" s="3" t="s">
        <v>37</v>
      </c>
      <c r="Q47" s="3"/>
      <c r="R47" s="4">
        <v>46058</v>
      </c>
      <c r="S47" s="3" t="s">
        <v>38</v>
      </c>
      <c r="T47" s="3" t="s">
        <v>39</v>
      </c>
      <c r="U47" s="3" t="s">
        <v>40</v>
      </c>
      <c r="V47" s="5">
        <v>2275.89</v>
      </c>
      <c r="W47" s="3">
        <v>967.25</v>
      </c>
      <c r="X47" s="3">
        <v>916.05</v>
      </c>
      <c r="Y47" s="3">
        <v>392.59</v>
      </c>
    </row>
    <row r="48" spans="1:25" ht="60.75" x14ac:dyDescent="0.25">
      <c r="A48" s="3" t="s">
        <v>26</v>
      </c>
      <c r="B48" s="3" t="s">
        <v>27</v>
      </c>
      <c r="C48" s="3" t="s">
        <v>28</v>
      </c>
      <c r="D48" s="3" t="s">
        <v>41</v>
      </c>
      <c r="E48" s="3" t="s">
        <v>57</v>
      </c>
      <c r="F48" s="3" t="s">
        <v>31</v>
      </c>
      <c r="G48" s="3" t="s">
        <v>57</v>
      </c>
      <c r="H48" s="3" t="s">
        <v>51</v>
      </c>
      <c r="I48" s="3">
        <v>2025</v>
      </c>
      <c r="J48" s="3" t="str">
        <f>CONCATENATE("54820074943")</f>
        <v>54820074943</v>
      </c>
      <c r="K48" s="3" t="s">
        <v>34</v>
      </c>
      <c r="L48" s="3"/>
      <c r="M48" s="3" t="s">
        <v>35</v>
      </c>
      <c r="N48" s="3" t="str">
        <f>CONCATENATE("BRTGRL71L02D749Y")</f>
        <v>BRTGRL71L02D749Y</v>
      </c>
      <c r="O48" s="3" t="s">
        <v>109</v>
      </c>
      <c r="P48" s="3" t="s">
        <v>37</v>
      </c>
      <c r="Q48" s="3"/>
      <c r="R48" s="4">
        <v>46058</v>
      </c>
      <c r="S48" s="3" t="s">
        <v>38</v>
      </c>
      <c r="T48" s="3" t="s">
        <v>39</v>
      </c>
      <c r="U48" s="3" t="s">
        <v>40</v>
      </c>
      <c r="V48" s="3">
        <v>912.51</v>
      </c>
      <c r="W48" s="3">
        <v>387.82</v>
      </c>
      <c r="X48" s="3">
        <v>367.29</v>
      </c>
      <c r="Y48" s="3">
        <v>157.4</v>
      </c>
    </row>
    <row r="49" spans="1:25" ht="72.75" x14ac:dyDescent="0.25">
      <c r="A49" s="3" t="s">
        <v>26</v>
      </c>
      <c r="B49" s="3" t="s">
        <v>27</v>
      </c>
      <c r="C49" s="3" t="s">
        <v>28</v>
      </c>
      <c r="D49" s="3" t="s">
        <v>41</v>
      </c>
      <c r="E49" s="3" t="s">
        <v>53</v>
      </c>
      <c r="F49" s="3" t="s">
        <v>31</v>
      </c>
      <c r="G49" s="3" t="s">
        <v>53</v>
      </c>
      <c r="H49" s="3" t="s">
        <v>51</v>
      </c>
      <c r="I49" s="3">
        <v>2025</v>
      </c>
      <c r="J49" s="3" t="str">
        <f>CONCATENATE("54820079751")</f>
        <v>54820079751</v>
      </c>
      <c r="K49" s="3" t="s">
        <v>34</v>
      </c>
      <c r="L49" s="3"/>
      <c r="M49" s="3" t="s">
        <v>35</v>
      </c>
      <c r="N49" s="3" t="str">
        <f>CONCATENATE("RMTGMR98E12D488C")</f>
        <v>RMTGMR98E12D488C</v>
      </c>
      <c r="O49" s="3" t="s">
        <v>110</v>
      </c>
      <c r="P49" s="3" t="s">
        <v>37</v>
      </c>
      <c r="Q49" s="3"/>
      <c r="R49" s="4">
        <v>46058</v>
      </c>
      <c r="S49" s="3" t="s">
        <v>38</v>
      </c>
      <c r="T49" s="3" t="s">
        <v>39</v>
      </c>
      <c r="U49" s="3" t="s">
        <v>40</v>
      </c>
      <c r="V49" s="3">
        <v>396.33</v>
      </c>
      <c r="W49" s="3">
        <v>168.44</v>
      </c>
      <c r="X49" s="3">
        <v>159.52000000000001</v>
      </c>
      <c r="Y49" s="3">
        <v>68.37</v>
      </c>
    </row>
    <row r="50" spans="1:25" ht="60.75" x14ac:dyDescent="0.25">
      <c r="A50" s="3" t="s">
        <v>26</v>
      </c>
      <c r="B50" s="3" t="s">
        <v>27</v>
      </c>
      <c r="C50" s="3" t="s">
        <v>28</v>
      </c>
      <c r="D50" s="3" t="s">
        <v>41</v>
      </c>
      <c r="E50" s="3" t="s">
        <v>74</v>
      </c>
      <c r="F50" s="3" t="s">
        <v>31</v>
      </c>
      <c r="G50" s="3" t="s">
        <v>74</v>
      </c>
      <c r="H50" s="3" t="s">
        <v>33</v>
      </c>
      <c r="I50" s="3">
        <v>2025</v>
      </c>
      <c r="J50" s="3" t="str">
        <f>CONCATENATE("54820154224")</f>
        <v>54820154224</v>
      </c>
      <c r="K50" s="3" t="s">
        <v>34</v>
      </c>
      <c r="L50" s="3"/>
      <c r="M50" s="3" t="s">
        <v>35</v>
      </c>
      <c r="N50" s="3" t="str">
        <f>CONCATENATE("TNIPRZ53T70I461Z")</f>
        <v>TNIPRZ53T70I461Z</v>
      </c>
      <c r="O50" s="3" t="s">
        <v>111</v>
      </c>
      <c r="P50" s="3" t="s">
        <v>37</v>
      </c>
      <c r="Q50" s="3"/>
      <c r="R50" s="4">
        <v>46058</v>
      </c>
      <c r="S50" s="3" t="s">
        <v>38</v>
      </c>
      <c r="T50" s="3" t="s">
        <v>39</v>
      </c>
      <c r="U50" s="3" t="s">
        <v>40</v>
      </c>
      <c r="V50" s="5">
        <v>2730.23</v>
      </c>
      <c r="W50" s="5">
        <v>1160.3499999999999</v>
      </c>
      <c r="X50" s="5">
        <v>1098.92</v>
      </c>
      <c r="Y50" s="3">
        <v>470.96</v>
      </c>
    </row>
    <row r="51" spans="1:25" ht="60.75" x14ac:dyDescent="0.25">
      <c r="A51" s="3" t="s">
        <v>26</v>
      </c>
      <c r="B51" s="3" t="s">
        <v>27</v>
      </c>
      <c r="C51" s="3" t="s">
        <v>28</v>
      </c>
      <c r="D51" s="3" t="s">
        <v>45</v>
      </c>
      <c r="E51" s="3" t="s">
        <v>91</v>
      </c>
      <c r="F51" s="3" t="s">
        <v>47</v>
      </c>
      <c r="G51" s="3" t="s">
        <v>91</v>
      </c>
      <c r="H51" s="3" t="s">
        <v>51</v>
      </c>
      <c r="I51" s="3">
        <v>2025</v>
      </c>
      <c r="J51" s="3" t="str">
        <f>CONCATENATE("54820066295")</f>
        <v>54820066295</v>
      </c>
      <c r="K51" s="3" t="s">
        <v>34</v>
      </c>
      <c r="L51" s="3"/>
      <c r="M51" s="3" t="s">
        <v>35</v>
      </c>
      <c r="N51" s="3" t="str">
        <f>CONCATENATE("RSSGNN56M13F467D")</f>
        <v>RSSGNN56M13F467D</v>
      </c>
      <c r="O51" s="3" t="s">
        <v>112</v>
      </c>
      <c r="P51" s="3" t="s">
        <v>37</v>
      </c>
      <c r="Q51" s="3"/>
      <c r="R51" s="4">
        <v>46058</v>
      </c>
      <c r="S51" s="3" t="s">
        <v>38</v>
      </c>
      <c r="T51" s="3" t="s">
        <v>39</v>
      </c>
      <c r="U51" s="3" t="s">
        <v>40</v>
      </c>
      <c r="V51" s="3">
        <v>894.57</v>
      </c>
      <c r="W51" s="3">
        <v>380.19</v>
      </c>
      <c r="X51" s="3">
        <v>360.06</v>
      </c>
      <c r="Y51" s="3">
        <v>154.32</v>
      </c>
    </row>
    <row r="52" spans="1:25" ht="60.75" x14ac:dyDescent="0.25">
      <c r="A52" s="3" t="s">
        <v>26</v>
      </c>
      <c r="B52" s="3" t="s">
        <v>27</v>
      </c>
      <c r="C52" s="3" t="s">
        <v>28</v>
      </c>
      <c r="D52" s="3" t="s">
        <v>62</v>
      </c>
      <c r="E52" s="3" t="s">
        <v>81</v>
      </c>
      <c r="F52" s="3" t="s">
        <v>64</v>
      </c>
      <c r="G52" s="3" t="s">
        <v>81</v>
      </c>
      <c r="H52" s="3" t="s">
        <v>43</v>
      </c>
      <c r="I52" s="3">
        <v>2025</v>
      </c>
      <c r="J52" s="3" t="str">
        <f>CONCATENATE("54820088349")</f>
        <v>54820088349</v>
      </c>
      <c r="K52" s="3" t="s">
        <v>34</v>
      </c>
      <c r="L52" s="3"/>
      <c r="M52" s="3" t="s">
        <v>35</v>
      </c>
      <c r="N52" s="3" t="str">
        <f>CONCATENATE("PGLTZN69E53D653N")</f>
        <v>PGLTZN69E53D653N</v>
      </c>
      <c r="O52" s="3" t="s">
        <v>113</v>
      </c>
      <c r="P52" s="3" t="s">
        <v>37</v>
      </c>
      <c r="Q52" s="3"/>
      <c r="R52" s="4">
        <v>46058</v>
      </c>
      <c r="S52" s="3" t="s">
        <v>38</v>
      </c>
      <c r="T52" s="3" t="s">
        <v>39</v>
      </c>
      <c r="U52" s="3" t="s">
        <v>40</v>
      </c>
      <c r="V52" s="3">
        <v>305.38</v>
      </c>
      <c r="W52" s="3">
        <v>129.79</v>
      </c>
      <c r="X52" s="3">
        <v>122.92</v>
      </c>
      <c r="Y52" s="3">
        <v>52.67</v>
      </c>
    </row>
    <row r="53" spans="1:25" ht="60.75" x14ac:dyDescent="0.25">
      <c r="A53" s="3" t="s">
        <v>26</v>
      </c>
      <c r="B53" s="3" t="s">
        <v>27</v>
      </c>
      <c r="C53" s="3" t="s">
        <v>28</v>
      </c>
      <c r="D53" s="3" t="s">
        <v>45</v>
      </c>
      <c r="E53" s="3" t="s">
        <v>86</v>
      </c>
      <c r="F53" s="3" t="s">
        <v>47</v>
      </c>
      <c r="G53" s="3" t="s">
        <v>86</v>
      </c>
      <c r="H53" s="3" t="s">
        <v>51</v>
      </c>
      <c r="I53" s="3">
        <v>2025</v>
      </c>
      <c r="J53" s="3" t="str">
        <f>CONCATENATE("54820102173")</f>
        <v>54820102173</v>
      </c>
      <c r="K53" s="3" t="s">
        <v>34</v>
      </c>
      <c r="L53" s="3"/>
      <c r="M53" s="3" t="s">
        <v>35</v>
      </c>
      <c r="N53" s="3" t="str">
        <f>CONCATENATE("CGRNNA51E42A978B")</f>
        <v>CGRNNA51E42A978B</v>
      </c>
      <c r="O53" s="3" t="s">
        <v>114</v>
      </c>
      <c r="P53" s="3" t="s">
        <v>37</v>
      </c>
      <c r="Q53" s="3"/>
      <c r="R53" s="4">
        <v>46058</v>
      </c>
      <c r="S53" s="3" t="s">
        <v>38</v>
      </c>
      <c r="T53" s="3" t="s">
        <v>39</v>
      </c>
      <c r="U53" s="3" t="s">
        <v>40</v>
      </c>
      <c r="V53" s="3">
        <v>813.3</v>
      </c>
      <c r="W53" s="3">
        <v>345.65</v>
      </c>
      <c r="X53" s="3">
        <v>327.35000000000002</v>
      </c>
      <c r="Y53" s="3">
        <v>140.30000000000001</v>
      </c>
    </row>
    <row r="54" spans="1:25" ht="60.75" x14ac:dyDescent="0.25">
      <c r="A54" s="3" t="s">
        <v>26</v>
      </c>
      <c r="B54" s="3" t="s">
        <v>27</v>
      </c>
      <c r="C54" s="3" t="s">
        <v>28</v>
      </c>
      <c r="D54" s="3" t="s">
        <v>41</v>
      </c>
      <c r="E54" s="3" t="s">
        <v>115</v>
      </c>
      <c r="F54" s="3" t="s">
        <v>31</v>
      </c>
      <c r="G54" s="3" t="s">
        <v>115</v>
      </c>
      <c r="H54" s="3" t="s">
        <v>43</v>
      </c>
      <c r="I54" s="3">
        <v>2025</v>
      </c>
      <c r="J54" s="3" t="str">
        <f>CONCATENATE("54820178272")</f>
        <v>54820178272</v>
      </c>
      <c r="K54" s="3" t="s">
        <v>34</v>
      </c>
      <c r="L54" s="3"/>
      <c r="M54" s="3" t="s">
        <v>35</v>
      </c>
      <c r="N54" s="3" t="str">
        <f>CONCATENATE("MBRFNC75L46M082V")</f>
        <v>MBRFNC75L46M082V</v>
      </c>
      <c r="O54" s="3" t="s">
        <v>116</v>
      </c>
      <c r="P54" s="3" t="s">
        <v>37</v>
      </c>
      <c r="Q54" s="3"/>
      <c r="R54" s="4">
        <v>46058</v>
      </c>
      <c r="S54" s="3" t="s">
        <v>38</v>
      </c>
      <c r="T54" s="3" t="s">
        <v>39</v>
      </c>
      <c r="U54" s="3" t="s">
        <v>40</v>
      </c>
      <c r="V54" s="5">
        <v>3271.98</v>
      </c>
      <c r="W54" s="5">
        <v>1390.59</v>
      </c>
      <c r="X54" s="5">
        <v>1316.97</v>
      </c>
      <c r="Y54" s="3">
        <v>564.41999999999996</v>
      </c>
    </row>
    <row r="55" spans="1:25" ht="36.75" x14ac:dyDescent="0.25">
      <c r="A55" s="3" t="s">
        <v>26</v>
      </c>
      <c r="B55" s="3" t="s">
        <v>27</v>
      </c>
      <c r="C55" s="3" t="s">
        <v>28</v>
      </c>
      <c r="D55" s="3" t="s">
        <v>41</v>
      </c>
      <c r="E55" s="3" t="s">
        <v>57</v>
      </c>
      <c r="F55" s="3" t="s">
        <v>31</v>
      </c>
      <c r="G55" s="3" t="s">
        <v>57</v>
      </c>
      <c r="H55" s="3" t="s">
        <v>51</v>
      </c>
      <c r="I55" s="3">
        <v>2025</v>
      </c>
      <c r="J55" s="3" t="str">
        <f>CONCATENATE("54820145891")</f>
        <v>54820145891</v>
      </c>
      <c r="K55" s="3" t="s">
        <v>34</v>
      </c>
      <c r="L55" s="3"/>
      <c r="M55" s="3" t="s">
        <v>35</v>
      </c>
      <c r="N55" s="3" t="str">
        <f>CONCATENATE("01130500414")</f>
        <v>01130500414</v>
      </c>
      <c r="O55" s="3" t="s">
        <v>117</v>
      </c>
      <c r="P55" s="3" t="s">
        <v>37</v>
      </c>
      <c r="Q55" s="3"/>
      <c r="R55" s="4">
        <v>46058</v>
      </c>
      <c r="S55" s="3" t="s">
        <v>38</v>
      </c>
      <c r="T55" s="3" t="s">
        <v>39</v>
      </c>
      <c r="U55" s="3" t="s">
        <v>40</v>
      </c>
      <c r="V55" s="3">
        <v>886.35</v>
      </c>
      <c r="W55" s="3">
        <v>376.7</v>
      </c>
      <c r="X55" s="3">
        <v>356.76</v>
      </c>
      <c r="Y55" s="3">
        <v>152.88999999999999</v>
      </c>
    </row>
    <row r="56" spans="1:25" ht="60.75" x14ac:dyDescent="0.25">
      <c r="A56" s="3" t="s">
        <v>26</v>
      </c>
      <c r="B56" s="3" t="s">
        <v>27</v>
      </c>
      <c r="C56" s="3" t="s">
        <v>28</v>
      </c>
      <c r="D56" s="3" t="s">
        <v>29</v>
      </c>
      <c r="E56" s="3" t="s">
        <v>30</v>
      </c>
      <c r="F56" s="3" t="s">
        <v>31</v>
      </c>
      <c r="G56" s="3" t="s">
        <v>32</v>
      </c>
      <c r="H56" s="3" t="s">
        <v>33</v>
      </c>
      <c r="I56" s="3">
        <v>2025</v>
      </c>
      <c r="J56" s="3" t="str">
        <f>CONCATENATE("54820073077")</f>
        <v>54820073077</v>
      </c>
      <c r="K56" s="3" t="s">
        <v>34</v>
      </c>
      <c r="L56" s="3"/>
      <c r="M56" s="3" t="s">
        <v>35</v>
      </c>
      <c r="N56" s="3" t="str">
        <f>CONCATENATE("LCCRTM46T20D965Z")</f>
        <v>LCCRTM46T20D965Z</v>
      </c>
      <c r="O56" s="3" t="s">
        <v>118</v>
      </c>
      <c r="P56" s="3" t="s">
        <v>37</v>
      </c>
      <c r="Q56" s="3"/>
      <c r="R56" s="4">
        <v>46058</v>
      </c>
      <c r="S56" s="3" t="s">
        <v>38</v>
      </c>
      <c r="T56" s="3" t="s">
        <v>39</v>
      </c>
      <c r="U56" s="3" t="s">
        <v>40</v>
      </c>
      <c r="V56" s="3">
        <v>94.97</v>
      </c>
      <c r="W56" s="3">
        <v>40.36</v>
      </c>
      <c r="X56" s="3">
        <v>38.229999999999997</v>
      </c>
      <c r="Y56" s="3">
        <v>16.38</v>
      </c>
    </row>
    <row r="57" spans="1:25" ht="60.75" x14ac:dyDescent="0.25">
      <c r="A57" s="3" t="s">
        <v>26</v>
      </c>
      <c r="B57" s="3" t="s">
        <v>27</v>
      </c>
      <c r="C57" s="3" t="s">
        <v>28</v>
      </c>
      <c r="D57" s="3" t="s">
        <v>41</v>
      </c>
      <c r="E57" s="3" t="s">
        <v>119</v>
      </c>
      <c r="F57" s="3" t="s">
        <v>31</v>
      </c>
      <c r="G57" s="3" t="s">
        <v>119</v>
      </c>
      <c r="H57" s="3" t="s">
        <v>51</v>
      </c>
      <c r="I57" s="3">
        <v>2025</v>
      </c>
      <c r="J57" s="3" t="str">
        <f>CONCATENATE("54820041413")</f>
        <v>54820041413</v>
      </c>
      <c r="K57" s="3" t="s">
        <v>34</v>
      </c>
      <c r="L57" s="3"/>
      <c r="M57" s="3" t="s">
        <v>35</v>
      </c>
      <c r="N57" s="3" t="str">
        <f>CONCATENATE("BLSMLN47T61G453L")</f>
        <v>BLSMLN47T61G453L</v>
      </c>
      <c r="O57" s="3" t="s">
        <v>120</v>
      </c>
      <c r="P57" s="3" t="s">
        <v>37</v>
      </c>
      <c r="Q57" s="3"/>
      <c r="R57" s="4">
        <v>46058</v>
      </c>
      <c r="S57" s="3" t="s">
        <v>38</v>
      </c>
      <c r="T57" s="3" t="s">
        <v>39</v>
      </c>
      <c r="U57" s="3" t="s">
        <v>40</v>
      </c>
      <c r="V57" s="3">
        <v>337.28</v>
      </c>
      <c r="W57" s="3">
        <v>143.34</v>
      </c>
      <c r="X57" s="3">
        <v>135.76</v>
      </c>
      <c r="Y57" s="3">
        <v>58.18</v>
      </c>
    </row>
    <row r="58" spans="1:25" ht="60.75" x14ac:dyDescent="0.25">
      <c r="A58" s="3" t="s">
        <v>26</v>
      </c>
      <c r="B58" s="3" t="s">
        <v>27</v>
      </c>
      <c r="C58" s="3" t="s">
        <v>28</v>
      </c>
      <c r="D58" s="3" t="s">
        <v>62</v>
      </c>
      <c r="E58" s="3" t="s">
        <v>81</v>
      </c>
      <c r="F58" s="3" t="s">
        <v>64</v>
      </c>
      <c r="G58" s="3" t="s">
        <v>81</v>
      </c>
      <c r="H58" s="3" t="s">
        <v>43</v>
      </c>
      <c r="I58" s="3">
        <v>2025</v>
      </c>
      <c r="J58" s="3" t="str">
        <f>CONCATENATE("54820271499")</f>
        <v>54820271499</v>
      </c>
      <c r="K58" s="3" t="s">
        <v>34</v>
      </c>
      <c r="L58" s="3"/>
      <c r="M58" s="3" t="s">
        <v>35</v>
      </c>
      <c r="N58" s="3" t="str">
        <f>CONCATENATE("GRNCRD73E01I156S")</f>
        <v>GRNCRD73E01I156S</v>
      </c>
      <c r="O58" s="3" t="s">
        <v>121</v>
      </c>
      <c r="P58" s="3" t="s">
        <v>37</v>
      </c>
      <c r="Q58" s="3"/>
      <c r="R58" s="4">
        <v>46058</v>
      </c>
      <c r="S58" s="3" t="s">
        <v>38</v>
      </c>
      <c r="T58" s="3" t="s">
        <v>39</v>
      </c>
      <c r="U58" s="3" t="s">
        <v>40</v>
      </c>
      <c r="V58" s="5">
        <v>5509.42</v>
      </c>
      <c r="W58" s="5">
        <v>2341.5</v>
      </c>
      <c r="X58" s="5">
        <v>2217.54</v>
      </c>
      <c r="Y58" s="3">
        <v>950.38</v>
      </c>
    </row>
    <row r="59" spans="1:25" ht="60.75" x14ac:dyDescent="0.25">
      <c r="A59" s="3" t="s">
        <v>26</v>
      </c>
      <c r="B59" s="3" t="s">
        <v>27</v>
      </c>
      <c r="C59" s="3" t="s">
        <v>28</v>
      </c>
      <c r="D59" s="3" t="s">
        <v>45</v>
      </c>
      <c r="E59" s="3" t="s">
        <v>122</v>
      </c>
      <c r="F59" s="3" t="s">
        <v>47</v>
      </c>
      <c r="G59" s="3" t="s">
        <v>122</v>
      </c>
      <c r="H59" s="3" t="s">
        <v>68</v>
      </c>
      <c r="I59" s="3">
        <v>2025</v>
      </c>
      <c r="J59" s="3" t="str">
        <f>CONCATENATE("54820147731")</f>
        <v>54820147731</v>
      </c>
      <c r="K59" s="3" t="s">
        <v>34</v>
      </c>
      <c r="L59" s="3"/>
      <c r="M59" s="3" t="s">
        <v>35</v>
      </c>
      <c r="N59" s="3" t="str">
        <f>CONCATENATE("GRVMRA66C04A252I")</f>
        <v>GRVMRA66C04A252I</v>
      </c>
      <c r="O59" s="3" t="s">
        <v>123</v>
      </c>
      <c r="P59" s="3" t="s">
        <v>37</v>
      </c>
      <c r="Q59" s="3"/>
      <c r="R59" s="4">
        <v>46058</v>
      </c>
      <c r="S59" s="3" t="s">
        <v>38</v>
      </c>
      <c r="T59" s="3" t="s">
        <v>39</v>
      </c>
      <c r="U59" s="3" t="s">
        <v>40</v>
      </c>
      <c r="V59" s="5">
        <v>3201.53</v>
      </c>
      <c r="W59" s="5">
        <v>1360.65</v>
      </c>
      <c r="X59" s="5">
        <v>1288.6199999999999</v>
      </c>
      <c r="Y59" s="3">
        <v>552.26</v>
      </c>
    </row>
    <row r="60" spans="1:25" ht="72.75" x14ac:dyDescent="0.25">
      <c r="A60" s="3" t="s">
        <v>26</v>
      </c>
      <c r="B60" s="3" t="s">
        <v>27</v>
      </c>
      <c r="C60" s="3" t="s">
        <v>28</v>
      </c>
      <c r="D60" s="3" t="s">
        <v>41</v>
      </c>
      <c r="E60" s="3" t="s">
        <v>74</v>
      </c>
      <c r="F60" s="3" t="s">
        <v>31</v>
      </c>
      <c r="G60" s="3" t="s">
        <v>74</v>
      </c>
      <c r="H60" s="3" t="s">
        <v>33</v>
      </c>
      <c r="I60" s="3">
        <v>2025</v>
      </c>
      <c r="J60" s="3" t="str">
        <f>CONCATENATE("54820171277")</f>
        <v>54820171277</v>
      </c>
      <c r="K60" s="3" t="s">
        <v>34</v>
      </c>
      <c r="L60" s="3"/>
      <c r="M60" s="3" t="s">
        <v>35</v>
      </c>
      <c r="N60" s="3" t="str">
        <f>CONCATENATE("BRNNDR83A07D451B")</f>
        <v>BRNNDR83A07D451B</v>
      </c>
      <c r="O60" s="3" t="s">
        <v>124</v>
      </c>
      <c r="P60" s="3" t="s">
        <v>37</v>
      </c>
      <c r="Q60" s="3"/>
      <c r="R60" s="4">
        <v>46058</v>
      </c>
      <c r="S60" s="3" t="s">
        <v>38</v>
      </c>
      <c r="T60" s="3" t="s">
        <v>39</v>
      </c>
      <c r="U60" s="3" t="s">
        <v>40</v>
      </c>
      <c r="V60" s="5">
        <v>1149.21</v>
      </c>
      <c r="W60" s="3">
        <v>488.41</v>
      </c>
      <c r="X60" s="3">
        <v>462.56</v>
      </c>
      <c r="Y60" s="3">
        <v>198.24</v>
      </c>
    </row>
    <row r="61" spans="1:25" ht="36.75" x14ac:dyDescent="0.25">
      <c r="A61" s="3" t="s">
        <v>26</v>
      </c>
      <c r="B61" s="3" t="s">
        <v>27</v>
      </c>
      <c r="C61" s="3" t="s">
        <v>28</v>
      </c>
      <c r="D61" s="3" t="s">
        <v>62</v>
      </c>
      <c r="E61" s="3" t="s">
        <v>63</v>
      </c>
      <c r="F61" s="3" t="s">
        <v>64</v>
      </c>
      <c r="G61" s="3" t="s">
        <v>63</v>
      </c>
      <c r="H61" s="3" t="s">
        <v>51</v>
      </c>
      <c r="I61" s="3">
        <v>2025</v>
      </c>
      <c r="J61" s="3" t="str">
        <f>CONCATENATE("54820046552")</f>
        <v>54820046552</v>
      </c>
      <c r="K61" s="3" t="s">
        <v>34</v>
      </c>
      <c r="L61" s="3"/>
      <c r="M61" s="3" t="s">
        <v>35</v>
      </c>
      <c r="N61" s="3" t="str">
        <f>CONCATENATE("02707760415")</f>
        <v>02707760415</v>
      </c>
      <c r="O61" s="3" t="s">
        <v>125</v>
      </c>
      <c r="P61" s="3" t="s">
        <v>37</v>
      </c>
      <c r="Q61" s="3"/>
      <c r="R61" s="4">
        <v>46058</v>
      </c>
      <c r="S61" s="3" t="s">
        <v>38</v>
      </c>
      <c r="T61" s="3" t="s">
        <v>39</v>
      </c>
      <c r="U61" s="3" t="s">
        <v>40</v>
      </c>
      <c r="V61" s="3">
        <v>923.73</v>
      </c>
      <c r="W61" s="3">
        <v>392.59</v>
      </c>
      <c r="X61" s="3">
        <v>371.8</v>
      </c>
      <c r="Y61" s="3">
        <v>159.34</v>
      </c>
    </row>
    <row r="62" spans="1:25" ht="60.75" x14ac:dyDescent="0.25">
      <c r="A62" s="3" t="s">
        <v>26</v>
      </c>
      <c r="B62" s="3" t="s">
        <v>27</v>
      </c>
      <c r="C62" s="3" t="s">
        <v>28</v>
      </c>
      <c r="D62" s="3" t="s">
        <v>62</v>
      </c>
      <c r="E62" s="3" t="s">
        <v>126</v>
      </c>
      <c r="F62" s="3" t="s">
        <v>64</v>
      </c>
      <c r="G62" s="3" t="s">
        <v>126</v>
      </c>
      <c r="H62" s="3" t="s">
        <v>43</v>
      </c>
      <c r="I62" s="3">
        <v>2025</v>
      </c>
      <c r="J62" s="3" t="str">
        <f>CONCATENATE("54820019468")</f>
        <v>54820019468</v>
      </c>
      <c r="K62" s="3" t="s">
        <v>34</v>
      </c>
      <c r="L62" s="3"/>
      <c r="M62" s="3" t="s">
        <v>35</v>
      </c>
      <c r="N62" s="3" t="str">
        <f>CONCATENATE("PRNGCM89S03L191A")</f>
        <v>PRNGCM89S03L191A</v>
      </c>
      <c r="O62" s="3" t="s">
        <v>127</v>
      </c>
      <c r="P62" s="3" t="s">
        <v>37</v>
      </c>
      <c r="Q62" s="3"/>
      <c r="R62" s="4">
        <v>46058</v>
      </c>
      <c r="S62" s="3" t="s">
        <v>38</v>
      </c>
      <c r="T62" s="3" t="s">
        <v>39</v>
      </c>
      <c r="U62" s="3" t="s">
        <v>40</v>
      </c>
      <c r="V62" s="3">
        <v>441.92</v>
      </c>
      <c r="W62" s="3">
        <v>187.82</v>
      </c>
      <c r="X62" s="3">
        <v>177.87</v>
      </c>
      <c r="Y62" s="3">
        <v>76.23</v>
      </c>
    </row>
    <row r="63" spans="1:25" ht="36.75" x14ac:dyDescent="0.25">
      <c r="A63" s="3" t="s">
        <v>26</v>
      </c>
      <c r="B63" s="3" t="s">
        <v>27</v>
      </c>
      <c r="C63" s="3" t="s">
        <v>28</v>
      </c>
      <c r="D63" s="3" t="s">
        <v>128</v>
      </c>
      <c r="E63" s="3" t="s">
        <v>129</v>
      </c>
      <c r="F63" s="3" t="s">
        <v>130</v>
      </c>
      <c r="G63" s="3" t="s">
        <v>129</v>
      </c>
      <c r="H63" s="3" t="s">
        <v>68</v>
      </c>
      <c r="I63" s="3">
        <v>2025</v>
      </c>
      <c r="J63" s="3" t="str">
        <f>CONCATENATE("54820149778")</f>
        <v>54820149778</v>
      </c>
      <c r="K63" s="3" t="s">
        <v>34</v>
      </c>
      <c r="L63" s="3"/>
      <c r="M63" s="3" t="s">
        <v>35</v>
      </c>
      <c r="N63" s="3" t="str">
        <f>CONCATENATE("01990920447")</f>
        <v>01990920447</v>
      </c>
      <c r="O63" s="3" t="s">
        <v>131</v>
      </c>
      <c r="P63" s="3" t="s">
        <v>37</v>
      </c>
      <c r="Q63" s="3"/>
      <c r="R63" s="4">
        <v>46058</v>
      </c>
      <c r="S63" s="3" t="s">
        <v>38</v>
      </c>
      <c r="T63" s="3" t="s">
        <v>39</v>
      </c>
      <c r="U63" s="3" t="s">
        <v>40</v>
      </c>
      <c r="V63" s="5">
        <v>2159.59</v>
      </c>
      <c r="W63" s="3">
        <v>917.83</v>
      </c>
      <c r="X63" s="3">
        <v>869.23</v>
      </c>
      <c r="Y63" s="3">
        <v>372.53</v>
      </c>
    </row>
    <row r="64" spans="1:25" ht="60.75" x14ac:dyDescent="0.25">
      <c r="A64" s="3" t="s">
        <v>26</v>
      </c>
      <c r="B64" s="3" t="s">
        <v>27</v>
      </c>
      <c r="C64" s="3" t="s">
        <v>28</v>
      </c>
      <c r="D64" s="3" t="s">
        <v>41</v>
      </c>
      <c r="E64" s="3" t="s">
        <v>32</v>
      </c>
      <c r="F64" s="3" t="s">
        <v>31</v>
      </c>
      <c r="G64" s="3" t="s">
        <v>32</v>
      </c>
      <c r="H64" s="3" t="s">
        <v>33</v>
      </c>
      <c r="I64" s="3">
        <v>2025</v>
      </c>
      <c r="J64" s="3" t="str">
        <f>CONCATENATE("54820191572")</f>
        <v>54820191572</v>
      </c>
      <c r="K64" s="3" t="s">
        <v>34</v>
      </c>
      <c r="L64" s="3"/>
      <c r="M64" s="3" t="s">
        <v>35</v>
      </c>
      <c r="N64" s="3" t="str">
        <f>CONCATENATE("CFNRLD64H19D451Z")</f>
        <v>CFNRLD64H19D451Z</v>
      </c>
      <c r="O64" s="3" t="s">
        <v>132</v>
      </c>
      <c r="P64" s="3" t="s">
        <v>37</v>
      </c>
      <c r="Q64" s="3"/>
      <c r="R64" s="4">
        <v>46058</v>
      </c>
      <c r="S64" s="3" t="s">
        <v>38</v>
      </c>
      <c r="T64" s="3" t="s">
        <v>39</v>
      </c>
      <c r="U64" s="3" t="s">
        <v>40</v>
      </c>
      <c r="V64" s="5">
        <v>6903.21</v>
      </c>
      <c r="W64" s="5">
        <v>2933.86</v>
      </c>
      <c r="X64" s="5">
        <v>2778.54</v>
      </c>
      <c r="Y64" s="5">
        <v>1190.81</v>
      </c>
    </row>
    <row r="65" spans="1:25" ht="36.75" x14ac:dyDescent="0.25">
      <c r="A65" s="3" t="s">
        <v>26</v>
      </c>
      <c r="B65" s="3" t="s">
        <v>27</v>
      </c>
      <c r="C65" s="3" t="s">
        <v>28</v>
      </c>
      <c r="D65" s="3" t="s">
        <v>41</v>
      </c>
      <c r="E65" s="3" t="s">
        <v>57</v>
      </c>
      <c r="F65" s="3" t="s">
        <v>31</v>
      </c>
      <c r="G65" s="3" t="s">
        <v>57</v>
      </c>
      <c r="H65" s="3" t="s">
        <v>51</v>
      </c>
      <c r="I65" s="3">
        <v>2025</v>
      </c>
      <c r="J65" s="3" t="str">
        <f>CONCATENATE("54820068648")</f>
        <v>54820068648</v>
      </c>
      <c r="K65" s="3" t="s">
        <v>34</v>
      </c>
      <c r="L65" s="3"/>
      <c r="M65" s="3" t="s">
        <v>35</v>
      </c>
      <c r="N65" s="3" t="str">
        <f>CONCATENATE("02764080418")</f>
        <v>02764080418</v>
      </c>
      <c r="O65" s="3" t="s">
        <v>133</v>
      </c>
      <c r="P65" s="3" t="s">
        <v>37</v>
      </c>
      <c r="Q65" s="3"/>
      <c r="R65" s="4">
        <v>46058</v>
      </c>
      <c r="S65" s="3" t="s">
        <v>38</v>
      </c>
      <c r="T65" s="3" t="s">
        <v>39</v>
      </c>
      <c r="U65" s="3" t="s">
        <v>40</v>
      </c>
      <c r="V65" s="5">
        <v>3471.32</v>
      </c>
      <c r="W65" s="5">
        <v>1475.31</v>
      </c>
      <c r="X65" s="5">
        <v>1397.21</v>
      </c>
      <c r="Y65" s="3">
        <v>598.79999999999995</v>
      </c>
    </row>
    <row r="66" spans="1:25" ht="60.75" x14ac:dyDescent="0.25">
      <c r="A66" s="3" t="s">
        <v>26</v>
      </c>
      <c r="B66" s="3" t="s">
        <v>27</v>
      </c>
      <c r="C66" s="3" t="s">
        <v>28</v>
      </c>
      <c r="D66" s="3" t="s">
        <v>45</v>
      </c>
      <c r="E66" s="3" t="s">
        <v>86</v>
      </c>
      <c r="F66" s="3" t="s">
        <v>47</v>
      </c>
      <c r="G66" s="3" t="s">
        <v>86</v>
      </c>
      <c r="H66" s="3" t="s">
        <v>51</v>
      </c>
      <c r="I66" s="3">
        <v>2025</v>
      </c>
      <c r="J66" s="3" t="str">
        <f>CONCATENATE("54820156518")</f>
        <v>54820156518</v>
      </c>
      <c r="K66" s="3" t="s">
        <v>34</v>
      </c>
      <c r="L66" s="3"/>
      <c r="M66" s="3" t="s">
        <v>35</v>
      </c>
      <c r="N66" s="3" t="str">
        <f>CONCATENATE("MTTMHL74B21L500J")</f>
        <v>MTTMHL74B21L500J</v>
      </c>
      <c r="O66" s="3" t="s">
        <v>134</v>
      </c>
      <c r="P66" s="3" t="s">
        <v>37</v>
      </c>
      <c r="Q66" s="3"/>
      <c r="R66" s="4">
        <v>46058</v>
      </c>
      <c r="S66" s="3" t="s">
        <v>38</v>
      </c>
      <c r="T66" s="3" t="s">
        <v>39</v>
      </c>
      <c r="U66" s="3" t="s">
        <v>40</v>
      </c>
      <c r="V66" s="5">
        <v>1087.9000000000001</v>
      </c>
      <c r="W66" s="3">
        <v>462.36</v>
      </c>
      <c r="X66" s="3">
        <v>437.88</v>
      </c>
      <c r="Y66" s="3">
        <v>187.66</v>
      </c>
    </row>
    <row r="67" spans="1:25" ht="36.75" x14ac:dyDescent="0.25">
      <c r="A67" s="3" t="s">
        <v>26</v>
      </c>
      <c r="B67" s="3" t="s">
        <v>27</v>
      </c>
      <c r="C67" s="3" t="s">
        <v>28</v>
      </c>
      <c r="D67" s="3" t="s">
        <v>62</v>
      </c>
      <c r="E67" s="3" t="s">
        <v>63</v>
      </c>
      <c r="F67" s="3" t="s">
        <v>64</v>
      </c>
      <c r="G67" s="3" t="s">
        <v>63</v>
      </c>
      <c r="H67" s="3" t="s">
        <v>51</v>
      </c>
      <c r="I67" s="3">
        <v>2025</v>
      </c>
      <c r="J67" s="3" t="str">
        <f>CONCATENATE("54820365812")</f>
        <v>54820365812</v>
      </c>
      <c r="K67" s="3" t="s">
        <v>34</v>
      </c>
      <c r="L67" s="3"/>
      <c r="M67" s="3" t="s">
        <v>35</v>
      </c>
      <c r="N67" s="3" t="str">
        <f>CONCATENATE("02686020419")</f>
        <v>02686020419</v>
      </c>
      <c r="O67" s="3" t="s">
        <v>135</v>
      </c>
      <c r="P67" s="3" t="s">
        <v>37</v>
      </c>
      <c r="Q67" s="3"/>
      <c r="R67" s="4">
        <v>46058</v>
      </c>
      <c r="S67" s="3" t="s">
        <v>38</v>
      </c>
      <c r="T67" s="3" t="s">
        <v>39</v>
      </c>
      <c r="U67" s="3" t="s">
        <v>40</v>
      </c>
      <c r="V67" s="5">
        <v>2469.9499999999998</v>
      </c>
      <c r="W67" s="5">
        <v>1049.73</v>
      </c>
      <c r="X67" s="3">
        <v>994.15</v>
      </c>
      <c r="Y67" s="3">
        <v>426.07</v>
      </c>
    </row>
    <row r="68" spans="1:25" ht="60.75" x14ac:dyDescent="0.25">
      <c r="A68" s="3" t="s">
        <v>26</v>
      </c>
      <c r="B68" s="3" t="s">
        <v>27</v>
      </c>
      <c r="C68" s="3" t="s">
        <v>28</v>
      </c>
      <c r="D68" s="3" t="s">
        <v>136</v>
      </c>
      <c r="E68" s="3" t="s">
        <v>137</v>
      </c>
      <c r="F68" s="3" t="s">
        <v>138</v>
      </c>
      <c r="G68" s="3" t="s">
        <v>137</v>
      </c>
      <c r="H68" s="3" t="s">
        <v>68</v>
      </c>
      <c r="I68" s="3">
        <v>2025</v>
      </c>
      <c r="J68" s="3" t="str">
        <f>CONCATENATE("54820370036")</f>
        <v>54820370036</v>
      </c>
      <c r="K68" s="3" t="s">
        <v>34</v>
      </c>
      <c r="L68" s="3"/>
      <c r="M68" s="3" t="s">
        <v>35</v>
      </c>
      <c r="N68" s="3" t="str">
        <f>CONCATENATE("FRIFNC81A05F520B")</f>
        <v>FRIFNC81A05F520B</v>
      </c>
      <c r="O68" s="3" t="s">
        <v>139</v>
      </c>
      <c r="P68" s="3" t="s">
        <v>37</v>
      </c>
      <c r="Q68" s="3"/>
      <c r="R68" s="4">
        <v>46058</v>
      </c>
      <c r="S68" s="3" t="s">
        <v>38</v>
      </c>
      <c r="T68" s="3" t="s">
        <v>39</v>
      </c>
      <c r="U68" s="3" t="s">
        <v>40</v>
      </c>
      <c r="V68" s="5">
        <v>1647.77</v>
      </c>
      <c r="W68" s="3">
        <v>700.3</v>
      </c>
      <c r="X68" s="3">
        <v>663.23</v>
      </c>
      <c r="Y68" s="3">
        <v>284.24</v>
      </c>
    </row>
    <row r="69" spans="1:25" ht="60.75" x14ac:dyDescent="0.25">
      <c r="A69" s="3" t="s">
        <v>26</v>
      </c>
      <c r="B69" s="3" t="s">
        <v>27</v>
      </c>
      <c r="C69" s="3" t="s">
        <v>28</v>
      </c>
      <c r="D69" s="3" t="s">
        <v>41</v>
      </c>
      <c r="E69" s="3" t="s">
        <v>140</v>
      </c>
      <c r="F69" s="3" t="s">
        <v>31</v>
      </c>
      <c r="G69" s="3" t="s">
        <v>140</v>
      </c>
      <c r="H69" s="3" t="s">
        <v>43</v>
      </c>
      <c r="I69" s="3">
        <v>2025</v>
      </c>
      <c r="J69" s="3" t="str">
        <f>CONCATENATE("54820019559")</f>
        <v>54820019559</v>
      </c>
      <c r="K69" s="3" t="s">
        <v>34</v>
      </c>
      <c r="L69" s="3"/>
      <c r="M69" s="3" t="s">
        <v>35</v>
      </c>
      <c r="N69" s="3" t="str">
        <f>CONCATENATE("PRSLEI74B21B474F")</f>
        <v>PRSLEI74B21B474F</v>
      </c>
      <c r="O69" s="3" t="s">
        <v>141</v>
      </c>
      <c r="P69" s="3" t="s">
        <v>37</v>
      </c>
      <c r="Q69" s="3"/>
      <c r="R69" s="4">
        <v>46058</v>
      </c>
      <c r="S69" s="3" t="s">
        <v>38</v>
      </c>
      <c r="T69" s="3" t="s">
        <v>39</v>
      </c>
      <c r="U69" s="3" t="s">
        <v>40</v>
      </c>
      <c r="V69" s="3">
        <v>305.44</v>
      </c>
      <c r="W69" s="3">
        <v>129.81</v>
      </c>
      <c r="X69" s="3">
        <v>122.94</v>
      </c>
      <c r="Y69" s="3">
        <v>52.69</v>
      </c>
    </row>
    <row r="70" spans="1:25" ht="60.75" x14ac:dyDescent="0.25">
      <c r="A70" s="3" t="s">
        <v>26</v>
      </c>
      <c r="B70" s="3" t="s">
        <v>27</v>
      </c>
      <c r="C70" s="3" t="s">
        <v>28</v>
      </c>
      <c r="D70" s="3" t="s">
        <v>62</v>
      </c>
      <c r="E70" s="3" t="s">
        <v>63</v>
      </c>
      <c r="F70" s="3" t="s">
        <v>64</v>
      </c>
      <c r="G70" s="3" t="s">
        <v>63</v>
      </c>
      <c r="H70" s="3" t="s">
        <v>51</v>
      </c>
      <c r="I70" s="3">
        <v>2025</v>
      </c>
      <c r="J70" s="3" t="str">
        <f>CONCATENATE("54820029574")</f>
        <v>54820029574</v>
      </c>
      <c r="K70" s="3" t="s">
        <v>34</v>
      </c>
      <c r="L70" s="3"/>
      <c r="M70" s="3" t="s">
        <v>35</v>
      </c>
      <c r="N70" s="3" t="str">
        <f>CONCATENATE("BTTSRN90H46I459Q")</f>
        <v>BTTSRN90H46I459Q</v>
      </c>
      <c r="O70" s="3" t="s">
        <v>142</v>
      </c>
      <c r="P70" s="3" t="s">
        <v>37</v>
      </c>
      <c r="Q70" s="3"/>
      <c r="R70" s="4">
        <v>46058</v>
      </c>
      <c r="S70" s="3" t="s">
        <v>38</v>
      </c>
      <c r="T70" s="3" t="s">
        <v>39</v>
      </c>
      <c r="U70" s="3" t="s">
        <v>40</v>
      </c>
      <c r="V70" s="5">
        <v>7057.8</v>
      </c>
      <c r="W70" s="5">
        <v>2999.57</v>
      </c>
      <c r="X70" s="5">
        <v>2840.76</v>
      </c>
      <c r="Y70" s="5">
        <v>1217.47</v>
      </c>
    </row>
    <row r="71" spans="1:25" ht="60.75" x14ac:dyDescent="0.25">
      <c r="A71" s="3" t="s">
        <v>26</v>
      </c>
      <c r="B71" s="3" t="s">
        <v>27</v>
      </c>
      <c r="C71" s="3" t="s">
        <v>28</v>
      </c>
      <c r="D71" s="3" t="s">
        <v>41</v>
      </c>
      <c r="E71" s="3" t="s">
        <v>53</v>
      </c>
      <c r="F71" s="3" t="s">
        <v>31</v>
      </c>
      <c r="G71" s="3" t="s">
        <v>53</v>
      </c>
      <c r="H71" s="3" t="s">
        <v>51</v>
      </c>
      <c r="I71" s="3">
        <v>2025</v>
      </c>
      <c r="J71" s="3" t="str">
        <f>CONCATENATE("54820054929")</f>
        <v>54820054929</v>
      </c>
      <c r="K71" s="3" t="s">
        <v>34</v>
      </c>
      <c r="L71" s="3"/>
      <c r="M71" s="3" t="s">
        <v>35</v>
      </c>
      <c r="N71" s="3" t="str">
        <f>CONCATENATE("TBNRNI39P13L078P")</f>
        <v>TBNRNI39P13L078P</v>
      </c>
      <c r="O71" s="3" t="s">
        <v>143</v>
      </c>
      <c r="P71" s="3" t="s">
        <v>37</v>
      </c>
      <c r="Q71" s="3"/>
      <c r="R71" s="4">
        <v>46058</v>
      </c>
      <c r="S71" s="3" t="s">
        <v>38</v>
      </c>
      <c r="T71" s="3" t="s">
        <v>39</v>
      </c>
      <c r="U71" s="3" t="s">
        <v>40</v>
      </c>
      <c r="V71" s="3">
        <v>163.56</v>
      </c>
      <c r="W71" s="3">
        <v>69.510000000000005</v>
      </c>
      <c r="X71" s="3">
        <v>65.83</v>
      </c>
      <c r="Y71" s="3">
        <v>28.22</v>
      </c>
    </row>
    <row r="72" spans="1:25" ht="36.75" x14ac:dyDescent="0.25">
      <c r="A72" s="3" t="s">
        <v>26</v>
      </c>
      <c r="B72" s="3" t="s">
        <v>27</v>
      </c>
      <c r="C72" s="3" t="s">
        <v>28</v>
      </c>
      <c r="D72" s="3" t="s">
        <v>41</v>
      </c>
      <c r="E72" s="3" t="s">
        <v>57</v>
      </c>
      <c r="F72" s="3" t="s">
        <v>31</v>
      </c>
      <c r="G72" s="3" t="s">
        <v>57</v>
      </c>
      <c r="H72" s="3" t="s">
        <v>51</v>
      </c>
      <c r="I72" s="3">
        <v>2025</v>
      </c>
      <c r="J72" s="3" t="str">
        <f>CONCATENATE("54820080056")</f>
        <v>54820080056</v>
      </c>
      <c r="K72" s="3" t="s">
        <v>34</v>
      </c>
      <c r="L72" s="3"/>
      <c r="M72" s="3" t="s">
        <v>35</v>
      </c>
      <c r="N72" s="3" t="str">
        <f>CONCATENATE("01382170411")</f>
        <v>01382170411</v>
      </c>
      <c r="O72" s="3" t="s">
        <v>144</v>
      </c>
      <c r="P72" s="3" t="s">
        <v>37</v>
      </c>
      <c r="Q72" s="3"/>
      <c r="R72" s="4">
        <v>46058</v>
      </c>
      <c r="S72" s="3" t="s">
        <v>38</v>
      </c>
      <c r="T72" s="3" t="s">
        <v>39</v>
      </c>
      <c r="U72" s="3" t="s">
        <v>40</v>
      </c>
      <c r="V72" s="5">
        <v>8702.76</v>
      </c>
      <c r="W72" s="5">
        <v>3698.67</v>
      </c>
      <c r="X72" s="5">
        <v>3502.86</v>
      </c>
      <c r="Y72" s="5">
        <v>1501.23</v>
      </c>
    </row>
    <row r="73" spans="1:25" ht="60.75" x14ac:dyDescent="0.25">
      <c r="A73" s="3" t="s">
        <v>26</v>
      </c>
      <c r="B73" s="3" t="s">
        <v>27</v>
      </c>
      <c r="C73" s="3" t="s">
        <v>28</v>
      </c>
      <c r="D73" s="3" t="s">
        <v>45</v>
      </c>
      <c r="E73" s="3" t="s">
        <v>91</v>
      </c>
      <c r="F73" s="3" t="s">
        <v>47</v>
      </c>
      <c r="G73" s="3" t="s">
        <v>91</v>
      </c>
      <c r="H73" s="3" t="s">
        <v>51</v>
      </c>
      <c r="I73" s="3">
        <v>2025</v>
      </c>
      <c r="J73" s="3" t="str">
        <f>CONCATENATE("54820048434")</f>
        <v>54820048434</v>
      </c>
      <c r="K73" s="3" t="s">
        <v>34</v>
      </c>
      <c r="L73" s="3"/>
      <c r="M73" s="3" t="s">
        <v>35</v>
      </c>
      <c r="N73" s="3" t="str">
        <f>CONCATENATE("BLDMTT93T31I459R")</f>
        <v>BLDMTT93T31I459R</v>
      </c>
      <c r="O73" s="3" t="s">
        <v>145</v>
      </c>
      <c r="P73" s="3" t="s">
        <v>37</v>
      </c>
      <c r="Q73" s="3"/>
      <c r="R73" s="4">
        <v>46058</v>
      </c>
      <c r="S73" s="3" t="s">
        <v>38</v>
      </c>
      <c r="T73" s="3" t="s">
        <v>39</v>
      </c>
      <c r="U73" s="3" t="s">
        <v>40</v>
      </c>
      <c r="V73" s="3">
        <v>364.4</v>
      </c>
      <c r="W73" s="3">
        <v>154.87</v>
      </c>
      <c r="X73" s="3">
        <v>146.66999999999999</v>
      </c>
      <c r="Y73" s="3">
        <v>62.86</v>
      </c>
    </row>
    <row r="74" spans="1:25" ht="72.75" x14ac:dyDescent="0.25">
      <c r="A74" s="3" t="s">
        <v>26</v>
      </c>
      <c r="B74" s="3" t="s">
        <v>27</v>
      </c>
      <c r="C74" s="3" t="s">
        <v>28</v>
      </c>
      <c r="D74" s="3" t="s">
        <v>41</v>
      </c>
      <c r="E74" s="3" t="s">
        <v>53</v>
      </c>
      <c r="F74" s="3" t="s">
        <v>31</v>
      </c>
      <c r="G74" s="3" t="s">
        <v>53</v>
      </c>
      <c r="H74" s="3" t="s">
        <v>51</v>
      </c>
      <c r="I74" s="3">
        <v>2025</v>
      </c>
      <c r="J74" s="3" t="str">
        <f>CONCATENATE("54820054721")</f>
        <v>54820054721</v>
      </c>
      <c r="K74" s="3" t="s">
        <v>34</v>
      </c>
      <c r="L74" s="3"/>
      <c r="M74" s="3" t="s">
        <v>35</v>
      </c>
      <c r="N74" s="3" t="str">
        <f>CONCATENATE("TMSDNL67B24D749U")</f>
        <v>TMSDNL67B24D749U</v>
      </c>
      <c r="O74" s="3" t="s">
        <v>146</v>
      </c>
      <c r="P74" s="3" t="s">
        <v>37</v>
      </c>
      <c r="Q74" s="3"/>
      <c r="R74" s="4">
        <v>46058</v>
      </c>
      <c r="S74" s="3" t="s">
        <v>38</v>
      </c>
      <c r="T74" s="3" t="s">
        <v>39</v>
      </c>
      <c r="U74" s="3" t="s">
        <v>40</v>
      </c>
      <c r="V74" s="3">
        <v>481.98</v>
      </c>
      <c r="W74" s="3">
        <v>204.84</v>
      </c>
      <c r="X74" s="3">
        <v>194</v>
      </c>
      <c r="Y74" s="3">
        <v>83.14</v>
      </c>
    </row>
    <row r="75" spans="1:25" ht="36.75" x14ac:dyDescent="0.25">
      <c r="A75" s="3" t="s">
        <v>26</v>
      </c>
      <c r="B75" s="3" t="s">
        <v>27</v>
      </c>
      <c r="C75" s="3" t="s">
        <v>28</v>
      </c>
      <c r="D75" s="3" t="s">
        <v>41</v>
      </c>
      <c r="E75" s="3" t="s">
        <v>57</v>
      </c>
      <c r="F75" s="3" t="s">
        <v>31</v>
      </c>
      <c r="G75" s="3" t="s">
        <v>57</v>
      </c>
      <c r="H75" s="3" t="s">
        <v>51</v>
      </c>
      <c r="I75" s="3">
        <v>2025</v>
      </c>
      <c r="J75" s="3" t="str">
        <f>CONCATENATE("54820046586")</f>
        <v>54820046586</v>
      </c>
      <c r="K75" s="3" t="s">
        <v>34</v>
      </c>
      <c r="L75" s="3"/>
      <c r="M75" s="3" t="s">
        <v>35</v>
      </c>
      <c r="N75" s="3" t="str">
        <f>CONCATENATE("01395000415")</f>
        <v>01395000415</v>
      </c>
      <c r="O75" s="3" t="s">
        <v>147</v>
      </c>
      <c r="P75" s="3" t="s">
        <v>37</v>
      </c>
      <c r="Q75" s="3"/>
      <c r="R75" s="4">
        <v>46058</v>
      </c>
      <c r="S75" s="3" t="s">
        <v>38</v>
      </c>
      <c r="T75" s="3" t="s">
        <v>39</v>
      </c>
      <c r="U75" s="3" t="s">
        <v>40</v>
      </c>
      <c r="V75" s="5">
        <v>8439.36</v>
      </c>
      <c r="W75" s="5">
        <v>3586.73</v>
      </c>
      <c r="X75" s="5">
        <v>3396.84</v>
      </c>
      <c r="Y75" s="5">
        <v>1455.79</v>
      </c>
    </row>
    <row r="76" spans="1:25" ht="60.75" x14ac:dyDescent="0.25">
      <c r="A76" s="3" t="s">
        <v>26</v>
      </c>
      <c r="B76" s="3" t="s">
        <v>27</v>
      </c>
      <c r="C76" s="3" t="s">
        <v>28</v>
      </c>
      <c r="D76" s="3" t="s">
        <v>128</v>
      </c>
      <c r="E76" s="3" t="s">
        <v>148</v>
      </c>
      <c r="F76" s="3" t="s">
        <v>130</v>
      </c>
      <c r="G76" s="3" t="s">
        <v>148</v>
      </c>
      <c r="H76" s="3" t="s">
        <v>43</v>
      </c>
      <c r="I76" s="3">
        <v>2025</v>
      </c>
      <c r="J76" s="3" t="str">
        <f>CONCATENATE("54820143557")</f>
        <v>54820143557</v>
      </c>
      <c r="K76" s="3" t="s">
        <v>34</v>
      </c>
      <c r="L76" s="3"/>
      <c r="M76" s="3" t="s">
        <v>35</v>
      </c>
      <c r="N76" s="3" t="str">
        <f>CONCATENATE("TTVMRC98E19I156X")</f>
        <v>TTVMRC98E19I156X</v>
      </c>
      <c r="O76" s="3" t="s">
        <v>149</v>
      </c>
      <c r="P76" s="3" t="s">
        <v>37</v>
      </c>
      <c r="Q76" s="3"/>
      <c r="R76" s="4">
        <v>46058</v>
      </c>
      <c r="S76" s="3" t="s">
        <v>38</v>
      </c>
      <c r="T76" s="3" t="s">
        <v>39</v>
      </c>
      <c r="U76" s="3" t="s">
        <v>40</v>
      </c>
      <c r="V76" s="3">
        <v>750.2</v>
      </c>
      <c r="W76" s="3">
        <v>318.83999999999997</v>
      </c>
      <c r="X76" s="3">
        <v>301.95999999999998</v>
      </c>
      <c r="Y76" s="3">
        <v>129.4</v>
      </c>
    </row>
    <row r="77" spans="1:25" ht="60.75" x14ac:dyDescent="0.25">
      <c r="A77" s="3" t="s">
        <v>26</v>
      </c>
      <c r="B77" s="3" t="s">
        <v>27</v>
      </c>
      <c r="C77" s="3" t="s">
        <v>28</v>
      </c>
      <c r="D77" s="3" t="s">
        <v>45</v>
      </c>
      <c r="E77" s="3" t="s">
        <v>50</v>
      </c>
      <c r="F77" s="3" t="s">
        <v>47</v>
      </c>
      <c r="G77" s="3" t="s">
        <v>50</v>
      </c>
      <c r="H77" s="3" t="s">
        <v>51</v>
      </c>
      <c r="I77" s="3">
        <v>2025</v>
      </c>
      <c r="J77" s="3" t="str">
        <f>CONCATENATE("54820106430")</f>
        <v>54820106430</v>
      </c>
      <c r="K77" s="3" t="s">
        <v>34</v>
      </c>
      <c r="L77" s="3"/>
      <c r="M77" s="3" t="s">
        <v>35</v>
      </c>
      <c r="N77" s="3" t="str">
        <f>CONCATENATE("NTGMHL01A01I608J")</f>
        <v>NTGMHL01A01I608J</v>
      </c>
      <c r="O77" s="3" t="s">
        <v>150</v>
      </c>
      <c r="P77" s="3" t="s">
        <v>37</v>
      </c>
      <c r="Q77" s="3"/>
      <c r="R77" s="4">
        <v>46058</v>
      </c>
      <c r="S77" s="3" t="s">
        <v>38</v>
      </c>
      <c r="T77" s="3" t="s">
        <v>39</v>
      </c>
      <c r="U77" s="3" t="s">
        <v>40</v>
      </c>
      <c r="V77" s="3">
        <v>787.55</v>
      </c>
      <c r="W77" s="3">
        <v>334.71</v>
      </c>
      <c r="X77" s="3">
        <v>316.99</v>
      </c>
      <c r="Y77" s="3">
        <v>135.85</v>
      </c>
    </row>
    <row r="78" spans="1:25" ht="60.75" x14ac:dyDescent="0.25">
      <c r="A78" s="3" t="s">
        <v>26</v>
      </c>
      <c r="B78" s="3" t="s">
        <v>27</v>
      </c>
      <c r="C78" s="3" t="s">
        <v>28</v>
      </c>
      <c r="D78" s="3" t="s">
        <v>41</v>
      </c>
      <c r="E78" s="3" t="s">
        <v>32</v>
      </c>
      <c r="F78" s="3" t="s">
        <v>31</v>
      </c>
      <c r="G78" s="3" t="s">
        <v>32</v>
      </c>
      <c r="H78" s="3" t="s">
        <v>33</v>
      </c>
      <c r="I78" s="3">
        <v>2025</v>
      </c>
      <c r="J78" s="3" t="str">
        <f>CONCATENATE("54820197355")</f>
        <v>54820197355</v>
      </c>
      <c r="K78" s="3" t="s">
        <v>34</v>
      </c>
      <c r="L78" s="3"/>
      <c r="M78" s="3" t="s">
        <v>35</v>
      </c>
      <c r="N78" s="3" t="str">
        <f>CONCATENATE("TBRTZN77A28D451L")</f>
        <v>TBRTZN77A28D451L</v>
      </c>
      <c r="O78" s="3" t="s">
        <v>151</v>
      </c>
      <c r="P78" s="3" t="s">
        <v>37</v>
      </c>
      <c r="Q78" s="3"/>
      <c r="R78" s="4">
        <v>46058</v>
      </c>
      <c r="S78" s="3" t="s">
        <v>38</v>
      </c>
      <c r="T78" s="3" t="s">
        <v>39</v>
      </c>
      <c r="U78" s="3" t="s">
        <v>40</v>
      </c>
      <c r="V78" s="3">
        <v>349.83</v>
      </c>
      <c r="W78" s="3">
        <v>148.68</v>
      </c>
      <c r="X78" s="3">
        <v>140.81</v>
      </c>
      <c r="Y78" s="3">
        <v>60.34</v>
      </c>
    </row>
    <row r="79" spans="1:25" ht="36.75" x14ac:dyDescent="0.25">
      <c r="A79" s="3" t="s">
        <v>26</v>
      </c>
      <c r="B79" s="3" t="s">
        <v>27</v>
      </c>
      <c r="C79" s="3" t="s">
        <v>28</v>
      </c>
      <c r="D79" s="3" t="s">
        <v>128</v>
      </c>
      <c r="E79" s="3" t="s">
        <v>152</v>
      </c>
      <c r="F79" s="3" t="s">
        <v>130</v>
      </c>
      <c r="G79" s="3" t="s">
        <v>152</v>
      </c>
      <c r="H79" s="3" t="s">
        <v>51</v>
      </c>
      <c r="I79" s="3">
        <v>2025</v>
      </c>
      <c r="J79" s="3" t="str">
        <f>CONCATENATE("54820188933")</f>
        <v>54820188933</v>
      </c>
      <c r="K79" s="3" t="s">
        <v>34</v>
      </c>
      <c r="L79" s="3"/>
      <c r="M79" s="3" t="s">
        <v>35</v>
      </c>
      <c r="N79" s="3" t="str">
        <f>CONCATENATE("02622370415")</f>
        <v>02622370415</v>
      </c>
      <c r="O79" s="3" t="s">
        <v>153</v>
      </c>
      <c r="P79" s="3" t="s">
        <v>37</v>
      </c>
      <c r="Q79" s="3"/>
      <c r="R79" s="4">
        <v>46058</v>
      </c>
      <c r="S79" s="3" t="s">
        <v>38</v>
      </c>
      <c r="T79" s="3" t="s">
        <v>39</v>
      </c>
      <c r="U79" s="3" t="s">
        <v>40</v>
      </c>
      <c r="V79" s="5">
        <v>5449.54</v>
      </c>
      <c r="W79" s="5">
        <v>2316.0500000000002</v>
      </c>
      <c r="X79" s="5">
        <v>2193.44</v>
      </c>
      <c r="Y79" s="3">
        <v>940.05</v>
      </c>
    </row>
    <row r="80" spans="1:25" ht="36.75" x14ac:dyDescent="0.25">
      <c r="A80" s="3" t="s">
        <v>26</v>
      </c>
      <c r="B80" s="3" t="s">
        <v>27</v>
      </c>
      <c r="C80" s="3" t="s">
        <v>28</v>
      </c>
      <c r="D80" s="3" t="s">
        <v>41</v>
      </c>
      <c r="E80" s="3" t="s">
        <v>154</v>
      </c>
      <c r="F80" s="3" t="s">
        <v>31</v>
      </c>
      <c r="G80" s="3" t="s">
        <v>154</v>
      </c>
      <c r="H80" s="3" t="s">
        <v>51</v>
      </c>
      <c r="I80" s="3">
        <v>2025</v>
      </c>
      <c r="J80" s="3" t="str">
        <f>CONCATENATE("54820153275")</f>
        <v>54820153275</v>
      </c>
      <c r="K80" s="3" t="s">
        <v>34</v>
      </c>
      <c r="L80" s="3"/>
      <c r="M80" s="3" t="s">
        <v>35</v>
      </c>
      <c r="N80" s="3" t="str">
        <f>CONCATENATE("01180010413")</f>
        <v>01180010413</v>
      </c>
      <c r="O80" s="3" t="s">
        <v>155</v>
      </c>
      <c r="P80" s="3" t="s">
        <v>37</v>
      </c>
      <c r="Q80" s="3"/>
      <c r="R80" s="4">
        <v>46058</v>
      </c>
      <c r="S80" s="3" t="s">
        <v>38</v>
      </c>
      <c r="T80" s="3" t="s">
        <v>39</v>
      </c>
      <c r="U80" s="3" t="s">
        <v>40</v>
      </c>
      <c r="V80" s="5">
        <v>1514.22</v>
      </c>
      <c r="W80" s="3">
        <v>643.54</v>
      </c>
      <c r="X80" s="3">
        <v>609.47</v>
      </c>
      <c r="Y80" s="3">
        <v>261.20999999999998</v>
      </c>
    </row>
    <row r="81" spans="1:25" ht="72.75" x14ac:dyDescent="0.25">
      <c r="A81" s="3" t="s">
        <v>26</v>
      </c>
      <c r="B81" s="3" t="s">
        <v>27</v>
      </c>
      <c r="C81" s="3" t="s">
        <v>28</v>
      </c>
      <c r="D81" s="3" t="s">
        <v>62</v>
      </c>
      <c r="E81" s="3" t="s">
        <v>81</v>
      </c>
      <c r="F81" s="3" t="s">
        <v>64</v>
      </c>
      <c r="G81" s="3" t="s">
        <v>81</v>
      </c>
      <c r="H81" s="3" t="s">
        <v>43</v>
      </c>
      <c r="I81" s="3">
        <v>2025</v>
      </c>
      <c r="J81" s="3" t="str">
        <f>CONCATENATE("54820056312")</f>
        <v>54820056312</v>
      </c>
      <c r="K81" s="3" t="s">
        <v>34</v>
      </c>
      <c r="L81" s="3"/>
      <c r="M81" s="3" t="s">
        <v>35</v>
      </c>
      <c r="N81" s="3" t="str">
        <f>CONCATENATE("MNNPIA50E59F268M")</f>
        <v>MNNPIA50E59F268M</v>
      </c>
      <c r="O81" s="3" t="s">
        <v>156</v>
      </c>
      <c r="P81" s="3" t="s">
        <v>37</v>
      </c>
      <c r="Q81" s="3"/>
      <c r="R81" s="4">
        <v>46058</v>
      </c>
      <c r="S81" s="3" t="s">
        <v>38</v>
      </c>
      <c r="T81" s="3" t="s">
        <v>39</v>
      </c>
      <c r="U81" s="3" t="s">
        <v>40</v>
      </c>
      <c r="V81" s="5">
        <v>7031.25</v>
      </c>
      <c r="W81" s="5">
        <v>2988.28</v>
      </c>
      <c r="X81" s="5">
        <v>2830.08</v>
      </c>
      <c r="Y81" s="5">
        <v>1212.8900000000001</v>
      </c>
    </row>
    <row r="82" spans="1:25" ht="36.75" x14ac:dyDescent="0.25">
      <c r="A82" s="3" t="s">
        <v>26</v>
      </c>
      <c r="B82" s="3" t="s">
        <v>27</v>
      </c>
      <c r="C82" s="3" t="s">
        <v>28</v>
      </c>
      <c r="D82" s="3" t="s">
        <v>62</v>
      </c>
      <c r="E82" s="3" t="s">
        <v>96</v>
      </c>
      <c r="F82" s="3" t="s">
        <v>64</v>
      </c>
      <c r="G82" s="3" t="s">
        <v>96</v>
      </c>
      <c r="H82" s="3" t="s">
        <v>43</v>
      </c>
      <c r="I82" s="3">
        <v>2025</v>
      </c>
      <c r="J82" s="3" t="str">
        <f>CONCATENATE("54820207196")</f>
        <v>54820207196</v>
      </c>
      <c r="K82" s="3" t="s">
        <v>34</v>
      </c>
      <c r="L82" s="3"/>
      <c r="M82" s="3" t="s">
        <v>35</v>
      </c>
      <c r="N82" s="3" t="str">
        <f>CONCATENATE("02044910434")</f>
        <v>02044910434</v>
      </c>
      <c r="O82" s="3" t="s">
        <v>157</v>
      </c>
      <c r="P82" s="3" t="s">
        <v>37</v>
      </c>
      <c r="Q82" s="3"/>
      <c r="R82" s="4">
        <v>46058</v>
      </c>
      <c r="S82" s="3" t="s">
        <v>38</v>
      </c>
      <c r="T82" s="3" t="s">
        <v>39</v>
      </c>
      <c r="U82" s="3" t="s">
        <v>40</v>
      </c>
      <c r="V82" s="5">
        <v>6520.91</v>
      </c>
      <c r="W82" s="5">
        <v>2771.39</v>
      </c>
      <c r="X82" s="5">
        <v>2624.67</v>
      </c>
      <c r="Y82" s="5">
        <v>1124.8499999999999</v>
      </c>
    </row>
    <row r="83" spans="1:25" ht="36.75" x14ac:dyDescent="0.25">
      <c r="A83" s="3" t="s">
        <v>26</v>
      </c>
      <c r="B83" s="3" t="s">
        <v>27</v>
      </c>
      <c r="C83" s="3" t="s">
        <v>28</v>
      </c>
      <c r="D83" s="3" t="s">
        <v>45</v>
      </c>
      <c r="E83" s="3" t="s">
        <v>46</v>
      </c>
      <c r="F83" s="3" t="s">
        <v>47</v>
      </c>
      <c r="G83" s="3" t="s">
        <v>46</v>
      </c>
      <c r="H83" s="3" t="s">
        <v>33</v>
      </c>
      <c r="I83" s="3">
        <v>2025</v>
      </c>
      <c r="J83" s="3" t="str">
        <f>CONCATENATE("54820153457")</f>
        <v>54820153457</v>
      </c>
      <c r="K83" s="3" t="s">
        <v>34</v>
      </c>
      <c r="L83" s="3"/>
      <c r="M83" s="3" t="s">
        <v>35</v>
      </c>
      <c r="N83" s="3" t="str">
        <f>CONCATENATE("02855180424")</f>
        <v>02855180424</v>
      </c>
      <c r="O83" s="3" t="s">
        <v>158</v>
      </c>
      <c r="P83" s="3" t="s">
        <v>37</v>
      </c>
      <c r="Q83" s="3"/>
      <c r="R83" s="4">
        <v>46058</v>
      </c>
      <c r="S83" s="3" t="s">
        <v>38</v>
      </c>
      <c r="T83" s="3" t="s">
        <v>39</v>
      </c>
      <c r="U83" s="3" t="s">
        <v>40</v>
      </c>
      <c r="V83" s="5">
        <v>3518.78</v>
      </c>
      <c r="W83" s="5">
        <v>1495.48</v>
      </c>
      <c r="X83" s="5">
        <v>1416.31</v>
      </c>
      <c r="Y83" s="3">
        <v>606.99</v>
      </c>
    </row>
    <row r="84" spans="1:25" ht="60.75" x14ac:dyDescent="0.25">
      <c r="A84" s="3" t="s">
        <v>26</v>
      </c>
      <c r="B84" s="3" t="s">
        <v>27</v>
      </c>
      <c r="C84" s="3" t="s">
        <v>28</v>
      </c>
      <c r="D84" s="3" t="s">
        <v>41</v>
      </c>
      <c r="E84" s="3" t="s">
        <v>49</v>
      </c>
      <c r="F84" s="3" t="s">
        <v>31</v>
      </c>
      <c r="G84" s="3" t="s">
        <v>49</v>
      </c>
      <c r="H84" s="3" t="s">
        <v>51</v>
      </c>
      <c r="I84" s="3">
        <v>2025</v>
      </c>
      <c r="J84" s="3" t="str">
        <f>CONCATENATE("54820177365")</f>
        <v>54820177365</v>
      </c>
      <c r="K84" s="3" t="s">
        <v>34</v>
      </c>
      <c r="L84" s="3"/>
      <c r="M84" s="3" t="s">
        <v>35</v>
      </c>
      <c r="N84" s="3" t="str">
        <f>CONCATENATE("STRDVD92A26L500R")</f>
        <v>STRDVD92A26L500R</v>
      </c>
      <c r="O84" s="3" t="s">
        <v>159</v>
      </c>
      <c r="P84" s="3" t="s">
        <v>37</v>
      </c>
      <c r="Q84" s="3"/>
      <c r="R84" s="4">
        <v>46058</v>
      </c>
      <c r="S84" s="3" t="s">
        <v>38</v>
      </c>
      <c r="T84" s="3" t="s">
        <v>39</v>
      </c>
      <c r="U84" s="3" t="s">
        <v>40</v>
      </c>
      <c r="V84" s="5">
        <v>1056.58</v>
      </c>
      <c r="W84" s="3">
        <v>449.05</v>
      </c>
      <c r="X84" s="3">
        <v>425.27</v>
      </c>
      <c r="Y84" s="3">
        <v>182.26</v>
      </c>
    </row>
    <row r="85" spans="1:25" ht="72.75" x14ac:dyDescent="0.25">
      <c r="A85" s="3" t="s">
        <v>26</v>
      </c>
      <c r="B85" s="3" t="s">
        <v>27</v>
      </c>
      <c r="C85" s="3" t="s">
        <v>28</v>
      </c>
      <c r="D85" s="3" t="s">
        <v>62</v>
      </c>
      <c r="E85" s="3" t="s">
        <v>63</v>
      </c>
      <c r="F85" s="3" t="s">
        <v>64</v>
      </c>
      <c r="G85" s="3" t="s">
        <v>63</v>
      </c>
      <c r="H85" s="3" t="s">
        <v>51</v>
      </c>
      <c r="I85" s="3">
        <v>2025</v>
      </c>
      <c r="J85" s="3" t="str">
        <f>CONCATENATE("54820021993")</f>
        <v>54820021993</v>
      </c>
      <c r="K85" s="3" t="s">
        <v>34</v>
      </c>
      <c r="L85" s="3"/>
      <c r="M85" s="3" t="s">
        <v>35</v>
      </c>
      <c r="N85" s="3" t="str">
        <f>CONCATENATE("MNCDNL83R15D749D")</f>
        <v>MNCDNL83R15D749D</v>
      </c>
      <c r="O85" s="3" t="s">
        <v>160</v>
      </c>
      <c r="P85" s="3" t="s">
        <v>37</v>
      </c>
      <c r="Q85" s="3"/>
      <c r="R85" s="4">
        <v>46058</v>
      </c>
      <c r="S85" s="3" t="s">
        <v>38</v>
      </c>
      <c r="T85" s="3" t="s">
        <v>39</v>
      </c>
      <c r="U85" s="3" t="s">
        <v>40</v>
      </c>
      <c r="V85" s="5">
        <v>1378.64</v>
      </c>
      <c r="W85" s="3">
        <v>585.91999999999996</v>
      </c>
      <c r="X85" s="3">
        <v>554.9</v>
      </c>
      <c r="Y85" s="3">
        <v>237.82</v>
      </c>
    </row>
    <row r="86" spans="1:25" ht="60.75" x14ac:dyDescent="0.25">
      <c r="A86" s="3" t="s">
        <v>26</v>
      </c>
      <c r="B86" s="3" t="s">
        <v>27</v>
      </c>
      <c r="C86" s="3" t="s">
        <v>28</v>
      </c>
      <c r="D86" s="3" t="s">
        <v>41</v>
      </c>
      <c r="E86" s="3" t="s">
        <v>53</v>
      </c>
      <c r="F86" s="3" t="s">
        <v>31</v>
      </c>
      <c r="G86" s="3" t="s">
        <v>53</v>
      </c>
      <c r="H86" s="3" t="s">
        <v>51</v>
      </c>
      <c r="I86" s="3">
        <v>2025</v>
      </c>
      <c r="J86" s="3" t="str">
        <f>CONCATENATE("54820062435")</f>
        <v>54820062435</v>
      </c>
      <c r="K86" s="3" t="s">
        <v>34</v>
      </c>
      <c r="L86" s="3"/>
      <c r="M86" s="3" t="s">
        <v>35</v>
      </c>
      <c r="N86" s="3" t="str">
        <f>CONCATENATE("SBSSMN81A06D749Z")</f>
        <v>SBSSMN81A06D749Z</v>
      </c>
      <c r="O86" s="3" t="s">
        <v>161</v>
      </c>
      <c r="P86" s="3" t="s">
        <v>37</v>
      </c>
      <c r="Q86" s="3"/>
      <c r="R86" s="4">
        <v>46058</v>
      </c>
      <c r="S86" s="3" t="s">
        <v>38</v>
      </c>
      <c r="T86" s="3" t="s">
        <v>39</v>
      </c>
      <c r="U86" s="3" t="s">
        <v>40</v>
      </c>
      <c r="V86" s="5">
        <v>1584.05</v>
      </c>
      <c r="W86" s="3">
        <v>673.22</v>
      </c>
      <c r="X86" s="3">
        <v>637.58000000000004</v>
      </c>
      <c r="Y86" s="3">
        <v>273.25</v>
      </c>
    </row>
    <row r="87" spans="1:25" ht="60.75" x14ac:dyDescent="0.25">
      <c r="A87" s="3" t="s">
        <v>26</v>
      </c>
      <c r="B87" s="3" t="s">
        <v>27</v>
      </c>
      <c r="C87" s="3" t="s">
        <v>28</v>
      </c>
      <c r="D87" s="3" t="s">
        <v>45</v>
      </c>
      <c r="E87" s="3" t="s">
        <v>91</v>
      </c>
      <c r="F87" s="3" t="s">
        <v>47</v>
      </c>
      <c r="G87" s="3" t="s">
        <v>91</v>
      </c>
      <c r="H87" s="3" t="s">
        <v>51</v>
      </c>
      <c r="I87" s="3">
        <v>2025</v>
      </c>
      <c r="J87" s="3" t="str">
        <f>CONCATENATE("54820078910")</f>
        <v>54820078910</v>
      </c>
      <c r="K87" s="3" t="s">
        <v>34</v>
      </c>
      <c r="L87" s="3"/>
      <c r="M87" s="3" t="s">
        <v>35</v>
      </c>
      <c r="N87" s="3" t="str">
        <f>CONCATENATE("BRRGCR61R30Z130G")</f>
        <v>BRRGCR61R30Z130G</v>
      </c>
      <c r="O87" s="3" t="s">
        <v>162</v>
      </c>
      <c r="P87" s="3" t="s">
        <v>37</v>
      </c>
      <c r="Q87" s="3"/>
      <c r="R87" s="4">
        <v>46058</v>
      </c>
      <c r="S87" s="3" t="s">
        <v>38</v>
      </c>
      <c r="T87" s="3" t="s">
        <v>39</v>
      </c>
      <c r="U87" s="3" t="s">
        <v>40</v>
      </c>
      <c r="V87" s="3">
        <v>31.43</v>
      </c>
      <c r="W87" s="3">
        <v>13.36</v>
      </c>
      <c r="X87" s="3">
        <v>12.65</v>
      </c>
      <c r="Y87" s="3">
        <v>5.42</v>
      </c>
    </row>
    <row r="88" spans="1:25" ht="36.75" x14ac:dyDescent="0.25">
      <c r="A88" s="3" t="s">
        <v>26</v>
      </c>
      <c r="B88" s="3" t="s">
        <v>27</v>
      </c>
      <c r="C88" s="3" t="s">
        <v>28</v>
      </c>
      <c r="D88" s="3" t="s">
        <v>41</v>
      </c>
      <c r="E88" s="3" t="s">
        <v>163</v>
      </c>
      <c r="F88" s="3" t="s">
        <v>31</v>
      </c>
      <c r="G88" s="3" t="s">
        <v>163</v>
      </c>
      <c r="H88" s="3" t="s">
        <v>51</v>
      </c>
      <c r="I88" s="3">
        <v>2025</v>
      </c>
      <c r="J88" s="3" t="str">
        <f>CONCATENATE("54820089586")</f>
        <v>54820089586</v>
      </c>
      <c r="K88" s="3" t="s">
        <v>34</v>
      </c>
      <c r="L88" s="3"/>
      <c r="M88" s="3" t="s">
        <v>35</v>
      </c>
      <c r="N88" s="3" t="str">
        <f>CONCATENATE("02035550413")</f>
        <v>02035550413</v>
      </c>
      <c r="O88" s="3" t="s">
        <v>164</v>
      </c>
      <c r="P88" s="3" t="s">
        <v>37</v>
      </c>
      <c r="Q88" s="3"/>
      <c r="R88" s="4">
        <v>46058</v>
      </c>
      <c r="S88" s="3" t="s">
        <v>38</v>
      </c>
      <c r="T88" s="3" t="s">
        <v>39</v>
      </c>
      <c r="U88" s="3" t="s">
        <v>40</v>
      </c>
      <c r="V88" s="5">
        <v>1372.32</v>
      </c>
      <c r="W88" s="3">
        <v>583.24</v>
      </c>
      <c r="X88" s="3">
        <v>552.36</v>
      </c>
      <c r="Y88" s="3">
        <v>236.72</v>
      </c>
    </row>
    <row r="89" spans="1:25" ht="60.75" x14ac:dyDescent="0.25">
      <c r="A89" s="3" t="s">
        <v>26</v>
      </c>
      <c r="B89" s="3" t="s">
        <v>27</v>
      </c>
      <c r="C89" s="3" t="s">
        <v>28</v>
      </c>
      <c r="D89" s="3" t="s">
        <v>62</v>
      </c>
      <c r="E89" s="3" t="s">
        <v>79</v>
      </c>
      <c r="F89" s="3" t="s">
        <v>64</v>
      </c>
      <c r="G89" s="3" t="s">
        <v>79</v>
      </c>
      <c r="H89" s="3" t="s">
        <v>43</v>
      </c>
      <c r="I89" s="3">
        <v>2025</v>
      </c>
      <c r="J89" s="3" t="str">
        <f>CONCATENATE("54820091384")</f>
        <v>54820091384</v>
      </c>
      <c r="K89" s="3" t="s">
        <v>34</v>
      </c>
      <c r="L89" s="3"/>
      <c r="M89" s="3" t="s">
        <v>35</v>
      </c>
      <c r="N89" s="3" t="str">
        <f>CONCATENATE("BSLLRT94S15D451Y")</f>
        <v>BSLLRT94S15D451Y</v>
      </c>
      <c r="O89" s="3" t="s">
        <v>165</v>
      </c>
      <c r="P89" s="3" t="s">
        <v>37</v>
      </c>
      <c r="Q89" s="3"/>
      <c r="R89" s="4">
        <v>46058</v>
      </c>
      <c r="S89" s="3" t="s">
        <v>38</v>
      </c>
      <c r="T89" s="3" t="s">
        <v>39</v>
      </c>
      <c r="U89" s="3" t="s">
        <v>40</v>
      </c>
      <c r="V89" s="5">
        <v>3368.48</v>
      </c>
      <c r="W89" s="5">
        <v>1431.6</v>
      </c>
      <c r="X89" s="5">
        <v>1355.81</v>
      </c>
      <c r="Y89" s="3">
        <v>581.07000000000005</v>
      </c>
    </row>
    <row r="90" spans="1:25" ht="60.75" x14ac:dyDescent="0.25">
      <c r="A90" s="3" t="s">
        <v>26</v>
      </c>
      <c r="B90" s="3" t="s">
        <v>27</v>
      </c>
      <c r="C90" s="3" t="s">
        <v>28</v>
      </c>
      <c r="D90" s="3" t="s">
        <v>41</v>
      </c>
      <c r="E90" s="3" t="s">
        <v>53</v>
      </c>
      <c r="F90" s="3" t="s">
        <v>31</v>
      </c>
      <c r="G90" s="3" t="s">
        <v>53</v>
      </c>
      <c r="H90" s="3" t="s">
        <v>51</v>
      </c>
      <c r="I90" s="3">
        <v>2025</v>
      </c>
      <c r="J90" s="3" t="str">
        <f>CONCATENATE("54820127402")</f>
        <v>54820127402</v>
      </c>
      <c r="K90" s="3" t="s">
        <v>34</v>
      </c>
      <c r="L90" s="3"/>
      <c r="M90" s="3" t="s">
        <v>35</v>
      </c>
      <c r="N90" s="3" t="str">
        <f>CONCATENATE("BSSLND99E51L500D")</f>
        <v>BSSLND99E51L500D</v>
      </c>
      <c r="O90" s="3" t="s">
        <v>166</v>
      </c>
      <c r="P90" s="3" t="s">
        <v>37</v>
      </c>
      <c r="Q90" s="3"/>
      <c r="R90" s="4">
        <v>46058</v>
      </c>
      <c r="S90" s="3" t="s">
        <v>38</v>
      </c>
      <c r="T90" s="3" t="s">
        <v>39</v>
      </c>
      <c r="U90" s="3" t="s">
        <v>40</v>
      </c>
      <c r="V90" s="3">
        <v>529.02</v>
      </c>
      <c r="W90" s="3">
        <v>224.83</v>
      </c>
      <c r="X90" s="3">
        <v>212.93</v>
      </c>
      <c r="Y90" s="3">
        <v>91.26</v>
      </c>
    </row>
    <row r="91" spans="1:25" ht="36.75" x14ac:dyDescent="0.25">
      <c r="A91" s="3" t="s">
        <v>26</v>
      </c>
      <c r="B91" s="3" t="s">
        <v>27</v>
      </c>
      <c r="C91" s="3" t="s">
        <v>28</v>
      </c>
      <c r="D91" s="3" t="s">
        <v>41</v>
      </c>
      <c r="E91" s="3" t="s">
        <v>42</v>
      </c>
      <c r="F91" s="3" t="s">
        <v>31</v>
      </c>
      <c r="G91" s="3" t="s">
        <v>42</v>
      </c>
      <c r="H91" s="3" t="s">
        <v>43</v>
      </c>
      <c r="I91" s="3">
        <v>2025</v>
      </c>
      <c r="J91" s="3" t="str">
        <f>CONCATENATE("54820138466")</f>
        <v>54820138466</v>
      </c>
      <c r="K91" s="3" t="s">
        <v>34</v>
      </c>
      <c r="L91" s="3"/>
      <c r="M91" s="3" t="s">
        <v>35</v>
      </c>
      <c r="N91" s="3" t="str">
        <f>CONCATENATE("81000380436")</f>
        <v>81000380436</v>
      </c>
      <c r="O91" s="3" t="s">
        <v>167</v>
      </c>
      <c r="P91" s="3" t="s">
        <v>37</v>
      </c>
      <c r="Q91" s="3"/>
      <c r="R91" s="4">
        <v>46058</v>
      </c>
      <c r="S91" s="3" t="s">
        <v>38</v>
      </c>
      <c r="T91" s="3" t="s">
        <v>39</v>
      </c>
      <c r="U91" s="3" t="s">
        <v>40</v>
      </c>
      <c r="V91" s="5">
        <v>7031.76</v>
      </c>
      <c r="W91" s="5">
        <v>2988.5</v>
      </c>
      <c r="X91" s="5">
        <v>2830.28</v>
      </c>
      <c r="Y91" s="5">
        <v>1212.98</v>
      </c>
    </row>
    <row r="92" spans="1:25" ht="60.75" x14ac:dyDescent="0.25">
      <c r="A92" s="3" t="s">
        <v>26</v>
      </c>
      <c r="B92" s="3" t="s">
        <v>27</v>
      </c>
      <c r="C92" s="3" t="s">
        <v>28</v>
      </c>
      <c r="D92" s="3" t="s">
        <v>62</v>
      </c>
      <c r="E92" s="3" t="s">
        <v>63</v>
      </c>
      <c r="F92" s="3" t="s">
        <v>64</v>
      </c>
      <c r="G92" s="3" t="s">
        <v>63</v>
      </c>
      <c r="H92" s="3" t="s">
        <v>51</v>
      </c>
      <c r="I92" s="3">
        <v>2025</v>
      </c>
      <c r="J92" s="3" t="str">
        <f>CONCATENATE("54820029343")</f>
        <v>54820029343</v>
      </c>
      <c r="K92" s="3" t="s">
        <v>34</v>
      </c>
      <c r="L92" s="3"/>
      <c r="M92" s="3" t="s">
        <v>35</v>
      </c>
      <c r="N92" s="3" t="str">
        <f>CONCATENATE("WSSFKH58C70Z112B")</f>
        <v>WSSFKH58C70Z112B</v>
      </c>
      <c r="O92" s="3" t="s">
        <v>168</v>
      </c>
      <c r="P92" s="3" t="s">
        <v>37</v>
      </c>
      <c r="Q92" s="3"/>
      <c r="R92" s="4">
        <v>46058</v>
      </c>
      <c r="S92" s="3" t="s">
        <v>38</v>
      </c>
      <c r="T92" s="3" t="s">
        <v>39</v>
      </c>
      <c r="U92" s="3" t="s">
        <v>40</v>
      </c>
      <c r="V92" s="3">
        <v>992.39</v>
      </c>
      <c r="W92" s="3">
        <v>421.77</v>
      </c>
      <c r="X92" s="3">
        <v>399.44</v>
      </c>
      <c r="Y92" s="3">
        <v>171.18</v>
      </c>
    </row>
    <row r="93" spans="1:25" ht="60.75" x14ac:dyDescent="0.25">
      <c r="A93" s="3" t="s">
        <v>26</v>
      </c>
      <c r="B93" s="3" t="s">
        <v>27</v>
      </c>
      <c r="C93" s="3" t="s">
        <v>28</v>
      </c>
      <c r="D93" s="3" t="s">
        <v>41</v>
      </c>
      <c r="E93" s="3" t="s">
        <v>169</v>
      </c>
      <c r="F93" s="3" t="s">
        <v>31</v>
      </c>
      <c r="G93" s="3" t="s">
        <v>169</v>
      </c>
      <c r="H93" s="3" t="s">
        <v>68</v>
      </c>
      <c r="I93" s="3">
        <v>2025</v>
      </c>
      <c r="J93" s="3" t="str">
        <f>CONCATENATE("54820179163")</f>
        <v>54820179163</v>
      </c>
      <c r="K93" s="3" t="s">
        <v>34</v>
      </c>
      <c r="L93" s="3"/>
      <c r="M93" s="3" t="s">
        <v>35</v>
      </c>
      <c r="N93" s="3" t="str">
        <f>CONCATENATE("BRTSVN46D50F516E")</f>
        <v>BRTSVN46D50F516E</v>
      </c>
      <c r="O93" s="3" t="s">
        <v>170</v>
      </c>
      <c r="P93" s="3" t="s">
        <v>37</v>
      </c>
      <c r="Q93" s="3"/>
      <c r="R93" s="4">
        <v>46058</v>
      </c>
      <c r="S93" s="3" t="s">
        <v>38</v>
      </c>
      <c r="T93" s="3" t="s">
        <v>39</v>
      </c>
      <c r="U93" s="3" t="s">
        <v>40</v>
      </c>
      <c r="V93" s="5">
        <v>1094.77</v>
      </c>
      <c r="W93" s="3">
        <v>465.28</v>
      </c>
      <c r="X93" s="3">
        <v>440.64</v>
      </c>
      <c r="Y93" s="3">
        <v>188.85</v>
      </c>
    </row>
    <row r="94" spans="1:25" ht="60.75" x14ac:dyDescent="0.25">
      <c r="A94" s="3" t="s">
        <v>26</v>
      </c>
      <c r="B94" s="3" t="s">
        <v>27</v>
      </c>
      <c r="C94" s="3" t="s">
        <v>28</v>
      </c>
      <c r="D94" s="3" t="s">
        <v>171</v>
      </c>
      <c r="E94" s="3" t="s">
        <v>172</v>
      </c>
      <c r="F94" s="3" t="s">
        <v>171</v>
      </c>
      <c r="G94" s="3" t="s">
        <v>172</v>
      </c>
      <c r="H94" s="3" t="s">
        <v>68</v>
      </c>
      <c r="I94" s="3">
        <v>2025</v>
      </c>
      <c r="J94" s="3" t="str">
        <f>CONCATENATE("54820276704")</f>
        <v>54820276704</v>
      </c>
      <c r="K94" s="3" t="s">
        <v>34</v>
      </c>
      <c r="L94" s="3"/>
      <c r="M94" s="3" t="s">
        <v>35</v>
      </c>
      <c r="N94" s="3" t="str">
        <f>CONCATENATE("VGNGNN62A09A252Z")</f>
        <v>VGNGNN62A09A252Z</v>
      </c>
      <c r="O94" s="3" t="s">
        <v>173</v>
      </c>
      <c r="P94" s="3" t="s">
        <v>37</v>
      </c>
      <c r="Q94" s="3"/>
      <c r="R94" s="4">
        <v>46058</v>
      </c>
      <c r="S94" s="3" t="s">
        <v>38</v>
      </c>
      <c r="T94" s="3" t="s">
        <v>39</v>
      </c>
      <c r="U94" s="3" t="s">
        <v>40</v>
      </c>
      <c r="V94" s="3">
        <v>59.12</v>
      </c>
      <c r="W94" s="3">
        <v>25.13</v>
      </c>
      <c r="X94" s="3">
        <v>23.8</v>
      </c>
      <c r="Y94" s="3">
        <v>10.19</v>
      </c>
    </row>
    <row r="95" spans="1:25" ht="60.75" x14ac:dyDescent="0.25">
      <c r="A95" s="3" t="s">
        <v>26</v>
      </c>
      <c r="B95" s="3" t="s">
        <v>27</v>
      </c>
      <c r="C95" s="3" t="s">
        <v>28</v>
      </c>
      <c r="D95" s="3" t="s">
        <v>171</v>
      </c>
      <c r="E95" s="3" t="s">
        <v>172</v>
      </c>
      <c r="F95" s="3" t="s">
        <v>171</v>
      </c>
      <c r="G95" s="3" t="s">
        <v>172</v>
      </c>
      <c r="H95" s="3" t="s">
        <v>68</v>
      </c>
      <c r="I95" s="3">
        <v>2025</v>
      </c>
      <c r="J95" s="3" t="str">
        <f>CONCATENATE("54820142930")</f>
        <v>54820142930</v>
      </c>
      <c r="K95" s="3" t="s">
        <v>34</v>
      </c>
      <c r="L95" s="3"/>
      <c r="M95" s="3" t="s">
        <v>35</v>
      </c>
      <c r="N95" s="3" t="str">
        <f>CONCATENATE("FRRGPP68L14Z112A")</f>
        <v>FRRGPP68L14Z112A</v>
      </c>
      <c r="O95" s="3" t="s">
        <v>174</v>
      </c>
      <c r="P95" s="3" t="s">
        <v>37</v>
      </c>
      <c r="Q95" s="3"/>
      <c r="R95" s="4">
        <v>46058</v>
      </c>
      <c r="S95" s="3" t="s">
        <v>38</v>
      </c>
      <c r="T95" s="3" t="s">
        <v>39</v>
      </c>
      <c r="U95" s="3" t="s">
        <v>40</v>
      </c>
      <c r="V95" s="3">
        <v>55.79</v>
      </c>
      <c r="W95" s="3">
        <v>23.71</v>
      </c>
      <c r="X95" s="3">
        <v>22.46</v>
      </c>
      <c r="Y95" s="3">
        <v>9.6199999999999992</v>
      </c>
    </row>
    <row r="96" spans="1:25" ht="60.75" x14ac:dyDescent="0.25">
      <c r="A96" s="3" t="s">
        <v>26</v>
      </c>
      <c r="B96" s="3" t="s">
        <v>27</v>
      </c>
      <c r="C96" s="3" t="s">
        <v>28</v>
      </c>
      <c r="D96" s="3" t="s">
        <v>41</v>
      </c>
      <c r="E96" s="3" t="s">
        <v>42</v>
      </c>
      <c r="F96" s="3" t="s">
        <v>31</v>
      </c>
      <c r="G96" s="3" t="s">
        <v>42</v>
      </c>
      <c r="H96" s="3" t="s">
        <v>43</v>
      </c>
      <c r="I96" s="3">
        <v>2025</v>
      </c>
      <c r="J96" s="3" t="str">
        <f>CONCATENATE("54820268594")</f>
        <v>54820268594</v>
      </c>
      <c r="K96" s="3" t="s">
        <v>34</v>
      </c>
      <c r="L96" s="3"/>
      <c r="M96" s="3" t="s">
        <v>35</v>
      </c>
      <c r="N96" s="3" t="str">
        <f>CONCATENATE("SLVLCU88H23B474S")</f>
        <v>SLVLCU88H23B474S</v>
      </c>
      <c r="O96" s="3" t="s">
        <v>175</v>
      </c>
      <c r="P96" s="3" t="s">
        <v>37</v>
      </c>
      <c r="Q96" s="3"/>
      <c r="R96" s="4">
        <v>46058</v>
      </c>
      <c r="S96" s="3" t="s">
        <v>38</v>
      </c>
      <c r="T96" s="3" t="s">
        <v>39</v>
      </c>
      <c r="U96" s="3" t="s">
        <v>40</v>
      </c>
      <c r="V96" s="3">
        <v>117.48</v>
      </c>
      <c r="W96" s="3">
        <v>49.93</v>
      </c>
      <c r="X96" s="3">
        <v>47.29</v>
      </c>
      <c r="Y96" s="3">
        <v>20.260000000000002</v>
      </c>
    </row>
    <row r="97" spans="1:25" ht="60.75" x14ac:dyDescent="0.25">
      <c r="A97" s="3" t="s">
        <v>26</v>
      </c>
      <c r="B97" s="3" t="s">
        <v>27</v>
      </c>
      <c r="C97" s="3" t="s">
        <v>28</v>
      </c>
      <c r="D97" s="3" t="s">
        <v>41</v>
      </c>
      <c r="E97" s="3" t="s">
        <v>42</v>
      </c>
      <c r="F97" s="3" t="s">
        <v>31</v>
      </c>
      <c r="G97" s="3" t="s">
        <v>42</v>
      </c>
      <c r="H97" s="3" t="s">
        <v>43</v>
      </c>
      <c r="I97" s="3">
        <v>2025</v>
      </c>
      <c r="J97" s="3" t="str">
        <f>CONCATENATE("54820122551")</f>
        <v>54820122551</v>
      </c>
      <c r="K97" s="3" t="s">
        <v>34</v>
      </c>
      <c r="L97" s="3"/>
      <c r="M97" s="3" t="s">
        <v>35</v>
      </c>
      <c r="N97" s="3" t="str">
        <f>CONCATENATE("PGNDNC64S30M078Y")</f>
        <v>PGNDNC64S30M078Y</v>
      </c>
      <c r="O97" s="3" t="s">
        <v>176</v>
      </c>
      <c r="P97" s="3" t="s">
        <v>37</v>
      </c>
      <c r="Q97" s="3"/>
      <c r="R97" s="4">
        <v>46058</v>
      </c>
      <c r="S97" s="3" t="s">
        <v>38</v>
      </c>
      <c r="T97" s="3" t="s">
        <v>39</v>
      </c>
      <c r="U97" s="3" t="s">
        <v>40</v>
      </c>
      <c r="V97" s="3">
        <v>226.96</v>
      </c>
      <c r="W97" s="3">
        <v>96.46</v>
      </c>
      <c r="X97" s="3">
        <v>91.35</v>
      </c>
      <c r="Y97" s="3">
        <v>39.15</v>
      </c>
    </row>
    <row r="98" spans="1:25" ht="60.75" x14ac:dyDescent="0.25">
      <c r="A98" s="3" t="s">
        <v>26</v>
      </c>
      <c r="B98" s="3" t="s">
        <v>27</v>
      </c>
      <c r="C98" s="3" t="s">
        <v>28</v>
      </c>
      <c r="D98" s="3" t="s">
        <v>41</v>
      </c>
      <c r="E98" s="3" t="s">
        <v>42</v>
      </c>
      <c r="F98" s="3" t="s">
        <v>31</v>
      </c>
      <c r="G98" s="3" t="s">
        <v>42</v>
      </c>
      <c r="H98" s="3" t="s">
        <v>43</v>
      </c>
      <c r="I98" s="3">
        <v>2025</v>
      </c>
      <c r="J98" s="3" t="str">
        <f>CONCATENATE("54820185251")</f>
        <v>54820185251</v>
      </c>
      <c r="K98" s="3" t="s">
        <v>34</v>
      </c>
      <c r="L98" s="3"/>
      <c r="M98" s="3" t="s">
        <v>35</v>
      </c>
      <c r="N98" s="3" t="str">
        <f>CONCATENATE("SRRSVN47D45I156Q")</f>
        <v>SRRSVN47D45I156Q</v>
      </c>
      <c r="O98" s="3" t="s">
        <v>177</v>
      </c>
      <c r="P98" s="3" t="s">
        <v>37</v>
      </c>
      <c r="Q98" s="3"/>
      <c r="R98" s="4">
        <v>46058</v>
      </c>
      <c r="S98" s="3" t="s">
        <v>38</v>
      </c>
      <c r="T98" s="3" t="s">
        <v>39</v>
      </c>
      <c r="U98" s="3" t="s">
        <v>40</v>
      </c>
      <c r="V98" s="3">
        <v>486.28</v>
      </c>
      <c r="W98" s="3">
        <v>206.67</v>
      </c>
      <c r="X98" s="3">
        <v>195.73</v>
      </c>
      <c r="Y98" s="3">
        <v>83.88</v>
      </c>
    </row>
    <row r="99" spans="1:25" ht="60.75" x14ac:dyDescent="0.25">
      <c r="A99" s="3" t="s">
        <v>26</v>
      </c>
      <c r="B99" s="3" t="s">
        <v>27</v>
      </c>
      <c r="C99" s="3" t="s">
        <v>28</v>
      </c>
      <c r="D99" s="3" t="s">
        <v>41</v>
      </c>
      <c r="E99" s="3" t="s">
        <v>119</v>
      </c>
      <c r="F99" s="3" t="s">
        <v>31</v>
      </c>
      <c r="G99" s="3" t="s">
        <v>119</v>
      </c>
      <c r="H99" s="3" t="s">
        <v>51</v>
      </c>
      <c r="I99" s="3">
        <v>2025</v>
      </c>
      <c r="J99" s="3" t="str">
        <f>CONCATENATE("54820152699")</f>
        <v>54820152699</v>
      </c>
      <c r="K99" s="3" t="s">
        <v>34</v>
      </c>
      <c r="L99" s="3"/>
      <c r="M99" s="3" t="s">
        <v>35</v>
      </c>
      <c r="N99" s="3" t="str">
        <f>CONCATENATE("VNNMTT89E10D749Q")</f>
        <v>VNNMTT89E10D749Q</v>
      </c>
      <c r="O99" s="3" t="s">
        <v>178</v>
      </c>
      <c r="P99" s="3" t="s">
        <v>37</v>
      </c>
      <c r="Q99" s="3"/>
      <c r="R99" s="4">
        <v>46058</v>
      </c>
      <c r="S99" s="3" t="s">
        <v>38</v>
      </c>
      <c r="T99" s="3" t="s">
        <v>39</v>
      </c>
      <c r="U99" s="3" t="s">
        <v>40</v>
      </c>
      <c r="V99" s="5">
        <v>7411.94</v>
      </c>
      <c r="W99" s="5">
        <v>3150.07</v>
      </c>
      <c r="X99" s="5">
        <v>2983.31</v>
      </c>
      <c r="Y99" s="5">
        <v>1278.56</v>
      </c>
    </row>
    <row r="100" spans="1:25" ht="36.75" x14ac:dyDescent="0.25">
      <c r="A100" s="3" t="s">
        <v>26</v>
      </c>
      <c r="B100" s="3" t="s">
        <v>27</v>
      </c>
      <c r="C100" s="3" t="s">
        <v>28</v>
      </c>
      <c r="D100" s="3" t="s">
        <v>128</v>
      </c>
      <c r="E100" s="3" t="s">
        <v>179</v>
      </c>
      <c r="F100" s="3" t="s">
        <v>130</v>
      </c>
      <c r="G100" s="3" t="s">
        <v>179</v>
      </c>
      <c r="H100" s="3" t="s">
        <v>43</v>
      </c>
      <c r="I100" s="3">
        <v>2025</v>
      </c>
      <c r="J100" s="3" t="str">
        <f>CONCATENATE("54820072939")</f>
        <v>54820072939</v>
      </c>
      <c r="K100" s="3" t="s">
        <v>34</v>
      </c>
      <c r="L100" s="3"/>
      <c r="M100" s="3" t="s">
        <v>35</v>
      </c>
      <c r="N100" s="3" t="str">
        <f>CONCATENATE("00127280436")</f>
        <v>00127280436</v>
      </c>
      <c r="O100" s="3" t="s">
        <v>180</v>
      </c>
      <c r="P100" s="3" t="s">
        <v>37</v>
      </c>
      <c r="Q100" s="3"/>
      <c r="R100" s="4">
        <v>46058</v>
      </c>
      <c r="S100" s="3" t="s">
        <v>38</v>
      </c>
      <c r="T100" s="3" t="s">
        <v>39</v>
      </c>
      <c r="U100" s="3" t="s">
        <v>40</v>
      </c>
      <c r="V100" s="5">
        <v>7031.48</v>
      </c>
      <c r="W100" s="5">
        <v>2988.38</v>
      </c>
      <c r="X100" s="5">
        <v>2830.17</v>
      </c>
      <c r="Y100" s="5">
        <v>1212.93</v>
      </c>
    </row>
    <row r="101" spans="1:25" ht="36.75" x14ac:dyDescent="0.25">
      <c r="A101" s="3" t="s">
        <v>26</v>
      </c>
      <c r="B101" s="3" t="s">
        <v>27</v>
      </c>
      <c r="C101" s="3" t="s">
        <v>28</v>
      </c>
      <c r="D101" s="3" t="s">
        <v>62</v>
      </c>
      <c r="E101" s="3" t="s">
        <v>181</v>
      </c>
      <c r="F101" s="3" t="s">
        <v>64</v>
      </c>
      <c r="G101" s="3" t="s">
        <v>181</v>
      </c>
      <c r="H101" s="3" t="s">
        <v>51</v>
      </c>
      <c r="I101" s="3">
        <v>2025</v>
      </c>
      <c r="J101" s="3" t="str">
        <f>CONCATENATE("54820022009")</f>
        <v>54820022009</v>
      </c>
      <c r="K101" s="3" t="s">
        <v>34</v>
      </c>
      <c r="L101" s="3"/>
      <c r="M101" s="3" t="s">
        <v>35</v>
      </c>
      <c r="N101" s="3" t="str">
        <f>CONCATENATE("01093520417")</f>
        <v>01093520417</v>
      </c>
      <c r="O101" s="3" t="s">
        <v>182</v>
      </c>
      <c r="P101" s="3" t="s">
        <v>37</v>
      </c>
      <c r="Q101" s="3"/>
      <c r="R101" s="4">
        <v>46058</v>
      </c>
      <c r="S101" s="3" t="s">
        <v>38</v>
      </c>
      <c r="T101" s="3" t="s">
        <v>39</v>
      </c>
      <c r="U101" s="3" t="s">
        <v>40</v>
      </c>
      <c r="V101" s="3">
        <v>143.16999999999999</v>
      </c>
      <c r="W101" s="3">
        <v>60.85</v>
      </c>
      <c r="X101" s="3">
        <v>57.63</v>
      </c>
      <c r="Y101" s="3">
        <v>24.69</v>
      </c>
    </row>
    <row r="102" spans="1:25" ht="36.75" x14ac:dyDescent="0.25">
      <c r="A102" s="3" t="s">
        <v>26</v>
      </c>
      <c r="B102" s="3" t="s">
        <v>27</v>
      </c>
      <c r="C102" s="3" t="s">
        <v>28</v>
      </c>
      <c r="D102" s="3" t="s">
        <v>62</v>
      </c>
      <c r="E102" s="3" t="s">
        <v>79</v>
      </c>
      <c r="F102" s="3" t="s">
        <v>64</v>
      </c>
      <c r="G102" s="3" t="s">
        <v>79</v>
      </c>
      <c r="H102" s="3" t="s">
        <v>43</v>
      </c>
      <c r="I102" s="3">
        <v>2025</v>
      </c>
      <c r="J102" s="3" t="str">
        <f>CONCATENATE("54820017611")</f>
        <v>54820017611</v>
      </c>
      <c r="K102" s="3" t="s">
        <v>34</v>
      </c>
      <c r="L102" s="3"/>
      <c r="M102" s="3" t="s">
        <v>35</v>
      </c>
      <c r="N102" s="3" t="str">
        <f>CONCATENATE("01158080430")</f>
        <v>01158080430</v>
      </c>
      <c r="O102" s="3" t="s">
        <v>183</v>
      </c>
      <c r="P102" s="3" t="s">
        <v>37</v>
      </c>
      <c r="Q102" s="3"/>
      <c r="R102" s="4">
        <v>46058</v>
      </c>
      <c r="S102" s="3" t="s">
        <v>38</v>
      </c>
      <c r="T102" s="3" t="s">
        <v>39</v>
      </c>
      <c r="U102" s="3" t="s">
        <v>40</v>
      </c>
      <c r="V102" s="5">
        <v>8080.84</v>
      </c>
      <c r="W102" s="5">
        <v>3434.36</v>
      </c>
      <c r="X102" s="5">
        <v>3252.54</v>
      </c>
      <c r="Y102" s="5">
        <v>1393.94</v>
      </c>
    </row>
    <row r="103" spans="1:25" ht="60.75" x14ac:dyDescent="0.25">
      <c r="A103" s="3" t="s">
        <v>26</v>
      </c>
      <c r="B103" s="3" t="s">
        <v>27</v>
      </c>
      <c r="C103" s="3" t="s">
        <v>28</v>
      </c>
      <c r="D103" s="3" t="s">
        <v>62</v>
      </c>
      <c r="E103" s="3" t="s">
        <v>181</v>
      </c>
      <c r="F103" s="3" t="s">
        <v>64</v>
      </c>
      <c r="G103" s="3" t="s">
        <v>181</v>
      </c>
      <c r="H103" s="3" t="s">
        <v>51</v>
      </c>
      <c r="I103" s="3">
        <v>2025</v>
      </c>
      <c r="J103" s="3" t="str">
        <f>CONCATENATE("54820082953")</f>
        <v>54820082953</v>
      </c>
      <c r="K103" s="3" t="s">
        <v>34</v>
      </c>
      <c r="L103" s="3"/>
      <c r="M103" s="3" t="s">
        <v>35</v>
      </c>
      <c r="N103" s="3" t="str">
        <f>CONCATENATE("CPNSMN68R27E785Z")</f>
        <v>CPNSMN68R27E785Z</v>
      </c>
      <c r="O103" s="3" t="s">
        <v>184</v>
      </c>
      <c r="P103" s="3" t="s">
        <v>37</v>
      </c>
      <c r="Q103" s="3"/>
      <c r="R103" s="4">
        <v>46058</v>
      </c>
      <c r="S103" s="3" t="s">
        <v>38</v>
      </c>
      <c r="T103" s="3" t="s">
        <v>39</v>
      </c>
      <c r="U103" s="3" t="s">
        <v>40</v>
      </c>
      <c r="V103" s="3">
        <v>826.58</v>
      </c>
      <c r="W103" s="3">
        <v>351.3</v>
      </c>
      <c r="X103" s="3">
        <v>332.7</v>
      </c>
      <c r="Y103" s="3">
        <v>142.58000000000001</v>
      </c>
    </row>
    <row r="104" spans="1:25" ht="60.75" x14ac:dyDescent="0.25">
      <c r="A104" s="3" t="s">
        <v>26</v>
      </c>
      <c r="B104" s="3" t="s">
        <v>27</v>
      </c>
      <c r="C104" s="3" t="s">
        <v>28</v>
      </c>
      <c r="D104" s="3" t="s">
        <v>41</v>
      </c>
      <c r="E104" s="3" t="s">
        <v>32</v>
      </c>
      <c r="F104" s="3" t="s">
        <v>31</v>
      </c>
      <c r="G104" s="3" t="s">
        <v>32</v>
      </c>
      <c r="H104" s="3" t="s">
        <v>33</v>
      </c>
      <c r="I104" s="3">
        <v>2025</v>
      </c>
      <c r="J104" s="3" t="str">
        <f>CONCATENATE("54820116207")</f>
        <v>54820116207</v>
      </c>
      <c r="K104" s="3" t="s">
        <v>34</v>
      </c>
      <c r="L104" s="3"/>
      <c r="M104" s="3" t="s">
        <v>35</v>
      </c>
      <c r="N104" s="3" t="str">
        <f>CONCATENATE("MLTMSS77E51I461Q")</f>
        <v>MLTMSS77E51I461Q</v>
      </c>
      <c r="O104" s="3" t="s">
        <v>185</v>
      </c>
      <c r="P104" s="3" t="s">
        <v>37</v>
      </c>
      <c r="Q104" s="3"/>
      <c r="R104" s="4">
        <v>46058</v>
      </c>
      <c r="S104" s="3" t="s">
        <v>38</v>
      </c>
      <c r="T104" s="3" t="s">
        <v>39</v>
      </c>
      <c r="U104" s="3" t="s">
        <v>40</v>
      </c>
      <c r="V104" s="3">
        <v>243.94</v>
      </c>
      <c r="W104" s="3">
        <v>103.67</v>
      </c>
      <c r="X104" s="3">
        <v>98.19</v>
      </c>
      <c r="Y104" s="3">
        <v>42.08</v>
      </c>
    </row>
    <row r="105" spans="1:25" ht="60.75" x14ac:dyDescent="0.25">
      <c r="A105" s="3" t="s">
        <v>26</v>
      </c>
      <c r="B105" s="3" t="s">
        <v>27</v>
      </c>
      <c r="C105" s="3" t="s">
        <v>28</v>
      </c>
      <c r="D105" s="3" t="s">
        <v>41</v>
      </c>
      <c r="E105" s="3" t="s">
        <v>42</v>
      </c>
      <c r="F105" s="3" t="s">
        <v>31</v>
      </c>
      <c r="G105" s="3" t="s">
        <v>42</v>
      </c>
      <c r="H105" s="3" t="s">
        <v>43</v>
      </c>
      <c r="I105" s="3">
        <v>2025</v>
      </c>
      <c r="J105" s="3" t="str">
        <f>CONCATENATE("54820211586")</f>
        <v>54820211586</v>
      </c>
      <c r="K105" s="3" t="s">
        <v>34</v>
      </c>
      <c r="L105" s="3"/>
      <c r="M105" s="3" t="s">
        <v>35</v>
      </c>
      <c r="N105" s="3" t="str">
        <f>CONCATENATE("FDLGPP58R24I661J")</f>
        <v>FDLGPP58R24I661J</v>
      </c>
      <c r="O105" s="3" t="s">
        <v>186</v>
      </c>
      <c r="P105" s="3" t="s">
        <v>37</v>
      </c>
      <c r="Q105" s="3"/>
      <c r="R105" s="4">
        <v>46058</v>
      </c>
      <c r="S105" s="3" t="s">
        <v>38</v>
      </c>
      <c r="T105" s="3" t="s">
        <v>39</v>
      </c>
      <c r="U105" s="3" t="s">
        <v>40</v>
      </c>
      <c r="V105" s="3">
        <v>13.53</v>
      </c>
      <c r="W105" s="3">
        <v>5.75</v>
      </c>
      <c r="X105" s="3">
        <v>5.45</v>
      </c>
      <c r="Y105" s="3">
        <v>2.33</v>
      </c>
    </row>
    <row r="106" spans="1:25" ht="36.75" x14ac:dyDescent="0.25">
      <c r="A106" s="3" t="s">
        <v>26</v>
      </c>
      <c r="B106" s="3" t="s">
        <v>27</v>
      </c>
      <c r="C106" s="3" t="s">
        <v>28</v>
      </c>
      <c r="D106" s="3" t="s">
        <v>41</v>
      </c>
      <c r="E106" s="3" t="s">
        <v>169</v>
      </c>
      <c r="F106" s="3" t="s">
        <v>31</v>
      </c>
      <c r="G106" s="3" t="s">
        <v>169</v>
      </c>
      <c r="H106" s="3" t="s">
        <v>68</v>
      </c>
      <c r="I106" s="3">
        <v>2025</v>
      </c>
      <c r="J106" s="3" t="str">
        <f>CONCATENATE("54820170477")</f>
        <v>54820170477</v>
      </c>
      <c r="K106" s="3" t="s">
        <v>34</v>
      </c>
      <c r="L106" s="3"/>
      <c r="M106" s="3" t="s">
        <v>35</v>
      </c>
      <c r="N106" s="3" t="str">
        <f>CONCATENATE("02311290445")</f>
        <v>02311290445</v>
      </c>
      <c r="O106" s="3" t="s">
        <v>187</v>
      </c>
      <c r="P106" s="3" t="s">
        <v>37</v>
      </c>
      <c r="Q106" s="3"/>
      <c r="R106" s="4">
        <v>46058</v>
      </c>
      <c r="S106" s="3" t="s">
        <v>38</v>
      </c>
      <c r="T106" s="3" t="s">
        <v>39</v>
      </c>
      <c r="U106" s="3" t="s">
        <v>40</v>
      </c>
      <c r="V106" s="5">
        <v>4470.91</v>
      </c>
      <c r="W106" s="5">
        <v>1900.14</v>
      </c>
      <c r="X106" s="5">
        <v>1799.54</v>
      </c>
      <c r="Y106" s="3">
        <v>771.23</v>
      </c>
    </row>
    <row r="107" spans="1:25" ht="60.75" x14ac:dyDescent="0.25">
      <c r="A107" s="3" t="s">
        <v>26</v>
      </c>
      <c r="B107" s="3" t="s">
        <v>27</v>
      </c>
      <c r="C107" s="3" t="s">
        <v>28</v>
      </c>
      <c r="D107" s="3" t="s">
        <v>45</v>
      </c>
      <c r="E107" s="3" t="s">
        <v>86</v>
      </c>
      <c r="F107" s="3" t="s">
        <v>47</v>
      </c>
      <c r="G107" s="3" t="s">
        <v>86</v>
      </c>
      <c r="H107" s="3" t="s">
        <v>51</v>
      </c>
      <c r="I107" s="3">
        <v>2025</v>
      </c>
      <c r="J107" s="3" t="str">
        <f>CONCATENATE("54820197405")</f>
        <v>54820197405</v>
      </c>
      <c r="K107" s="3" t="s">
        <v>34</v>
      </c>
      <c r="L107" s="3"/>
      <c r="M107" s="3" t="s">
        <v>35</v>
      </c>
      <c r="N107" s="3" t="str">
        <f>CONCATENATE("PLTMTT81D07L500M")</f>
        <v>PLTMTT81D07L500M</v>
      </c>
      <c r="O107" s="3" t="s">
        <v>188</v>
      </c>
      <c r="P107" s="3" t="s">
        <v>37</v>
      </c>
      <c r="Q107" s="3"/>
      <c r="R107" s="4">
        <v>46058</v>
      </c>
      <c r="S107" s="3" t="s">
        <v>38</v>
      </c>
      <c r="T107" s="3" t="s">
        <v>39</v>
      </c>
      <c r="U107" s="3" t="s">
        <v>40</v>
      </c>
      <c r="V107" s="5">
        <v>6009.81</v>
      </c>
      <c r="W107" s="5">
        <v>2554.17</v>
      </c>
      <c r="X107" s="5">
        <v>2418.9499999999998</v>
      </c>
      <c r="Y107" s="5">
        <v>1036.69</v>
      </c>
    </row>
    <row r="108" spans="1:25" ht="36.75" x14ac:dyDescent="0.25">
      <c r="A108" s="3" t="s">
        <v>26</v>
      </c>
      <c r="B108" s="3" t="s">
        <v>27</v>
      </c>
      <c r="C108" s="3" t="s">
        <v>28</v>
      </c>
      <c r="D108" s="3" t="s">
        <v>128</v>
      </c>
      <c r="E108" s="3" t="s">
        <v>152</v>
      </c>
      <c r="F108" s="3" t="s">
        <v>130</v>
      </c>
      <c r="G108" s="3" t="s">
        <v>152</v>
      </c>
      <c r="H108" s="3" t="s">
        <v>51</v>
      </c>
      <c r="I108" s="3">
        <v>2025</v>
      </c>
      <c r="J108" s="3" t="str">
        <f>CONCATENATE("54820280656")</f>
        <v>54820280656</v>
      </c>
      <c r="K108" s="3" t="s">
        <v>34</v>
      </c>
      <c r="L108" s="3"/>
      <c r="M108" s="3" t="s">
        <v>35</v>
      </c>
      <c r="N108" s="3" t="str">
        <f>CONCATENATE("02760550414")</f>
        <v>02760550414</v>
      </c>
      <c r="O108" s="3" t="s">
        <v>189</v>
      </c>
      <c r="P108" s="3" t="s">
        <v>37</v>
      </c>
      <c r="Q108" s="3"/>
      <c r="R108" s="4">
        <v>46058</v>
      </c>
      <c r="S108" s="3" t="s">
        <v>38</v>
      </c>
      <c r="T108" s="3" t="s">
        <v>39</v>
      </c>
      <c r="U108" s="3" t="s">
        <v>40</v>
      </c>
      <c r="V108" s="5">
        <v>4339.47</v>
      </c>
      <c r="W108" s="5">
        <v>1844.27</v>
      </c>
      <c r="X108" s="5">
        <v>1746.64</v>
      </c>
      <c r="Y108" s="3">
        <v>748.56</v>
      </c>
    </row>
    <row r="109" spans="1:25" ht="36.75" x14ac:dyDescent="0.25">
      <c r="A109" s="3" t="s">
        <v>26</v>
      </c>
      <c r="B109" s="3" t="s">
        <v>27</v>
      </c>
      <c r="C109" s="3" t="s">
        <v>28</v>
      </c>
      <c r="D109" s="3" t="s">
        <v>128</v>
      </c>
      <c r="E109" s="3" t="s">
        <v>152</v>
      </c>
      <c r="F109" s="3" t="s">
        <v>130</v>
      </c>
      <c r="G109" s="3" t="s">
        <v>152</v>
      </c>
      <c r="H109" s="3" t="s">
        <v>51</v>
      </c>
      <c r="I109" s="3">
        <v>2025</v>
      </c>
      <c r="J109" s="3" t="str">
        <f>CONCATENATE("54820280524")</f>
        <v>54820280524</v>
      </c>
      <c r="K109" s="3" t="s">
        <v>34</v>
      </c>
      <c r="L109" s="3"/>
      <c r="M109" s="3" t="s">
        <v>35</v>
      </c>
      <c r="N109" s="3" t="str">
        <f>CONCATENATE("02632660417")</f>
        <v>02632660417</v>
      </c>
      <c r="O109" s="3" t="s">
        <v>190</v>
      </c>
      <c r="P109" s="3" t="s">
        <v>37</v>
      </c>
      <c r="Q109" s="3"/>
      <c r="R109" s="4">
        <v>46058</v>
      </c>
      <c r="S109" s="3" t="s">
        <v>38</v>
      </c>
      <c r="T109" s="3" t="s">
        <v>39</v>
      </c>
      <c r="U109" s="3" t="s">
        <v>40</v>
      </c>
      <c r="V109" s="3">
        <v>123.75</v>
      </c>
      <c r="W109" s="3">
        <v>52.59</v>
      </c>
      <c r="X109" s="3">
        <v>49.81</v>
      </c>
      <c r="Y109" s="3">
        <v>21.35</v>
      </c>
    </row>
    <row r="110" spans="1:25" ht="36.75" x14ac:dyDescent="0.25">
      <c r="A110" s="3" t="s">
        <v>26</v>
      </c>
      <c r="B110" s="3" t="s">
        <v>27</v>
      </c>
      <c r="C110" s="3" t="s">
        <v>28</v>
      </c>
      <c r="D110" s="3" t="s">
        <v>62</v>
      </c>
      <c r="E110" s="3" t="s">
        <v>79</v>
      </c>
      <c r="F110" s="3" t="s">
        <v>64</v>
      </c>
      <c r="G110" s="3" t="s">
        <v>79</v>
      </c>
      <c r="H110" s="3" t="s">
        <v>43</v>
      </c>
      <c r="I110" s="3">
        <v>2025</v>
      </c>
      <c r="J110" s="3" t="str">
        <f>CONCATENATE("54820071782")</f>
        <v>54820071782</v>
      </c>
      <c r="K110" s="3" t="s">
        <v>34</v>
      </c>
      <c r="L110" s="3"/>
      <c r="M110" s="3" t="s">
        <v>35</v>
      </c>
      <c r="N110" s="3" t="str">
        <f>CONCATENATE("01222440438")</f>
        <v>01222440438</v>
      </c>
      <c r="O110" s="3" t="s">
        <v>191</v>
      </c>
      <c r="P110" s="3" t="s">
        <v>37</v>
      </c>
      <c r="Q110" s="3"/>
      <c r="R110" s="4">
        <v>46058</v>
      </c>
      <c r="S110" s="3" t="s">
        <v>38</v>
      </c>
      <c r="T110" s="3" t="s">
        <v>39</v>
      </c>
      <c r="U110" s="3" t="s">
        <v>40</v>
      </c>
      <c r="V110" s="3">
        <v>30.4</v>
      </c>
      <c r="W110" s="3">
        <v>12.92</v>
      </c>
      <c r="X110" s="3">
        <v>12.24</v>
      </c>
      <c r="Y110" s="3">
        <v>5.24</v>
      </c>
    </row>
    <row r="111" spans="1:25" ht="60.75" x14ac:dyDescent="0.25">
      <c r="A111" s="3" t="s">
        <v>26</v>
      </c>
      <c r="B111" s="3" t="s">
        <v>27</v>
      </c>
      <c r="C111" s="3" t="s">
        <v>28</v>
      </c>
      <c r="D111" s="3" t="s">
        <v>41</v>
      </c>
      <c r="E111" s="3" t="s">
        <v>32</v>
      </c>
      <c r="F111" s="3" t="s">
        <v>31</v>
      </c>
      <c r="G111" s="3" t="s">
        <v>32</v>
      </c>
      <c r="H111" s="3" t="s">
        <v>33</v>
      </c>
      <c r="I111" s="3">
        <v>2025</v>
      </c>
      <c r="J111" s="3" t="str">
        <f>CONCATENATE("54820072954")</f>
        <v>54820072954</v>
      </c>
      <c r="K111" s="3" t="s">
        <v>34</v>
      </c>
      <c r="L111" s="3"/>
      <c r="M111" s="3" t="s">
        <v>35</v>
      </c>
      <c r="N111" s="3" t="str">
        <f>CONCATENATE("PCCMHL84C16D451H")</f>
        <v>PCCMHL84C16D451H</v>
      </c>
      <c r="O111" s="3" t="s">
        <v>192</v>
      </c>
      <c r="P111" s="3" t="s">
        <v>37</v>
      </c>
      <c r="Q111" s="3"/>
      <c r="R111" s="4">
        <v>46058</v>
      </c>
      <c r="S111" s="3" t="s">
        <v>38</v>
      </c>
      <c r="T111" s="3" t="s">
        <v>39</v>
      </c>
      <c r="U111" s="3" t="s">
        <v>40</v>
      </c>
      <c r="V111" s="3">
        <v>345.15</v>
      </c>
      <c r="W111" s="3">
        <v>146.69</v>
      </c>
      <c r="X111" s="3">
        <v>138.91999999999999</v>
      </c>
      <c r="Y111" s="3">
        <v>59.54</v>
      </c>
    </row>
    <row r="112" spans="1:25" ht="36.75" x14ac:dyDescent="0.25">
      <c r="A112" s="3" t="s">
        <v>26</v>
      </c>
      <c r="B112" s="3" t="s">
        <v>27</v>
      </c>
      <c r="C112" s="3" t="s">
        <v>28</v>
      </c>
      <c r="D112" s="3" t="s">
        <v>62</v>
      </c>
      <c r="E112" s="3" t="s">
        <v>63</v>
      </c>
      <c r="F112" s="3" t="s">
        <v>64</v>
      </c>
      <c r="G112" s="3" t="s">
        <v>63</v>
      </c>
      <c r="H112" s="3" t="s">
        <v>51</v>
      </c>
      <c r="I112" s="3">
        <v>2025</v>
      </c>
      <c r="J112" s="3" t="str">
        <f>CONCATENATE("54820069380")</f>
        <v>54820069380</v>
      </c>
      <c r="K112" s="3" t="s">
        <v>34</v>
      </c>
      <c r="L112" s="3"/>
      <c r="M112" s="3" t="s">
        <v>35</v>
      </c>
      <c r="N112" s="3" t="str">
        <f>CONCATENATE("02453800415")</f>
        <v>02453800415</v>
      </c>
      <c r="O112" s="3" t="s">
        <v>193</v>
      </c>
      <c r="P112" s="3" t="s">
        <v>37</v>
      </c>
      <c r="Q112" s="3"/>
      <c r="R112" s="4">
        <v>46058</v>
      </c>
      <c r="S112" s="3" t="s">
        <v>38</v>
      </c>
      <c r="T112" s="3" t="s">
        <v>39</v>
      </c>
      <c r="U112" s="3" t="s">
        <v>40</v>
      </c>
      <c r="V112" s="5">
        <v>6830.59</v>
      </c>
      <c r="W112" s="5">
        <v>2903</v>
      </c>
      <c r="X112" s="5">
        <v>2749.31</v>
      </c>
      <c r="Y112" s="5">
        <v>1178.28</v>
      </c>
    </row>
    <row r="113" spans="1:25" ht="60.75" x14ac:dyDescent="0.25">
      <c r="A113" s="3" t="s">
        <v>26</v>
      </c>
      <c r="B113" s="3" t="s">
        <v>27</v>
      </c>
      <c r="C113" s="3" t="s">
        <v>28</v>
      </c>
      <c r="D113" s="3" t="s">
        <v>41</v>
      </c>
      <c r="E113" s="3" t="s">
        <v>32</v>
      </c>
      <c r="F113" s="3" t="s">
        <v>31</v>
      </c>
      <c r="G113" s="3" t="s">
        <v>32</v>
      </c>
      <c r="H113" s="3" t="s">
        <v>33</v>
      </c>
      <c r="I113" s="3">
        <v>2025</v>
      </c>
      <c r="J113" s="3" t="str">
        <f>CONCATENATE("54820192398")</f>
        <v>54820192398</v>
      </c>
      <c r="K113" s="3" t="s">
        <v>34</v>
      </c>
      <c r="L113" s="3"/>
      <c r="M113" s="3" t="s">
        <v>35</v>
      </c>
      <c r="N113" s="3" t="str">
        <f>CONCATENATE("DLEPLM38A24F051S")</f>
        <v>DLEPLM38A24F051S</v>
      </c>
      <c r="O113" s="3" t="s">
        <v>194</v>
      </c>
      <c r="P113" s="3" t="s">
        <v>37</v>
      </c>
      <c r="Q113" s="3"/>
      <c r="R113" s="4">
        <v>46058</v>
      </c>
      <c r="S113" s="3" t="s">
        <v>38</v>
      </c>
      <c r="T113" s="3" t="s">
        <v>39</v>
      </c>
      <c r="U113" s="3" t="s">
        <v>40</v>
      </c>
      <c r="V113" s="3">
        <v>191.52</v>
      </c>
      <c r="W113" s="3">
        <v>81.400000000000006</v>
      </c>
      <c r="X113" s="3">
        <v>77.09</v>
      </c>
      <c r="Y113" s="3">
        <v>33.03</v>
      </c>
    </row>
    <row r="114" spans="1:25" ht="60.75" x14ac:dyDescent="0.25">
      <c r="A114" s="3" t="s">
        <v>26</v>
      </c>
      <c r="B114" s="3" t="s">
        <v>27</v>
      </c>
      <c r="C114" s="3" t="s">
        <v>28</v>
      </c>
      <c r="D114" s="3" t="s">
        <v>41</v>
      </c>
      <c r="E114" s="3" t="s">
        <v>49</v>
      </c>
      <c r="F114" s="3" t="s">
        <v>31</v>
      </c>
      <c r="G114" s="3" t="s">
        <v>49</v>
      </c>
      <c r="H114" s="3" t="s">
        <v>51</v>
      </c>
      <c r="I114" s="3">
        <v>2025</v>
      </c>
      <c r="J114" s="3" t="str">
        <f>CONCATENATE("54820132485")</f>
        <v>54820132485</v>
      </c>
      <c r="K114" s="3" t="s">
        <v>34</v>
      </c>
      <c r="L114" s="3"/>
      <c r="M114" s="3" t="s">
        <v>35</v>
      </c>
      <c r="N114" s="3" t="str">
        <f>CONCATENATE("PLCLCN53A25B352U")</f>
        <v>PLCLCN53A25B352U</v>
      </c>
      <c r="O114" s="3" t="s">
        <v>195</v>
      </c>
      <c r="P114" s="3" t="s">
        <v>37</v>
      </c>
      <c r="Q114" s="3"/>
      <c r="R114" s="4">
        <v>46058</v>
      </c>
      <c r="S114" s="3" t="s">
        <v>38</v>
      </c>
      <c r="T114" s="3" t="s">
        <v>39</v>
      </c>
      <c r="U114" s="3" t="s">
        <v>40</v>
      </c>
      <c r="V114" s="3">
        <v>401.13</v>
      </c>
      <c r="W114" s="3">
        <v>170.48</v>
      </c>
      <c r="X114" s="3">
        <v>161.44999999999999</v>
      </c>
      <c r="Y114" s="3">
        <v>69.2</v>
      </c>
    </row>
    <row r="115" spans="1:25" ht="60.75" x14ac:dyDescent="0.25">
      <c r="A115" s="3" t="s">
        <v>26</v>
      </c>
      <c r="B115" s="3" t="s">
        <v>27</v>
      </c>
      <c r="C115" s="3" t="s">
        <v>28</v>
      </c>
      <c r="D115" s="3" t="s">
        <v>196</v>
      </c>
      <c r="E115" s="3" t="s">
        <v>197</v>
      </c>
      <c r="F115" s="3" t="s">
        <v>198</v>
      </c>
      <c r="G115" s="3" t="s">
        <v>197</v>
      </c>
      <c r="H115" s="3" t="s">
        <v>51</v>
      </c>
      <c r="I115" s="3">
        <v>2025</v>
      </c>
      <c r="J115" s="3" t="str">
        <f>CONCATENATE("54820141775")</f>
        <v>54820141775</v>
      </c>
      <c r="K115" s="3" t="s">
        <v>34</v>
      </c>
      <c r="L115" s="3"/>
      <c r="M115" s="3" t="s">
        <v>35</v>
      </c>
      <c r="N115" s="3" t="str">
        <f>CONCATENATE("GBRGRG58E01F478K")</f>
        <v>GBRGRG58E01F478K</v>
      </c>
      <c r="O115" s="3" t="s">
        <v>199</v>
      </c>
      <c r="P115" s="3" t="s">
        <v>37</v>
      </c>
      <c r="Q115" s="3"/>
      <c r="R115" s="4">
        <v>46058</v>
      </c>
      <c r="S115" s="3" t="s">
        <v>38</v>
      </c>
      <c r="T115" s="3" t="s">
        <v>39</v>
      </c>
      <c r="U115" s="3" t="s">
        <v>40</v>
      </c>
      <c r="V115" s="3">
        <v>364.21</v>
      </c>
      <c r="W115" s="3">
        <v>154.79</v>
      </c>
      <c r="X115" s="3">
        <v>146.59</v>
      </c>
      <c r="Y115" s="3">
        <v>62.83</v>
      </c>
    </row>
    <row r="116" spans="1:25" ht="36.75" x14ac:dyDescent="0.25">
      <c r="A116" s="3" t="s">
        <v>26</v>
      </c>
      <c r="B116" s="3" t="s">
        <v>27</v>
      </c>
      <c r="C116" s="3" t="s">
        <v>28</v>
      </c>
      <c r="D116" s="3" t="s">
        <v>41</v>
      </c>
      <c r="E116" s="3" t="s">
        <v>32</v>
      </c>
      <c r="F116" s="3" t="s">
        <v>31</v>
      </c>
      <c r="G116" s="3" t="s">
        <v>32</v>
      </c>
      <c r="H116" s="3" t="s">
        <v>33</v>
      </c>
      <c r="I116" s="3">
        <v>2025</v>
      </c>
      <c r="J116" s="3" t="str">
        <f>CONCATENATE("54820177431")</f>
        <v>54820177431</v>
      </c>
      <c r="K116" s="3" t="s">
        <v>34</v>
      </c>
      <c r="L116" s="3"/>
      <c r="M116" s="3" t="s">
        <v>35</v>
      </c>
      <c r="N116" s="3" t="str">
        <f>CONCATENATE("02964410423")</f>
        <v>02964410423</v>
      </c>
      <c r="O116" s="3" t="s">
        <v>200</v>
      </c>
      <c r="P116" s="3" t="s">
        <v>37</v>
      </c>
      <c r="Q116" s="3"/>
      <c r="R116" s="4">
        <v>46058</v>
      </c>
      <c r="S116" s="3" t="s">
        <v>38</v>
      </c>
      <c r="T116" s="3" t="s">
        <v>39</v>
      </c>
      <c r="U116" s="3" t="s">
        <v>40</v>
      </c>
      <c r="V116" s="3">
        <v>876.66</v>
      </c>
      <c r="W116" s="3">
        <v>372.58</v>
      </c>
      <c r="X116" s="3">
        <v>352.86</v>
      </c>
      <c r="Y116" s="3">
        <v>151.22</v>
      </c>
    </row>
    <row r="117" spans="1:25" ht="36.75" x14ac:dyDescent="0.25">
      <c r="A117" s="3" t="s">
        <v>26</v>
      </c>
      <c r="B117" s="3" t="s">
        <v>27</v>
      </c>
      <c r="C117" s="3" t="s">
        <v>28</v>
      </c>
      <c r="D117" s="3" t="s">
        <v>41</v>
      </c>
      <c r="E117" s="3" t="s">
        <v>42</v>
      </c>
      <c r="F117" s="3" t="s">
        <v>64</v>
      </c>
      <c r="G117" s="3" t="s">
        <v>81</v>
      </c>
      <c r="H117" s="3" t="s">
        <v>43</v>
      </c>
      <c r="I117" s="3">
        <v>2025</v>
      </c>
      <c r="J117" s="3" t="str">
        <f>CONCATENATE("54820135165")</f>
        <v>54820135165</v>
      </c>
      <c r="K117" s="3" t="s">
        <v>34</v>
      </c>
      <c r="L117" s="3"/>
      <c r="M117" s="3" t="s">
        <v>35</v>
      </c>
      <c r="N117" s="3" t="str">
        <f>CONCATENATE("01964190431")</f>
        <v>01964190431</v>
      </c>
      <c r="O117" s="3" t="s">
        <v>201</v>
      </c>
      <c r="P117" s="3" t="s">
        <v>37</v>
      </c>
      <c r="Q117" s="3"/>
      <c r="R117" s="4">
        <v>46058</v>
      </c>
      <c r="S117" s="3" t="s">
        <v>38</v>
      </c>
      <c r="T117" s="3" t="s">
        <v>39</v>
      </c>
      <c r="U117" s="3" t="s">
        <v>40</v>
      </c>
      <c r="V117" s="3">
        <v>212.11</v>
      </c>
      <c r="W117" s="3">
        <v>90.15</v>
      </c>
      <c r="X117" s="3">
        <v>85.37</v>
      </c>
      <c r="Y117" s="3">
        <v>36.590000000000003</v>
      </c>
    </row>
    <row r="118" spans="1:25" ht="60.75" x14ac:dyDescent="0.25">
      <c r="A118" s="3" t="s">
        <v>26</v>
      </c>
      <c r="B118" s="3" t="s">
        <v>27</v>
      </c>
      <c r="C118" s="3" t="s">
        <v>28</v>
      </c>
      <c r="D118" s="3" t="s">
        <v>171</v>
      </c>
      <c r="E118" s="3" t="s">
        <v>172</v>
      </c>
      <c r="F118" s="3" t="s">
        <v>171</v>
      </c>
      <c r="G118" s="3" t="s">
        <v>172</v>
      </c>
      <c r="H118" s="3" t="s">
        <v>68</v>
      </c>
      <c r="I118" s="3">
        <v>2025</v>
      </c>
      <c r="J118" s="3" t="str">
        <f>CONCATENATE("54820283346")</f>
        <v>54820283346</v>
      </c>
      <c r="K118" s="3" t="s">
        <v>34</v>
      </c>
      <c r="L118" s="3"/>
      <c r="M118" s="3" t="s">
        <v>35</v>
      </c>
      <c r="N118" s="3" t="str">
        <f>CONCATENATE("BRNSMN70R54C935I")</f>
        <v>BRNSMN70R54C935I</v>
      </c>
      <c r="O118" s="3" t="s">
        <v>202</v>
      </c>
      <c r="P118" s="3" t="s">
        <v>37</v>
      </c>
      <c r="Q118" s="3"/>
      <c r="R118" s="4">
        <v>46058</v>
      </c>
      <c r="S118" s="3" t="s">
        <v>38</v>
      </c>
      <c r="T118" s="3" t="s">
        <v>39</v>
      </c>
      <c r="U118" s="3" t="s">
        <v>40</v>
      </c>
      <c r="V118" s="3">
        <v>255.24</v>
      </c>
      <c r="W118" s="3">
        <v>108.48</v>
      </c>
      <c r="X118" s="3">
        <v>102.73</v>
      </c>
      <c r="Y118" s="3">
        <v>44.03</v>
      </c>
    </row>
    <row r="119" spans="1:25" ht="72.75" x14ac:dyDescent="0.25">
      <c r="A119" s="3" t="s">
        <v>26</v>
      </c>
      <c r="B119" s="3" t="s">
        <v>27</v>
      </c>
      <c r="C119" s="3" t="s">
        <v>28</v>
      </c>
      <c r="D119" s="3" t="s">
        <v>41</v>
      </c>
      <c r="E119" s="3" t="s">
        <v>74</v>
      </c>
      <c r="F119" s="3" t="s">
        <v>31</v>
      </c>
      <c r="G119" s="3" t="s">
        <v>74</v>
      </c>
      <c r="H119" s="3" t="s">
        <v>33</v>
      </c>
      <c r="I119" s="3">
        <v>2025</v>
      </c>
      <c r="J119" s="3" t="str">
        <f>CONCATENATE("54820145362")</f>
        <v>54820145362</v>
      </c>
      <c r="K119" s="3" t="s">
        <v>34</v>
      </c>
      <c r="L119" s="3"/>
      <c r="M119" s="3" t="s">
        <v>35</v>
      </c>
      <c r="N119" s="3" t="str">
        <f>CONCATENATE("MNRSRG61B24A366W")</f>
        <v>MNRSRG61B24A366W</v>
      </c>
      <c r="O119" s="3" t="s">
        <v>203</v>
      </c>
      <c r="P119" s="3" t="s">
        <v>37</v>
      </c>
      <c r="Q119" s="3"/>
      <c r="R119" s="4">
        <v>46058</v>
      </c>
      <c r="S119" s="3" t="s">
        <v>38</v>
      </c>
      <c r="T119" s="3" t="s">
        <v>39</v>
      </c>
      <c r="U119" s="3" t="s">
        <v>40</v>
      </c>
      <c r="V119" s="5">
        <v>1057.17</v>
      </c>
      <c r="W119" s="3">
        <v>449.3</v>
      </c>
      <c r="X119" s="3">
        <v>425.51</v>
      </c>
      <c r="Y119" s="3">
        <v>182.36</v>
      </c>
    </row>
    <row r="120" spans="1:25" ht="72.75" x14ac:dyDescent="0.25">
      <c r="A120" s="3" t="s">
        <v>26</v>
      </c>
      <c r="B120" s="3" t="s">
        <v>27</v>
      </c>
      <c r="C120" s="3" t="s">
        <v>28</v>
      </c>
      <c r="D120" s="3" t="s">
        <v>171</v>
      </c>
      <c r="E120" s="3" t="s">
        <v>172</v>
      </c>
      <c r="F120" s="3" t="s">
        <v>171</v>
      </c>
      <c r="G120" s="3" t="s">
        <v>172</v>
      </c>
      <c r="H120" s="3" t="s">
        <v>68</v>
      </c>
      <c r="I120" s="3">
        <v>2025</v>
      </c>
      <c r="J120" s="3" t="str">
        <f>CONCATENATE("54820282736")</f>
        <v>54820282736</v>
      </c>
      <c r="K120" s="3" t="s">
        <v>34</v>
      </c>
      <c r="L120" s="3"/>
      <c r="M120" s="3" t="s">
        <v>35</v>
      </c>
      <c r="N120" s="3" t="str">
        <f>CONCATENATE("GMNMRC89B28A252D")</f>
        <v>GMNMRC89B28A252D</v>
      </c>
      <c r="O120" s="3" t="s">
        <v>204</v>
      </c>
      <c r="P120" s="3" t="s">
        <v>37</v>
      </c>
      <c r="Q120" s="3"/>
      <c r="R120" s="4">
        <v>46058</v>
      </c>
      <c r="S120" s="3" t="s">
        <v>38</v>
      </c>
      <c r="T120" s="3" t="s">
        <v>39</v>
      </c>
      <c r="U120" s="3" t="s">
        <v>40</v>
      </c>
      <c r="V120" s="5">
        <v>8164.51</v>
      </c>
      <c r="W120" s="5">
        <v>3469.92</v>
      </c>
      <c r="X120" s="5">
        <v>3286.22</v>
      </c>
      <c r="Y120" s="5">
        <v>1408.37</v>
      </c>
    </row>
    <row r="121" spans="1:25" ht="60.75" x14ac:dyDescent="0.25">
      <c r="A121" s="3" t="s">
        <v>26</v>
      </c>
      <c r="B121" s="3" t="s">
        <v>27</v>
      </c>
      <c r="C121" s="3" t="s">
        <v>28</v>
      </c>
      <c r="D121" s="3" t="s">
        <v>128</v>
      </c>
      <c r="E121" s="3" t="s">
        <v>129</v>
      </c>
      <c r="F121" s="3" t="s">
        <v>130</v>
      </c>
      <c r="G121" s="3" t="s">
        <v>129</v>
      </c>
      <c r="H121" s="3" t="s">
        <v>68</v>
      </c>
      <c r="I121" s="3">
        <v>2025</v>
      </c>
      <c r="J121" s="3" t="str">
        <f>CONCATENATE("54820362561")</f>
        <v>54820362561</v>
      </c>
      <c r="K121" s="3" t="s">
        <v>34</v>
      </c>
      <c r="L121" s="3"/>
      <c r="M121" s="3" t="s">
        <v>35</v>
      </c>
      <c r="N121" s="3" t="str">
        <f>CONCATENATE("ZZIGPP68M14I774B")</f>
        <v>ZZIGPP68M14I774B</v>
      </c>
      <c r="O121" s="3" t="s">
        <v>205</v>
      </c>
      <c r="P121" s="3" t="s">
        <v>37</v>
      </c>
      <c r="Q121" s="3"/>
      <c r="R121" s="4">
        <v>46058</v>
      </c>
      <c r="S121" s="3" t="s">
        <v>38</v>
      </c>
      <c r="T121" s="3" t="s">
        <v>39</v>
      </c>
      <c r="U121" s="3" t="s">
        <v>40</v>
      </c>
      <c r="V121" s="3">
        <v>809.42</v>
      </c>
      <c r="W121" s="3">
        <v>344</v>
      </c>
      <c r="X121" s="3">
        <v>325.79000000000002</v>
      </c>
      <c r="Y121" s="3">
        <v>139.63</v>
      </c>
    </row>
    <row r="122" spans="1:25" ht="72.75" x14ac:dyDescent="0.25">
      <c r="A122" s="3" t="s">
        <v>26</v>
      </c>
      <c r="B122" s="3" t="s">
        <v>27</v>
      </c>
      <c r="C122" s="3" t="s">
        <v>28</v>
      </c>
      <c r="D122" s="3" t="s">
        <v>171</v>
      </c>
      <c r="E122" s="3" t="s">
        <v>206</v>
      </c>
      <c r="F122" s="3" t="s">
        <v>171</v>
      </c>
      <c r="G122" s="3" t="s">
        <v>206</v>
      </c>
      <c r="H122" s="3" t="s">
        <v>51</v>
      </c>
      <c r="I122" s="3">
        <v>2025</v>
      </c>
      <c r="J122" s="3" t="str">
        <f>CONCATENATE("54820167655")</f>
        <v>54820167655</v>
      </c>
      <c r="K122" s="3" t="s">
        <v>34</v>
      </c>
      <c r="L122" s="3"/>
      <c r="M122" s="3" t="s">
        <v>35</v>
      </c>
      <c r="N122" s="3" t="str">
        <f>CONCATENATE("GDUNNL61M63D749O")</f>
        <v>GDUNNL61M63D749O</v>
      </c>
      <c r="O122" s="3" t="s">
        <v>207</v>
      </c>
      <c r="P122" s="3" t="s">
        <v>37</v>
      </c>
      <c r="Q122" s="3"/>
      <c r="R122" s="4">
        <v>46058</v>
      </c>
      <c r="S122" s="3" t="s">
        <v>38</v>
      </c>
      <c r="T122" s="3" t="s">
        <v>39</v>
      </c>
      <c r="U122" s="3" t="s">
        <v>40</v>
      </c>
      <c r="V122" s="3">
        <v>820.92</v>
      </c>
      <c r="W122" s="3">
        <v>348.89</v>
      </c>
      <c r="X122" s="3">
        <v>330.42</v>
      </c>
      <c r="Y122" s="3">
        <v>141.61000000000001</v>
      </c>
    </row>
    <row r="123" spans="1:25" ht="60.75" x14ac:dyDescent="0.25">
      <c r="A123" s="3" t="s">
        <v>26</v>
      </c>
      <c r="B123" s="3" t="s">
        <v>27</v>
      </c>
      <c r="C123" s="3" t="s">
        <v>28</v>
      </c>
      <c r="D123" s="3" t="s">
        <v>41</v>
      </c>
      <c r="E123" s="3" t="s">
        <v>57</v>
      </c>
      <c r="F123" s="3" t="s">
        <v>31</v>
      </c>
      <c r="G123" s="3" t="s">
        <v>57</v>
      </c>
      <c r="H123" s="3" t="s">
        <v>51</v>
      </c>
      <c r="I123" s="3">
        <v>2025</v>
      </c>
      <c r="J123" s="3" t="str">
        <f>CONCATENATE("54820050547")</f>
        <v>54820050547</v>
      </c>
      <c r="K123" s="3" t="s">
        <v>34</v>
      </c>
      <c r="L123" s="3"/>
      <c r="M123" s="3" t="s">
        <v>35</v>
      </c>
      <c r="N123" s="3" t="str">
        <f>CONCATENATE("BRTDNL76A26L500B")</f>
        <v>BRTDNL76A26L500B</v>
      </c>
      <c r="O123" s="3" t="s">
        <v>208</v>
      </c>
      <c r="P123" s="3" t="s">
        <v>37</v>
      </c>
      <c r="Q123" s="3"/>
      <c r="R123" s="4">
        <v>46058</v>
      </c>
      <c r="S123" s="3" t="s">
        <v>38</v>
      </c>
      <c r="T123" s="3" t="s">
        <v>39</v>
      </c>
      <c r="U123" s="3" t="s">
        <v>40</v>
      </c>
      <c r="V123" s="5">
        <v>1395.62</v>
      </c>
      <c r="W123" s="3">
        <v>593.14</v>
      </c>
      <c r="X123" s="3">
        <v>561.74</v>
      </c>
      <c r="Y123" s="3">
        <v>240.74</v>
      </c>
    </row>
    <row r="124" spans="1:25" ht="60.75" x14ac:dyDescent="0.25">
      <c r="A124" s="3" t="s">
        <v>26</v>
      </c>
      <c r="B124" s="3" t="s">
        <v>27</v>
      </c>
      <c r="C124" s="3" t="s">
        <v>28</v>
      </c>
      <c r="D124" s="3" t="s">
        <v>62</v>
      </c>
      <c r="E124" s="3" t="s">
        <v>79</v>
      </c>
      <c r="F124" s="3" t="s">
        <v>64</v>
      </c>
      <c r="G124" s="3" t="s">
        <v>79</v>
      </c>
      <c r="H124" s="3" t="s">
        <v>43</v>
      </c>
      <c r="I124" s="3">
        <v>2025</v>
      </c>
      <c r="J124" s="3" t="str">
        <f>CONCATENATE("54820018528")</f>
        <v>54820018528</v>
      </c>
      <c r="K124" s="3" t="s">
        <v>34</v>
      </c>
      <c r="L124" s="3"/>
      <c r="M124" s="3" t="s">
        <v>35</v>
      </c>
      <c r="N124" s="3" t="str">
        <f>CONCATENATE("TMSFRZ66E10B474E")</f>
        <v>TMSFRZ66E10B474E</v>
      </c>
      <c r="O124" s="3" t="s">
        <v>209</v>
      </c>
      <c r="P124" s="3" t="s">
        <v>37</v>
      </c>
      <c r="Q124" s="3"/>
      <c r="R124" s="4">
        <v>46058</v>
      </c>
      <c r="S124" s="3" t="s">
        <v>38</v>
      </c>
      <c r="T124" s="3" t="s">
        <v>39</v>
      </c>
      <c r="U124" s="3" t="s">
        <v>40</v>
      </c>
      <c r="V124" s="3">
        <v>777.74</v>
      </c>
      <c r="W124" s="3">
        <v>330.54</v>
      </c>
      <c r="X124" s="3">
        <v>313.04000000000002</v>
      </c>
      <c r="Y124" s="3">
        <v>134.16</v>
      </c>
    </row>
    <row r="125" spans="1:25" ht="60.75" x14ac:dyDescent="0.25">
      <c r="A125" s="3" t="s">
        <v>26</v>
      </c>
      <c r="B125" s="3" t="s">
        <v>27</v>
      </c>
      <c r="C125" s="3" t="s">
        <v>28</v>
      </c>
      <c r="D125" s="3" t="s">
        <v>62</v>
      </c>
      <c r="E125" s="3" t="s">
        <v>79</v>
      </c>
      <c r="F125" s="3" t="s">
        <v>64</v>
      </c>
      <c r="G125" s="3" t="s">
        <v>79</v>
      </c>
      <c r="H125" s="3" t="s">
        <v>43</v>
      </c>
      <c r="I125" s="3">
        <v>2025</v>
      </c>
      <c r="J125" s="3" t="str">
        <f>CONCATENATE("54820020516")</f>
        <v>54820020516</v>
      </c>
      <c r="K125" s="3" t="s">
        <v>34</v>
      </c>
      <c r="L125" s="3"/>
      <c r="M125" s="3" t="s">
        <v>35</v>
      </c>
      <c r="N125" s="3" t="str">
        <f>CONCATENATE("FCCGPP90E17H282N")</f>
        <v>FCCGPP90E17H282N</v>
      </c>
      <c r="O125" s="3" t="s">
        <v>210</v>
      </c>
      <c r="P125" s="3" t="s">
        <v>37</v>
      </c>
      <c r="Q125" s="3"/>
      <c r="R125" s="4">
        <v>46058</v>
      </c>
      <c r="S125" s="3" t="s">
        <v>38</v>
      </c>
      <c r="T125" s="3" t="s">
        <v>39</v>
      </c>
      <c r="U125" s="3" t="s">
        <v>40</v>
      </c>
      <c r="V125" s="3">
        <v>17.12</v>
      </c>
      <c r="W125" s="3">
        <v>7.28</v>
      </c>
      <c r="X125" s="3">
        <v>6.89</v>
      </c>
      <c r="Y125" s="3">
        <v>2.95</v>
      </c>
    </row>
    <row r="126" spans="1:25" ht="60.75" x14ac:dyDescent="0.25">
      <c r="A126" s="3" t="s">
        <v>26</v>
      </c>
      <c r="B126" s="3" t="s">
        <v>27</v>
      </c>
      <c r="C126" s="3" t="s">
        <v>28</v>
      </c>
      <c r="D126" s="3" t="s">
        <v>62</v>
      </c>
      <c r="E126" s="3" t="s">
        <v>181</v>
      </c>
      <c r="F126" s="3" t="s">
        <v>64</v>
      </c>
      <c r="G126" s="3" t="s">
        <v>181</v>
      </c>
      <c r="H126" s="3" t="s">
        <v>51</v>
      </c>
      <c r="I126" s="3">
        <v>2025</v>
      </c>
      <c r="J126" s="3" t="str">
        <f>CONCATENATE("54820021845")</f>
        <v>54820021845</v>
      </c>
      <c r="K126" s="3" t="s">
        <v>34</v>
      </c>
      <c r="L126" s="3"/>
      <c r="M126" s="3" t="s">
        <v>35</v>
      </c>
      <c r="N126" s="3" t="str">
        <f>CONCATENATE("SPDMNL84S25L500W")</f>
        <v>SPDMNL84S25L500W</v>
      </c>
      <c r="O126" s="3" t="s">
        <v>211</v>
      </c>
      <c r="P126" s="3" t="s">
        <v>37</v>
      </c>
      <c r="Q126" s="3"/>
      <c r="R126" s="4">
        <v>46058</v>
      </c>
      <c r="S126" s="3" t="s">
        <v>38</v>
      </c>
      <c r="T126" s="3" t="s">
        <v>39</v>
      </c>
      <c r="U126" s="3" t="s">
        <v>40</v>
      </c>
      <c r="V126" s="5">
        <v>3189.02</v>
      </c>
      <c r="W126" s="5">
        <v>1355.33</v>
      </c>
      <c r="X126" s="5">
        <v>1283.58</v>
      </c>
      <c r="Y126" s="3">
        <v>550.11</v>
      </c>
    </row>
    <row r="127" spans="1:25" ht="36.75" x14ac:dyDescent="0.25">
      <c r="A127" s="3" t="s">
        <v>26</v>
      </c>
      <c r="B127" s="3" t="s">
        <v>27</v>
      </c>
      <c r="C127" s="3" t="s">
        <v>28</v>
      </c>
      <c r="D127" s="3" t="s">
        <v>41</v>
      </c>
      <c r="E127" s="3" t="s">
        <v>49</v>
      </c>
      <c r="F127" s="3" t="s">
        <v>31</v>
      </c>
      <c r="G127" s="3" t="s">
        <v>49</v>
      </c>
      <c r="H127" s="3" t="s">
        <v>51</v>
      </c>
      <c r="I127" s="3">
        <v>2025</v>
      </c>
      <c r="J127" s="3" t="str">
        <f>CONCATENATE("54820103973")</f>
        <v>54820103973</v>
      </c>
      <c r="K127" s="3" t="s">
        <v>34</v>
      </c>
      <c r="L127" s="3"/>
      <c r="M127" s="3" t="s">
        <v>35</v>
      </c>
      <c r="N127" s="3" t="str">
        <f>CONCATENATE("02429780410")</f>
        <v>02429780410</v>
      </c>
      <c r="O127" s="3" t="s">
        <v>212</v>
      </c>
      <c r="P127" s="3" t="s">
        <v>37</v>
      </c>
      <c r="Q127" s="3"/>
      <c r="R127" s="4">
        <v>46058</v>
      </c>
      <c r="S127" s="3" t="s">
        <v>38</v>
      </c>
      <c r="T127" s="3" t="s">
        <v>39</v>
      </c>
      <c r="U127" s="3" t="s">
        <v>40</v>
      </c>
      <c r="V127" s="5">
        <v>5517.17</v>
      </c>
      <c r="W127" s="5">
        <v>2344.8000000000002</v>
      </c>
      <c r="X127" s="5">
        <v>2220.66</v>
      </c>
      <c r="Y127" s="3">
        <v>951.71</v>
      </c>
    </row>
    <row r="128" spans="1:25" ht="36.75" x14ac:dyDescent="0.25">
      <c r="A128" s="3" t="s">
        <v>26</v>
      </c>
      <c r="B128" s="3" t="s">
        <v>27</v>
      </c>
      <c r="C128" s="3" t="s">
        <v>28</v>
      </c>
      <c r="D128" s="3" t="s">
        <v>62</v>
      </c>
      <c r="E128" s="3" t="s">
        <v>126</v>
      </c>
      <c r="F128" s="3" t="s">
        <v>64</v>
      </c>
      <c r="G128" s="3" t="s">
        <v>126</v>
      </c>
      <c r="H128" s="3" t="s">
        <v>68</v>
      </c>
      <c r="I128" s="3">
        <v>2025</v>
      </c>
      <c r="J128" s="3" t="str">
        <f>CONCATENATE("54820269808")</f>
        <v>54820269808</v>
      </c>
      <c r="K128" s="3" t="s">
        <v>34</v>
      </c>
      <c r="L128" s="3"/>
      <c r="M128" s="3" t="s">
        <v>35</v>
      </c>
      <c r="N128" s="3" t="str">
        <f>CONCATENATE("02077180434")</f>
        <v>02077180434</v>
      </c>
      <c r="O128" s="3" t="s">
        <v>213</v>
      </c>
      <c r="P128" s="3" t="s">
        <v>37</v>
      </c>
      <c r="Q128" s="3"/>
      <c r="R128" s="4">
        <v>46058</v>
      </c>
      <c r="S128" s="3" t="s">
        <v>38</v>
      </c>
      <c r="T128" s="3" t="s">
        <v>39</v>
      </c>
      <c r="U128" s="3" t="s">
        <v>40</v>
      </c>
      <c r="V128" s="3">
        <v>58.38</v>
      </c>
      <c r="W128" s="3">
        <v>24.81</v>
      </c>
      <c r="X128" s="3">
        <v>23.5</v>
      </c>
      <c r="Y128" s="3">
        <v>10.07</v>
      </c>
    </row>
    <row r="129" spans="1:25" ht="72.75" x14ac:dyDescent="0.25">
      <c r="A129" s="3" t="s">
        <v>26</v>
      </c>
      <c r="B129" s="3" t="s">
        <v>27</v>
      </c>
      <c r="C129" s="3" t="s">
        <v>28</v>
      </c>
      <c r="D129" s="3" t="s">
        <v>45</v>
      </c>
      <c r="E129" s="3" t="s">
        <v>214</v>
      </c>
      <c r="F129" s="3" t="s">
        <v>47</v>
      </c>
      <c r="G129" s="3" t="s">
        <v>214</v>
      </c>
      <c r="H129" s="3" t="s">
        <v>68</v>
      </c>
      <c r="I129" s="3">
        <v>2025</v>
      </c>
      <c r="J129" s="3" t="str">
        <f>CONCATENATE("54820166954")</f>
        <v>54820166954</v>
      </c>
      <c r="K129" s="3" t="s">
        <v>34</v>
      </c>
      <c r="L129" s="3"/>
      <c r="M129" s="3" t="s">
        <v>35</v>
      </c>
      <c r="N129" s="3" t="str">
        <f>CONCATENATE("PCCGNN68D07A044G")</f>
        <v>PCCGNN68D07A044G</v>
      </c>
      <c r="O129" s="3" t="s">
        <v>215</v>
      </c>
      <c r="P129" s="3" t="s">
        <v>37</v>
      </c>
      <c r="Q129" s="3"/>
      <c r="R129" s="4">
        <v>46058</v>
      </c>
      <c r="S129" s="3" t="s">
        <v>38</v>
      </c>
      <c r="T129" s="3" t="s">
        <v>39</v>
      </c>
      <c r="U129" s="3" t="s">
        <v>40</v>
      </c>
      <c r="V129" s="3">
        <v>16.34</v>
      </c>
      <c r="W129" s="3">
        <v>6.94</v>
      </c>
      <c r="X129" s="3">
        <v>6.58</v>
      </c>
      <c r="Y129" s="3">
        <v>2.82</v>
      </c>
    </row>
    <row r="130" spans="1:25" ht="60.75" x14ac:dyDescent="0.25">
      <c r="A130" s="3" t="s">
        <v>26</v>
      </c>
      <c r="B130" s="3" t="s">
        <v>27</v>
      </c>
      <c r="C130" s="3" t="s">
        <v>28</v>
      </c>
      <c r="D130" s="3" t="s">
        <v>136</v>
      </c>
      <c r="E130" s="3" t="s">
        <v>216</v>
      </c>
      <c r="F130" s="3" t="s">
        <v>138</v>
      </c>
      <c r="G130" s="3" t="s">
        <v>216</v>
      </c>
      <c r="H130" s="3" t="s">
        <v>33</v>
      </c>
      <c r="I130" s="3">
        <v>2025</v>
      </c>
      <c r="J130" s="3" t="str">
        <f>CONCATENATE("54820141353")</f>
        <v>54820141353</v>
      </c>
      <c r="K130" s="3" t="s">
        <v>34</v>
      </c>
      <c r="L130" s="3"/>
      <c r="M130" s="3" t="s">
        <v>35</v>
      </c>
      <c r="N130" s="3" t="str">
        <f>CONCATENATE("CCCGNN44R18D451F")</f>
        <v>CCCGNN44R18D451F</v>
      </c>
      <c r="O130" s="3" t="s">
        <v>217</v>
      </c>
      <c r="P130" s="3" t="s">
        <v>37</v>
      </c>
      <c r="Q130" s="3"/>
      <c r="R130" s="4">
        <v>46058</v>
      </c>
      <c r="S130" s="3" t="s">
        <v>38</v>
      </c>
      <c r="T130" s="3" t="s">
        <v>39</v>
      </c>
      <c r="U130" s="3" t="s">
        <v>40</v>
      </c>
      <c r="V130" s="5">
        <v>4175.41</v>
      </c>
      <c r="W130" s="5">
        <v>1774.55</v>
      </c>
      <c r="X130" s="5">
        <v>1680.6</v>
      </c>
      <c r="Y130" s="3">
        <v>720.26</v>
      </c>
    </row>
    <row r="131" spans="1:25" ht="36.75" x14ac:dyDescent="0.25">
      <c r="A131" s="3" t="s">
        <v>26</v>
      </c>
      <c r="B131" s="3" t="s">
        <v>27</v>
      </c>
      <c r="C131" s="3" t="s">
        <v>28</v>
      </c>
      <c r="D131" s="3" t="s">
        <v>62</v>
      </c>
      <c r="E131" s="3" t="s">
        <v>181</v>
      </c>
      <c r="F131" s="3" t="s">
        <v>64</v>
      </c>
      <c r="G131" s="3" t="s">
        <v>181</v>
      </c>
      <c r="H131" s="3" t="s">
        <v>51</v>
      </c>
      <c r="I131" s="3">
        <v>2025</v>
      </c>
      <c r="J131" s="3" t="str">
        <f>CONCATENATE("54820235130")</f>
        <v>54820235130</v>
      </c>
      <c r="K131" s="3" t="s">
        <v>34</v>
      </c>
      <c r="L131" s="3"/>
      <c r="M131" s="3" t="s">
        <v>35</v>
      </c>
      <c r="N131" s="3" t="str">
        <f>CONCATENATE("02253870410")</f>
        <v>02253870410</v>
      </c>
      <c r="O131" s="3" t="s">
        <v>218</v>
      </c>
      <c r="P131" s="3" t="s">
        <v>37</v>
      </c>
      <c r="Q131" s="3"/>
      <c r="R131" s="4">
        <v>46058</v>
      </c>
      <c r="S131" s="3" t="s">
        <v>38</v>
      </c>
      <c r="T131" s="3" t="s">
        <v>39</v>
      </c>
      <c r="U131" s="3" t="s">
        <v>40</v>
      </c>
      <c r="V131" s="5">
        <v>5210.8599999999997</v>
      </c>
      <c r="W131" s="5">
        <v>2214.62</v>
      </c>
      <c r="X131" s="5">
        <v>2097.37</v>
      </c>
      <c r="Y131" s="3">
        <v>898.87</v>
      </c>
    </row>
    <row r="132" spans="1:25" ht="60.75" x14ac:dyDescent="0.25">
      <c r="A132" s="3" t="s">
        <v>26</v>
      </c>
      <c r="B132" s="3" t="s">
        <v>27</v>
      </c>
      <c r="C132" s="3" t="s">
        <v>28</v>
      </c>
      <c r="D132" s="3" t="s">
        <v>41</v>
      </c>
      <c r="E132" s="3" t="s">
        <v>53</v>
      </c>
      <c r="F132" s="3" t="s">
        <v>31</v>
      </c>
      <c r="G132" s="3" t="s">
        <v>53</v>
      </c>
      <c r="H132" s="3" t="s">
        <v>51</v>
      </c>
      <c r="I132" s="3">
        <v>2025</v>
      </c>
      <c r="J132" s="3" t="str">
        <f>CONCATENATE("54820160841")</f>
        <v>54820160841</v>
      </c>
      <c r="K132" s="3" t="s">
        <v>34</v>
      </c>
      <c r="L132" s="3"/>
      <c r="M132" s="3" t="s">
        <v>35</v>
      </c>
      <c r="N132" s="3" t="str">
        <f>CONCATENATE("MCHSNT67C42Z120C")</f>
        <v>MCHSNT67C42Z120C</v>
      </c>
      <c r="O132" s="3" t="s">
        <v>219</v>
      </c>
      <c r="P132" s="3" t="s">
        <v>37</v>
      </c>
      <c r="Q132" s="3"/>
      <c r="R132" s="4">
        <v>46058</v>
      </c>
      <c r="S132" s="3" t="s">
        <v>38</v>
      </c>
      <c r="T132" s="3" t="s">
        <v>39</v>
      </c>
      <c r="U132" s="3" t="s">
        <v>40</v>
      </c>
      <c r="V132" s="3">
        <v>703.47</v>
      </c>
      <c r="W132" s="3">
        <v>298.97000000000003</v>
      </c>
      <c r="X132" s="3">
        <v>283.14999999999998</v>
      </c>
      <c r="Y132" s="3">
        <v>121.35</v>
      </c>
    </row>
    <row r="133" spans="1:25" ht="36.75" x14ac:dyDescent="0.25">
      <c r="A133" s="3" t="s">
        <v>26</v>
      </c>
      <c r="B133" s="3" t="s">
        <v>27</v>
      </c>
      <c r="C133" s="3" t="s">
        <v>28</v>
      </c>
      <c r="D133" s="3" t="s">
        <v>41</v>
      </c>
      <c r="E133" s="3" t="s">
        <v>154</v>
      </c>
      <c r="F133" s="3" t="s">
        <v>31</v>
      </c>
      <c r="G133" s="3" t="s">
        <v>154</v>
      </c>
      <c r="H133" s="3" t="s">
        <v>51</v>
      </c>
      <c r="I133" s="3">
        <v>2025</v>
      </c>
      <c r="J133" s="3" t="str">
        <f>CONCATENATE("54820288451")</f>
        <v>54820288451</v>
      </c>
      <c r="K133" s="3" t="s">
        <v>34</v>
      </c>
      <c r="L133" s="3"/>
      <c r="M133" s="3" t="s">
        <v>35</v>
      </c>
      <c r="N133" s="3" t="str">
        <f>CONCATENATE("01358310413")</f>
        <v>01358310413</v>
      </c>
      <c r="O133" s="3" t="s">
        <v>220</v>
      </c>
      <c r="P133" s="3" t="s">
        <v>37</v>
      </c>
      <c r="Q133" s="3"/>
      <c r="R133" s="4">
        <v>46058</v>
      </c>
      <c r="S133" s="3" t="s">
        <v>38</v>
      </c>
      <c r="T133" s="3" t="s">
        <v>39</v>
      </c>
      <c r="U133" s="3" t="s">
        <v>40</v>
      </c>
      <c r="V133" s="3">
        <v>48.34</v>
      </c>
      <c r="W133" s="3">
        <v>20.54</v>
      </c>
      <c r="X133" s="3">
        <v>19.46</v>
      </c>
      <c r="Y133" s="3">
        <v>8.34</v>
      </c>
    </row>
    <row r="134" spans="1:25" ht="36.75" x14ac:dyDescent="0.25">
      <c r="A134" s="3" t="s">
        <v>26</v>
      </c>
      <c r="B134" s="3" t="s">
        <v>27</v>
      </c>
      <c r="C134" s="3" t="s">
        <v>28</v>
      </c>
      <c r="D134" s="3" t="s">
        <v>41</v>
      </c>
      <c r="E134" s="3" t="s">
        <v>42</v>
      </c>
      <c r="F134" s="3" t="s">
        <v>31</v>
      </c>
      <c r="G134" s="3" t="s">
        <v>42</v>
      </c>
      <c r="H134" s="3" t="s">
        <v>43</v>
      </c>
      <c r="I134" s="3">
        <v>2025</v>
      </c>
      <c r="J134" s="3" t="str">
        <f>CONCATENATE("54820213293")</f>
        <v>54820213293</v>
      </c>
      <c r="K134" s="3" t="s">
        <v>34</v>
      </c>
      <c r="L134" s="3"/>
      <c r="M134" s="3" t="s">
        <v>35</v>
      </c>
      <c r="N134" s="3" t="str">
        <f>CONCATENATE("01141480432")</f>
        <v>01141480432</v>
      </c>
      <c r="O134" s="3" t="s">
        <v>221</v>
      </c>
      <c r="P134" s="3" t="s">
        <v>37</v>
      </c>
      <c r="Q134" s="3"/>
      <c r="R134" s="4">
        <v>46058</v>
      </c>
      <c r="S134" s="3" t="s">
        <v>38</v>
      </c>
      <c r="T134" s="3" t="s">
        <v>39</v>
      </c>
      <c r="U134" s="3" t="s">
        <v>40</v>
      </c>
      <c r="V134" s="5">
        <v>1330.37</v>
      </c>
      <c r="W134" s="3">
        <v>565.41</v>
      </c>
      <c r="X134" s="3">
        <v>535.47</v>
      </c>
      <c r="Y134" s="3">
        <v>229.49</v>
      </c>
    </row>
    <row r="135" spans="1:25" ht="36.75" x14ac:dyDescent="0.25">
      <c r="A135" s="3" t="s">
        <v>26</v>
      </c>
      <c r="B135" s="3" t="s">
        <v>27</v>
      </c>
      <c r="C135" s="3" t="s">
        <v>28</v>
      </c>
      <c r="D135" s="3" t="s">
        <v>62</v>
      </c>
      <c r="E135" s="3" t="s">
        <v>181</v>
      </c>
      <c r="F135" s="3" t="s">
        <v>64</v>
      </c>
      <c r="G135" s="3" t="s">
        <v>181</v>
      </c>
      <c r="H135" s="3" t="s">
        <v>51</v>
      </c>
      <c r="I135" s="3">
        <v>2025</v>
      </c>
      <c r="J135" s="3" t="str">
        <f>CONCATENATE("54820026125")</f>
        <v>54820026125</v>
      </c>
      <c r="K135" s="3" t="s">
        <v>34</v>
      </c>
      <c r="L135" s="3"/>
      <c r="M135" s="3" t="s">
        <v>35</v>
      </c>
      <c r="N135" s="3" t="str">
        <f>CONCATENATE("02745150413")</f>
        <v>02745150413</v>
      </c>
      <c r="O135" s="3" t="s">
        <v>222</v>
      </c>
      <c r="P135" s="3" t="s">
        <v>37</v>
      </c>
      <c r="Q135" s="3"/>
      <c r="R135" s="4">
        <v>46058</v>
      </c>
      <c r="S135" s="3" t="s">
        <v>38</v>
      </c>
      <c r="T135" s="3" t="s">
        <v>39</v>
      </c>
      <c r="U135" s="3" t="s">
        <v>40</v>
      </c>
      <c r="V135" s="3">
        <v>550.47</v>
      </c>
      <c r="W135" s="3">
        <v>233.95</v>
      </c>
      <c r="X135" s="3">
        <v>221.56</v>
      </c>
      <c r="Y135" s="3">
        <v>94.96</v>
      </c>
    </row>
    <row r="136" spans="1:25" ht="60.75" x14ac:dyDescent="0.25">
      <c r="A136" s="3" t="s">
        <v>26</v>
      </c>
      <c r="B136" s="3" t="s">
        <v>27</v>
      </c>
      <c r="C136" s="3" t="s">
        <v>28</v>
      </c>
      <c r="D136" s="3" t="s">
        <v>62</v>
      </c>
      <c r="E136" s="3" t="s">
        <v>63</v>
      </c>
      <c r="F136" s="3" t="s">
        <v>64</v>
      </c>
      <c r="G136" s="3" t="s">
        <v>63</v>
      </c>
      <c r="H136" s="3" t="s">
        <v>51</v>
      </c>
      <c r="I136" s="3">
        <v>2025</v>
      </c>
      <c r="J136" s="3" t="str">
        <f>CONCATENATE("54820026588")</f>
        <v>54820026588</v>
      </c>
      <c r="K136" s="3" t="s">
        <v>34</v>
      </c>
      <c r="L136" s="3"/>
      <c r="M136" s="3" t="s">
        <v>35</v>
      </c>
      <c r="N136" s="3" t="str">
        <f>CONCATENATE("RGLCRL68C43C830Z")</f>
        <v>RGLCRL68C43C830Z</v>
      </c>
      <c r="O136" s="3" t="s">
        <v>223</v>
      </c>
      <c r="P136" s="3" t="s">
        <v>37</v>
      </c>
      <c r="Q136" s="3"/>
      <c r="R136" s="4">
        <v>46058</v>
      </c>
      <c r="S136" s="3" t="s">
        <v>38</v>
      </c>
      <c r="T136" s="3" t="s">
        <v>39</v>
      </c>
      <c r="U136" s="3" t="s">
        <v>40</v>
      </c>
      <c r="V136" s="5">
        <v>2589.4899999999998</v>
      </c>
      <c r="W136" s="5">
        <v>1100.53</v>
      </c>
      <c r="X136" s="5">
        <v>1042.27</v>
      </c>
      <c r="Y136" s="3">
        <v>446.69</v>
      </c>
    </row>
    <row r="137" spans="1:25" ht="60.75" x14ac:dyDescent="0.25">
      <c r="A137" s="3" t="s">
        <v>26</v>
      </c>
      <c r="B137" s="3" t="s">
        <v>27</v>
      </c>
      <c r="C137" s="3" t="s">
        <v>28</v>
      </c>
      <c r="D137" s="3" t="s">
        <v>41</v>
      </c>
      <c r="E137" s="3" t="s">
        <v>57</v>
      </c>
      <c r="F137" s="3" t="s">
        <v>31</v>
      </c>
      <c r="G137" s="3" t="s">
        <v>57</v>
      </c>
      <c r="H137" s="3" t="s">
        <v>51</v>
      </c>
      <c r="I137" s="3">
        <v>2025</v>
      </c>
      <c r="J137" s="3" t="str">
        <f>CONCATENATE("54820045661")</f>
        <v>54820045661</v>
      </c>
      <c r="K137" s="3" t="s">
        <v>34</v>
      </c>
      <c r="L137" s="3"/>
      <c r="M137" s="3" t="s">
        <v>35</v>
      </c>
      <c r="N137" s="3" t="str">
        <f>CONCATENATE("LSSGPR48B23L500H")</f>
        <v>LSSGPR48B23L500H</v>
      </c>
      <c r="O137" s="3" t="s">
        <v>224</v>
      </c>
      <c r="P137" s="3" t="s">
        <v>37</v>
      </c>
      <c r="Q137" s="3"/>
      <c r="R137" s="4">
        <v>46058</v>
      </c>
      <c r="S137" s="3" t="s">
        <v>38</v>
      </c>
      <c r="T137" s="3" t="s">
        <v>39</v>
      </c>
      <c r="U137" s="3" t="s">
        <v>40</v>
      </c>
      <c r="V137" s="3">
        <v>182.29</v>
      </c>
      <c r="W137" s="3">
        <v>77.47</v>
      </c>
      <c r="X137" s="3">
        <v>73.37</v>
      </c>
      <c r="Y137" s="3">
        <v>31.45</v>
      </c>
    </row>
    <row r="138" spans="1:25" ht="60.75" x14ac:dyDescent="0.25">
      <c r="A138" s="3" t="s">
        <v>26</v>
      </c>
      <c r="B138" s="3" t="s">
        <v>27</v>
      </c>
      <c r="C138" s="3" t="s">
        <v>28</v>
      </c>
      <c r="D138" s="3" t="s">
        <v>41</v>
      </c>
      <c r="E138" s="3" t="s">
        <v>53</v>
      </c>
      <c r="F138" s="3" t="s">
        <v>31</v>
      </c>
      <c r="G138" s="3" t="s">
        <v>53</v>
      </c>
      <c r="H138" s="3" t="s">
        <v>51</v>
      </c>
      <c r="I138" s="3">
        <v>2025</v>
      </c>
      <c r="J138" s="3" t="str">
        <f>CONCATENATE("54820021928")</f>
        <v>54820021928</v>
      </c>
      <c r="K138" s="3" t="s">
        <v>34</v>
      </c>
      <c r="L138" s="3"/>
      <c r="M138" s="3" t="s">
        <v>35</v>
      </c>
      <c r="N138" s="3" t="str">
        <f>CONCATENATE("BNAMRA63S01C060W")</f>
        <v>BNAMRA63S01C060W</v>
      </c>
      <c r="O138" s="3" t="s">
        <v>225</v>
      </c>
      <c r="P138" s="3" t="s">
        <v>37</v>
      </c>
      <c r="Q138" s="3"/>
      <c r="R138" s="4">
        <v>46058</v>
      </c>
      <c r="S138" s="3" t="s">
        <v>38</v>
      </c>
      <c r="T138" s="3" t="s">
        <v>39</v>
      </c>
      <c r="U138" s="3" t="s">
        <v>40</v>
      </c>
      <c r="V138" s="3">
        <v>417.3</v>
      </c>
      <c r="W138" s="3">
        <v>177.35</v>
      </c>
      <c r="X138" s="3">
        <v>167.96</v>
      </c>
      <c r="Y138" s="3">
        <v>71.989999999999995</v>
      </c>
    </row>
    <row r="139" spans="1:25" ht="60.75" x14ac:dyDescent="0.25">
      <c r="A139" s="3" t="s">
        <v>26</v>
      </c>
      <c r="B139" s="3" t="s">
        <v>27</v>
      </c>
      <c r="C139" s="3" t="s">
        <v>28</v>
      </c>
      <c r="D139" s="3" t="s">
        <v>41</v>
      </c>
      <c r="E139" s="3" t="s">
        <v>119</v>
      </c>
      <c r="F139" s="3" t="s">
        <v>31</v>
      </c>
      <c r="G139" s="3" t="s">
        <v>119</v>
      </c>
      <c r="H139" s="3" t="s">
        <v>51</v>
      </c>
      <c r="I139" s="3">
        <v>2025</v>
      </c>
      <c r="J139" s="3" t="str">
        <f>CONCATENATE("54820040753")</f>
        <v>54820040753</v>
      </c>
      <c r="K139" s="3" t="s">
        <v>34</v>
      </c>
      <c r="L139" s="3"/>
      <c r="M139" s="3" t="s">
        <v>35</v>
      </c>
      <c r="N139" s="3" t="str">
        <f>CONCATENATE("MRCFBA67S10I654O")</f>
        <v>MRCFBA67S10I654O</v>
      </c>
      <c r="O139" s="3" t="s">
        <v>226</v>
      </c>
      <c r="P139" s="3" t="s">
        <v>37</v>
      </c>
      <c r="Q139" s="3"/>
      <c r="R139" s="4">
        <v>46058</v>
      </c>
      <c r="S139" s="3" t="s">
        <v>38</v>
      </c>
      <c r="T139" s="3" t="s">
        <v>39</v>
      </c>
      <c r="U139" s="3" t="s">
        <v>40</v>
      </c>
      <c r="V139" s="3">
        <v>293.73</v>
      </c>
      <c r="W139" s="3">
        <v>124.84</v>
      </c>
      <c r="X139" s="3">
        <v>118.23</v>
      </c>
      <c r="Y139" s="3">
        <v>50.66</v>
      </c>
    </row>
    <row r="140" spans="1:25" ht="60.75" x14ac:dyDescent="0.25">
      <c r="A140" s="3" t="s">
        <v>26</v>
      </c>
      <c r="B140" s="3" t="s">
        <v>27</v>
      </c>
      <c r="C140" s="3" t="s">
        <v>28</v>
      </c>
      <c r="D140" s="3" t="s">
        <v>41</v>
      </c>
      <c r="E140" s="3" t="s">
        <v>74</v>
      </c>
      <c r="F140" s="3" t="s">
        <v>31</v>
      </c>
      <c r="G140" s="3" t="s">
        <v>74</v>
      </c>
      <c r="H140" s="3" t="s">
        <v>33</v>
      </c>
      <c r="I140" s="3">
        <v>2025</v>
      </c>
      <c r="J140" s="3" t="str">
        <f>CONCATENATE("54820141239")</f>
        <v>54820141239</v>
      </c>
      <c r="K140" s="3" t="s">
        <v>34</v>
      </c>
      <c r="L140" s="3"/>
      <c r="M140" s="3" t="s">
        <v>35</v>
      </c>
      <c r="N140" s="3" t="str">
        <f>CONCATENATE("PSSGNE60R09I461A")</f>
        <v>PSSGNE60R09I461A</v>
      </c>
      <c r="O140" s="3" t="s">
        <v>227</v>
      </c>
      <c r="P140" s="3" t="s">
        <v>37</v>
      </c>
      <c r="Q140" s="3"/>
      <c r="R140" s="4">
        <v>46058</v>
      </c>
      <c r="S140" s="3" t="s">
        <v>38</v>
      </c>
      <c r="T140" s="3" t="s">
        <v>39</v>
      </c>
      <c r="U140" s="3" t="s">
        <v>40</v>
      </c>
      <c r="V140" s="5">
        <v>1161.8499999999999</v>
      </c>
      <c r="W140" s="3">
        <v>493.79</v>
      </c>
      <c r="X140" s="3">
        <v>467.64</v>
      </c>
      <c r="Y140" s="3">
        <v>200.42</v>
      </c>
    </row>
    <row r="141" spans="1:25" ht="60.75" x14ac:dyDescent="0.25">
      <c r="A141" s="3" t="s">
        <v>26</v>
      </c>
      <c r="B141" s="3" t="s">
        <v>27</v>
      </c>
      <c r="C141" s="3" t="s">
        <v>28</v>
      </c>
      <c r="D141" s="3" t="s">
        <v>62</v>
      </c>
      <c r="E141" s="3" t="s">
        <v>81</v>
      </c>
      <c r="F141" s="3" t="s">
        <v>64</v>
      </c>
      <c r="G141" s="3" t="s">
        <v>81</v>
      </c>
      <c r="H141" s="3" t="s">
        <v>43</v>
      </c>
      <c r="I141" s="3">
        <v>2025</v>
      </c>
      <c r="J141" s="3" t="str">
        <f>CONCATENATE("54820154653")</f>
        <v>54820154653</v>
      </c>
      <c r="K141" s="3" t="s">
        <v>34</v>
      </c>
      <c r="L141" s="3"/>
      <c r="M141" s="3" t="s">
        <v>35</v>
      </c>
      <c r="N141" s="3" t="str">
        <f>CONCATENATE("BNVRHL95C61D024Q")</f>
        <v>BNVRHL95C61D024Q</v>
      </c>
      <c r="O141" s="3" t="s">
        <v>228</v>
      </c>
      <c r="P141" s="3" t="s">
        <v>37</v>
      </c>
      <c r="Q141" s="3"/>
      <c r="R141" s="4">
        <v>46058</v>
      </c>
      <c r="S141" s="3" t="s">
        <v>38</v>
      </c>
      <c r="T141" s="3" t="s">
        <v>39</v>
      </c>
      <c r="U141" s="3" t="s">
        <v>40</v>
      </c>
      <c r="V141" s="3">
        <v>16.559999999999999</v>
      </c>
      <c r="W141" s="3">
        <v>7.04</v>
      </c>
      <c r="X141" s="3">
        <v>6.67</v>
      </c>
      <c r="Y141" s="3">
        <v>2.85</v>
      </c>
    </row>
    <row r="142" spans="1:25" ht="60.75" x14ac:dyDescent="0.25">
      <c r="A142" s="3" t="s">
        <v>26</v>
      </c>
      <c r="B142" s="3" t="s">
        <v>27</v>
      </c>
      <c r="C142" s="3" t="s">
        <v>28</v>
      </c>
      <c r="D142" s="3" t="s">
        <v>41</v>
      </c>
      <c r="E142" s="3" t="s">
        <v>229</v>
      </c>
      <c r="F142" s="3" t="s">
        <v>31</v>
      </c>
      <c r="G142" s="3" t="s">
        <v>229</v>
      </c>
      <c r="H142" s="3" t="s">
        <v>68</v>
      </c>
      <c r="I142" s="3">
        <v>2025</v>
      </c>
      <c r="J142" s="3" t="str">
        <f>CONCATENATE("54820112594")</f>
        <v>54820112594</v>
      </c>
      <c r="K142" s="3" t="s">
        <v>34</v>
      </c>
      <c r="L142" s="3"/>
      <c r="M142" s="3" t="s">
        <v>35</v>
      </c>
      <c r="N142" s="3" t="str">
        <f>CONCATENATE("LRALGU84C27A462F")</f>
        <v>LRALGU84C27A462F</v>
      </c>
      <c r="O142" s="3" t="s">
        <v>230</v>
      </c>
      <c r="P142" s="3" t="s">
        <v>37</v>
      </c>
      <c r="Q142" s="3"/>
      <c r="R142" s="4">
        <v>46058</v>
      </c>
      <c r="S142" s="3" t="s">
        <v>38</v>
      </c>
      <c r="T142" s="3" t="s">
        <v>39</v>
      </c>
      <c r="U142" s="3" t="s">
        <v>40</v>
      </c>
      <c r="V142" s="5">
        <v>4044.36</v>
      </c>
      <c r="W142" s="5">
        <v>1718.85</v>
      </c>
      <c r="X142" s="5">
        <v>1627.85</v>
      </c>
      <c r="Y142" s="3">
        <v>697.66</v>
      </c>
    </row>
    <row r="143" spans="1:25" ht="60.75" x14ac:dyDescent="0.25">
      <c r="A143" s="3" t="s">
        <v>26</v>
      </c>
      <c r="B143" s="3" t="s">
        <v>27</v>
      </c>
      <c r="C143" s="3" t="s">
        <v>28</v>
      </c>
      <c r="D143" s="3" t="s">
        <v>41</v>
      </c>
      <c r="E143" s="3" t="s">
        <v>57</v>
      </c>
      <c r="F143" s="3" t="s">
        <v>31</v>
      </c>
      <c r="G143" s="3" t="s">
        <v>57</v>
      </c>
      <c r="H143" s="3" t="s">
        <v>51</v>
      </c>
      <c r="I143" s="3">
        <v>2025</v>
      </c>
      <c r="J143" s="3" t="str">
        <f>CONCATENATE("54820062211")</f>
        <v>54820062211</v>
      </c>
      <c r="K143" s="3" t="s">
        <v>34</v>
      </c>
      <c r="L143" s="3"/>
      <c r="M143" s="3" t="s">
        <v>35</v>
      </c>
      <c r="N143" s="3" t="str">
        <f>CONCATENATE("MTTLVN48P48L500X")</f>
        <v>MTTLVN48P48L500X</v>
      </c>
      <c r="O143" s="3" t="s">
        <v>231</v>
      </c>
      <c r="P143" s="3" t="s">
        <v>37</v>
      </c>
      <c r="Q143" s="3"/>
      <c r="R143" s="4">
        <v>46058</v>
      </c>
      <c r="S143" s="3" t="s">
        <v>38</v>
      </c>
      <c r="T143" s="3" t="s">
        <v>39</v>
      </c>
      <c r="U143" s="3" t="s">
        <v>40</v>
      </c>
      <c r="V143" s="3">
        <v>568.30999999999995</v>
      </c>
      <c r="W143" s="3">
        <v>241.53</v>
      </c>
      <c r="X143" s="3">
        <v>228.74</v>
      </c>
      <c r="Y143" s="3">
        <v>98.04</v>
      </c>
    </row>
    <row r="144" spans="1:25" ht="36.75" x14ac:dyDescent="0.25">
      <c r="A144" s="3" t="s">
        <v>26</v>
      </c>
      <c r="B144" s="3" t="s">
        <v>27</v>
      </c>
      <c r="C144" s="3" t="s">
        <v>28</v>
      </c>
      <c r="D144" s="3" t="s">
        <v>41</v>
      </c>
      <c r="E144" s="3" t="s">
        <v>57</v>
      </c>
      <c r="F144" s="3" t="s">
        <v>31</v>
      </c>
      <c r="G144" s="3" t="s">
        <v>57</v>
      </c>
      <c r="H144" s="3" t="s">
        <v>51</v>
      </c>
      <c r="I144" s="3">
        <v>2025</v>
      </c>
      <c r="J144" s="3" t="str">
        <f>CONCATENATE("54820160668")</f>
        <v>54820160668</v>
      </c>
      <c r="K144" s="3" t="s">
        <v>34</v>
      </c>
      <c r="L144" s="3"/>
      <c r="M144" s="3" t="s">
        <v>35</v>
      </c>
      <c r="N144" s="3" t="str">
        <f>CONCATENATE("01342540414")</f>
        <v>01342540414</v>
      </c>
      <c r="O144" s="3" t="s">
        <v>232</v>
      </c>
      <c r="P144" s="3" t="s">
        <v>37</v>
      </c>
      <c r="Q144" s="3"/>
      <c r="R144" s="4">
        <v>46058</v>
      </c>
      <c r="S144" s="3" t="s">
        <v>38</v>
      </c>
      <c r="T144" s="3" t="s">
        <v>39</v>
      </c>
      <c r="U144" s="3" t="s">
        <v>40</v>
      </c>
      <c r="V144" s="5">
        <v>1791.06</v>
      </c>
      <c r="W144" s="3">
        <v>761.2</v>
      </c>
      <c r="X144" s="3">
        <v>720.9</v>
      </c>
      <c r="Y144" s="3">
        <v>308.95999999999998</v>
      </c>
    </row>
    <row r="145" spans="1:25" ht="36.75" x14ac:dyDescent="0.25">
      <c r="A145" s="3" t="s">
        <v>26</v>
      </c>
      <c r="B145" s="3" t="s">
        <v>27</v>
      </c>
      <c r="C145" s="3" t="s">
        <v>28</v>
      </c>
      <c r="D145" s="3" t="s">
        <v>233</v>
      </c>
      <c r="E145" s="3" t="s">
        <v>234</v>
      </c>
      <c r="F145" s="3" t="s">
        <v>235</v>
      </c>
      <c r="G145" s="3" t="s">
        <v>234</v>
      </c>
      <c r="H145" s="3" t="s">
        <v>51</v>
      </c>
      <c r="I145" s="3">
        <v>2025</v>
      </c>
      <c r="J145" s="3" t="str">
        <f>CONCATENATE("54820115431")</f>
        <v>54820115431</v>
      </c>
      <c r="K145" s="3" t="s">
        <v>34</v>
      </c>
      <c r="L145" s="3"/>
      <c r="M145" s="3" t="s">
        <v>35</v>
      </c>
      <c r="N145" s="3" t="str">
        <f>CONCATENATE("01422640514")</f>
        <v>01422640514</v>
      </c>
      <c r="O145" s="3" t="s">
        <v>236</v>
      </c>
      <c r="P145" s="3" t="s">
        <v>37</v>
      </c>
      <c r="Q145" s="3"/>
      <c r="R145" s="4">
        <v>46058</v>
      </c>
      <c r="S145" s="3" t="s">
        <v>38</v>
      </c>
      <c r="T145" s="3" t="s">
        <v>39</v>
      </c>
      <c r="U145" s="3" t="s">
        <v>40</v>
      </c>
      <c r="V145" s="5">
        <v>2706.63</v>
      </c>
      <c r="W145" s="5">
        <v>1150.32</v>
      </c>
      <c r="X145" s="5">
        <v>1089.42</v>
      </c>
      <c r="Y145" s="3">
        <v>466.89</v>
      </c>
    </row>
    <row r="146" spans="1:25" ht="60.75" x14ac:dyDescent="0.25">
      <c r="A146" s="3" t="s">
        <v>26</v>
      </c>
      <c r="B146" s="3" t="s">
        <v>27</v>
      </c>
      <c r="C146" s="3" t="s">
        <v>28</v>
      </c>
      <c r="D146" s="3" t="s">
        <v>41</v>
      </c>
      <c r="E146" s="3" t="s">
        <v>32</v>
      </c>
      <c r="F146" s="3" t="s">
        <v>31</v>
      </c>
      <c r="G146" s="3" t="s">
        <v>32</v>
      </c>
      <c r="H146" s="3" t="s">
        <v>33</v>
      </c>
      <c r="I146" s="3">
        <v>2025</v>
      </c>
      <c r="J146" s="3" t="str">
        <f>CONCATENATE("54820255187")</f>
        <v>54820255187</v>
      </c>
      <c r="K146" s="3" t="s">
        <v>34</v>
      </c>
      <c r="L146" s="3"/>
      <c r="M146" s="3" t="s">
        <v>35</v>
      </c>
      <c r="N146" s="3" t="str">
        <f>CONCATENATE("CHSFBA92S23A271H")</f>
        <v>CHSFBA92S23A271H</v>
      </c>
      <c r="O146" s="3" t="s">
        <v>237</v>
      </c>
      <c r="P146" s="3" t="s">
        <v>37</v>
      </c>
      <c r="Q146" s="3"/>
      <c r="R146" s="4">
        <v>46058</v>
      </c>
      <c r="S146" s="3" t="s">
        <v>38</v>
      </c>
      <c r="T146" s="3" t="s">
        <v>39</v>
      </c>
      <c r="U146" s="3" t="s">
        <v>40</v>
      </c>
      <c r="V146" s="3">
        <v>66.319999999999993</v>
      </c>
      <c r="W146" s="3">
        <v>28.19</v>
      </c>
      <c r="X146" s="3">
        <v>26.69</v>
      </c>
      <c r="Y146" s="3">
        <v>11.44</v>
      </c>
    </row>
    <row r="147" spans="1:25" ht="60.75" x14ac:dyDescent="0.25">
      <c r="A147" s="3" t="s">
        <v>26</v>
      </c>
      <c r="B147" s="3" t="s">
        <v>27</v>
      </c>
      <c r="C147" s="3" t="s">
        <v>28</v>
      </c>
      <c r="D147" s="3" t="s">
        <v>62</v>
      </c>
      <c r="E147" s="3" t="s">
        <v>96</v>
      </c>
      <c r="F147" s="3" t="s">
        <v>64</v>
      </c>
      <c r="G147" s="3" t="s">
        <v>96</v>
      </c>
      <c r="H147" s="3" t="s">
        <v>43</v>
      </c>
      <c r="I147" s="3">
        <v>2025</v>
      </c>
      <c r="J147" s="3" t="str">
        <f>CONCATENATE("54820105945")</f>
        <v>54820105945</v>
      </c>
      <c r="K147" s="3" t="s">
        <v>34</v>
      </c>
      <c r="L147" s="3"/>
      <c r="M147" s="3" t="s">
        <v>35</v>
      </c>
      <c r="N147" s="3" t="str">
        <f>CONCATENATE("SPCVLR70R16M078Y")</f>
        <v>SPCVLR70R16M078Y</v>
      </c>
      <c r="O147" s="3" t="s">
        <v>238</v>
      </c>
      <c r="P147" s="3" t="s">
        <v>37</v>
      </c>
      <c r="Q147" s="3"/>
      <c r="R147" s="4">
        <v>46058</v>
      </c>
      <c r="S147" s="3" t="s">
        <v>38</v>
      </c>
      <c r="T147" s="3" t="s">
        <v>39</v>
      </c>
      <c r="U147" s="3" t="s">
        <v>40</v>
      </c>
      <c r="V147" s="3">
        <v>32.82</v>
      </c>
      <c r="W147" s="3">
        <v>13.95</v>
      </c>
      <c r="X147" s="3">
        <v>13.21</v>
      </c>
      <c r="Y147" s="3">
        <v>5.66</v>
      </c>
    </row>
    <row r="148" spans="1:25" ht="36.75" x14ac:dyDescent="0.25">
      <c r="A148" s="3" t="s">
        <v>26</v>
      </c>
      <c r="B148" s="3" t="s">
        <v>27</v>
      </c>
      <c r="C148" s="3" t="s">
        <v>28</v>
      </c>
      <c r="D148" s="3" t="s">
        <v>41</v>
      </c>
      <c r="E148" s="3" t="s">
        <v>42</v>
      </c>
      <c r="F148" s="3" t="s">
        <v>31</v>
      </c>
      <c r="G148" s="3" t="s">
        <v>42</v>
      </c>
      <c r="H148" s="3" t="s">
        <v>43</v>
      </c>
      <c r="I148" s="3">
        <v>2025</v>
      </c>
      <c r="J148" s="3" t="str">
        <f>CONCATENATE("54820262340")</f>
        <v>54820262340</v>
      </c>
      <c r="K148" s="3" t="s">
        <v>34</v>
      </c>
      <c r="L148" s="3"/>
      <c r="M148" s="3" t="s">
        <v>35</v>
      </c>
      <c r="N148" s="3" t="str">
        <f>CONCATENATE("01713010435")</f>
        <v>01713010435</v>
      </c>
      <c r="O148" s="3" t="s">
        <v>239</v>
      </c>
      <c r="P148" s="3" t="s">
        <v>37</v>
      </c>
      <c r="Q148" s="3"/>
      <c r="R148" s="4">
        <v>46058</v>
      </c>
      <c r="S148" s="3" t="s">
        <v>38</v>
      </c>
      <c r="T148" s="3" t="s">
        <v>39</v>
      </c>
      <c r="U148" s="3" t="s">
        <v>40</v>
      </c>
      <c r="V148" s="5">
        <v>8175.62</v>
      </c>
      <c r="W148" s="5">
        <v>3474.64</v>
      </c>
      <c r="X148" s="5">
        <v>3290.69</v>
      </c>
      <c r="Y148" s="5">
        <v>1410.29</v>
      </c>
    </row>
    <row r="149" spans="1:25" ht="60.75" x14ac:dyDescent="0.25">
      <c r="A149" s="3" t="s">
        <v>26</v>
      </c>
      <c r="B149" s="3" t="s">
        <v>27</v>
      </c>
      <c r="C149" s="3" t="s">
        <v>28</v>
      </c>
      <c r="D149" s="3" t="s">
        <v>41</v>
      </c>
      <c r="E149" s="3" t="s">
        <v>154</v>
      </c>
      <c r="F149" s="3" t="s">
        <v>31</v>
      </c>
      <c r="G149" s="3" t="s">
        <v>154</v>
      </c>
      <c r="H149" s="3" t="s">
        <v>51</v>
      </c>
      <c r="I149" s="3">
        <v>2025</v>
      </c>
      <c r="J149" s="3" t="str">
        <f>CONCATENATE("54820217591")</f>
        <v>54820217591</v>
      </c>
      <c r="K149" s="3" t="s">
        <v>34</v>
      </c>
      <c r="L149" s="3"/>
      <c r="M149" s="3" t="s">
        <v>35</v>
      </c>
      <c r="N149" s="3" t="str">
        <f>CONCATENATE("PZZDRN64R17F135L")</f>
        <v>PZZDRN64R17F135L</v>
      </c>
      <c r="O149" s="3" t="s">
        <v>240</v>
      </c>
      <c r="P149" s="3" t="s">
        <v>37</v>
      </c>
      <c r="Q149" s="3"/>
      <c r="R149" s="4">
        <v>46058</v>
      </c>
      <c r="S149" s="3" t="s">
        <v>38</v>
      </c>
      <c r="T149" s="3" t="s">
        <v>39</v>
      </c>
      <c r="U149" s="3" t="s">
        <v>40</v>
      </c>
      <c r="V149" s="3">
        <v>104.38</v>
      </c>
      <c r="W149" s="3">
        <v>44.36</v>
      </c>
      <c r="X149" s="3">
        <v>42.01</v>
      </c>
      <c r="Y149" s="3">
        <v>18.010000000000002</v>
      </c>
    </row>
    <row r="150" spans="1:25" ht="60.75" x14ac:dyDescent="0.25">
      <c r="A150" s="3" t="s">
        <v>26</v>
      </c>
      <c r="B150" s="3" t="s">
        <v>27</v>
      </c>
      <c r="C150" s="3" t="s">
        <v>28</v>
      </c>
      <c r="D150" s="3" t="s">
        <v>41</v>
      </c>
      <c r="E150" s="3" t="s">
        <v>74</v>
      </c>
      <c r="F150" s="3" t="s">
        <v>31</v>
      </c>
      <c r="G150" s="3" t="s">
        <v>74</v>
      </c>
      <c r="H150" s="3" t="s">
        <v>33</v>
      </c>
      <c r="I150" s="3">
        <v>2025</v>
      </c>
      <c r="J150" s="3" t="str">
        <f>CONCATENATE("54820075841")</f>
        <v>54820075841</v>
      </c>
      <c r="K150" s="3" t="s">
        <v>34</v>
      </c>
      <c r="L150" s="3"/>
      <c r="M150" s="3" t="s">
        <v>35</v>
      </c>
      <c r="N150" s="3" t="str">
        <f>CONCATENATE("FRNFNC47L02I461V")</f>
        <v>FRNFNC47L02I461V</v>
      </c>
      <c r="O150" s="3" t="s">
        <v>241</v>
      </c>
      <c r="P150" s="3" t="s">
        <v>37</v>
      </c>
      <c r="Q150" s="3"/>
      <c r="R150" s="4">
        <v>46058</v>
      </c>
      <c r="S150" s="3" t="s">
        <v>38</v>
      </c>
      <c r="T150" s="3" t="s">
        <v>39</v>
      </c>
      <c r="U150" s="3" t="s">
        <v>40</v>
      </c>
      <c r="V150" s="3">
        <v>276.22000000000003</v>
      </c>
      <c r="W150" s="3">
        <v>117.39</v>
      </c>
      <c r="X150" s="3">
        <v>111.18</v>
      </c>
      <c r="Y150" s="3">
        <v>47.65</v>
      </c>
    </row>
    <row r="151" spans="1:25" ht="60.75" x14ac:dyDescent="0.25">
      <c r="A151" s="3" t="s">
        <v>26</v>
      </c>
      <c r="B151" s="3" t="s">
        <v>27</v>
      </c>
      <c r="C151" s="3" t="s">
        <v>28</v>
      </c>
      <c r="D151" s="3" t="s">
        <v>62</v>
      </c>
      <c r="E151" s="3" t="s">
        <v>79</v>
      </c>
      <c r="F151" s="3" t="s">
        <v>64</v>
      </c>
      <c r="G151" s="3" t="s">
        <v>79</v>
      </c>
      <c r="H151" s="3" t="s">
        <v>43</v>
      </c>
      <c r="I151" s="3">
        <v>2025</v>
      </c>
      <c r="J151" s="3" t="str">
        <f>CONCATENATE("54820023734")</f>
        <v>54820023734</v>
      </c>
      <c r="K151" s="3" t="s">
        <v>34</v>
      </c>
      <c r="L151" s="3"/>
      <c r="M151" s="3" t="s">
        <v>35</v>
      </c>
      <c r="N151" s="3" t="str">
        <f>CONCATENATE("SSNGPP64L12M078M")</f>
        <v>SSNGPP64L12M078M</v>
      </c>
      <c r="O151" s="3" t="s">
        <v>242</v>
      </c>
      <c r="P151" s="3" t="s">
        <v>37</v>
      </c>
      <c r="Q151" s="3"/>
      <c r="R151" s="4">
        <v>46058</v>
      </c>
      <c r="S151" s="3" t="s">
        <v>38</v>
      </c>
      <c r="T151" s="3" t="s">
        <v>39</v>
      </c>
      <c r="U151" s="3" t="s">
        <v>40</v>
      </c>
      <c r="V151" s="3">
        <v>13.67</v>
      </c>
      <c r="W151" s="3">
        <v>5.81</v>
      </c>
      <c r="X151" s="3">
        <v>5.5</v>
      </c>
      <c r="Y151" s="3">
        <v>2.36</v>
      </c>
    </row>
    <row r="152" spans="1:25" ht="36.75" x14ac:dyDescent="0.25">
      <c r="A152" s="3" t="s">
        <v>26</v>
      </c>
      <c r="B152" s="3" t="s">
        <v>27</v>
      </c>
      <c r="C152" s="3" t="s">
        <v>28</v>
      </c>
      <c r="D152" s="3" t="s">
        <v>128</v>
      </c>
      <c r="E152" s="3" t="s">
        <v>152</v>
      </c>
      <c r="F152" s="3" t="s">
        <v>130</v>
      </c>
      <c r="G152" s="3" t="s">
        <v>152</v>
      </c>
      <c r="H152" s="3" t="s">
        <v>51</v>
      </c>
      <c r="I152" s="3">
        <v>2025</v>
      </c>
      <c r="J152" s="3" t="str">
        <f>CONCATENATE("54820201462")</f>
        <v>54820201462</v>
      </c>
      <c r="K152" s="3" t="s">
        <v>34</v>
      </c>
      <c r="L152" s="3"/>
      <c r="M152" s="3" t="s">
        <v>35</v>
      </c>
      <c r="N152" s="3" t="str">
        <f>CONCATENATE("02417480411")</f>
        <v>02417480411</v>
      </c>
      <c r="O152" s="3" t="s">
        <v>243</v>
      </c>
      <c r="P152" s="3" t="s">
        <v>37</v>
      </c>
      <c r="Q152" s="3"/>
      <c r="R152" s="4">
        <v>46058</v>
      </c>
      <c r="S152" s="3" t="s">
        <v>38</v>
      </c>
      <c r="T152" s="3" t="s">
        <v>39</v>
      </c>
      <c r="U152" s="3" t="s">
        <v>40</v>
      </c>
      <c r="V152" s="5">
        <v>6377.43</v>
      </c>
      <c r="W152" s="5">
        <v>2710.41</v>
      </c>
      <c r="X152" s="5">
        <v>2566.92</v>
      </c>
      <c r="Y152" s="5">
        <v>1100.0999999999999</v>
      </c>
    </row>
    <row r="153" spans="1:25" ht="60.75" x14ac:dyDescent="0.25">
      <c r="A153" s="3" t="s">
        <v>26</v>
      </c>
      <c r="B153" s="3" t="s">
        <v>27</v>
      </c>
      <c r="C153" s="3" t="s">
        <v>28</v>
      </c>
      <c r="D153" s="3" t="s">
        <v>41</v>
      </c>
      <c r="E153" s="3" t="s">
        <v>72</v>
      </c>
      <c r="F153" s="3" t="s">
        <v>31</v>
      </c>
      <c r="G153" s="3" t="s">
        <v>72</v>
      </c>
      <c r="H153" s="3" t="s">
        <v>51</v>
      </c>
      <c r="I153" s="3">
        <v>2025</v>
      </c>
      <c r="J153" s="3" t="str">
        <f>CONCATENATE("54820138474")</f>
        <v>54820138474</v>
      </c>
      <c r="K153" s="3" t="s">
        <v>34</v>
      </c>
      <c r="L153" s="3"/>
      <c r="M153" s="3" t="s">
        <v>35</v>
      </c>
      <c r="N153" s="3" t="str">
        <f>CONCATENATE("BLDGPP58C19G551K")</f>
        <v>BLDGPP58C19G551K</v>
      </c>
      <c r="O153" s="3" t="s">
        <v>244</v>
      </c>
      <c r="P153" s="3" t="s">
        <v>37</v>
      </c>
      <c r="Q153" s="3"/>
      <c r="R153" s="4">
        <v>46058</v>
      </c>
      <c r="S153" s="3" t="s">
        <v>38</v>
      </c>
      <c r="T153" s="3" t="s">
        <v>39</v>
      </c>
      <c r="U153" s="3" t="s">
        <v>40</v>
      </c>
      <c r="V153" s="3">
        <v>280.05</v>
      </c>
      <c r="W153" s="3">
        <v>119.02</v>
      </c>
      <c r="X153" s="3">
        <v>112.72</v>
      </c>
      <c r="Y153" s="3">
        <v>48.31</v>
      </c>
    </row>
    <row r="154" spans="1:25" ht="60.75" x14ac:dyDescent="0.25">
      <c r="A154" s="3" t="s">
        <v>26</v>
      </c>
      <c r="B154" s="3" t="s">
        <v>27</v>
      </c>
      <c r="C154" s="3" t="s">
        <v>28</v>
      </c>
      <c r="D154" s="3" t="s">
        <v>41</v>
      </c>
      <c r="E154" s="3" t="s">
        <v>32</v>
      </c>
      <c r="F154" s="3" t="s">
        <v>31</v>
      </c>
      <c r="G154" s="3" t="s">
        <v>32</v>
      </c>
      <c r="H154" s="3" t="s">
        <v>33</v>
      </c>
      <c r="I154" s="3">
        <v>2025</v>
      </c>
      <c r="J154" s="3" t="str">
        <f>CONCATENATE("54820211479")</f>
        <v>54820211479</v>
      </c>
      <c r="K154" s="3" t="s">
        <v>34</v>
      </c>
      <c r="L154" s="3"/>
      <c r="M154" s="3" t="s">
        <v>35</v>
      </c>
      <c r="N154" s="3" t="str">
        <f>CONCATENATE("RCCNTL36T23D451C")</f>
        <v>RCCNTL36T23D451C</v>
      </c>
      <c r="O154" s="3" t="s">
        <v>245</v>
      </c>
      <c r="P154" s="3" t="s">
        <v>37</v>
      </c>
      <c r="Q154" s="3"/>
      <c r="R154" s="4">
        <v>46058</v>
      </c>
      <c r="S154" s="3" t="s">
        <v>38</v>
      </c>
      <c r="T154" s="3" t="s">
        <v>39</v>
      </c>
      <c r="U154" s="3" t="s">
        <v>40</v>
      </c>
      <c r="V154" s="5">
        <v>1321.63</v>
      </c>
      <c r="W154" s="3">
        <v>561.69000000000005</v>
      </c>
      <c r="X154" s="3">
        <v>531.96</v>
      </c>
      <c r="Y154" s="3">
        <v>227.98</v>
      </c>
    </row>
    <row r="155" spans="1:25" ht="60.75" x14ac:dyDescent="0.25">
      <c r="A155" s="3" t="s">
        <v>26</v>
      </c>
      <c r="B155" s="3" t="s">
        <v>27</v>
      </c>
      <c r="C155" s="3" t="s">
        <v>28</v>
      </c>
      <c r="D155" s="3" t="s">
        <v>41</v>
      </c>
      <c r="E155" s="3" t="s">
        <v>53</v>
      </c>
      <c r="F155" s="3" t="s">
        <v>31</v>
      </c>
      <c r="G155" s="3" t="s">
        <v>53</v>
      </c>
      <c r="H155" s="3" t="s">
        <v>51</v>
      </c>
      <c r="I155" s="3">
        <v>2025</v>
      </c>
      <c r="J155" s="3" t="str">
        <f>CONCATENATE("54820142872")</f>
        <v>54820142872</v>
      </c>
      <c r="K155" s="3" t="s">
        <v>34</v>
      </c>
      <c r="L155" s="3"/>
      <c r="M155" s="3" t="s">
        <v>35</v>
      </c>
      <c r="N155" s="3" t="str">
        <f>CONCATENATE("LSIRGA38L09F497X")</f>
        <v>LSIRGA38L09F497X</v>
      </c>
      <c r="O155" s="3" t="s">
        <v>246</v>
      </c>
      <c r="P155" s="3" t="s">
        <v>37</v>
      </c>
      <c r="Q155" s="3"/>
      <c r="R155" s="4">
        <v>46058</v>
      </c>
      <c r="S155" s="3" t="s">
        <v>38</v>
      </c>
      <c r="T155" s="3" t="s">
        <v>39</v>
      </c>
      <c r="U155" s="3" t="s">
        <v>40</v>
      </c>
      <c r="V155" s="3">
        <v>160.55000000000001</v>
      </c>
      <c r="W155" s="3">
        <v>68.23</v>
      </c>
      <c r="X155" s="3">
        <v>64.62</v>
      </c>
      <c r="Y155" s="3">
        <v>27.7</v>
      </c>
    </row>
    <row r="156" spans="1:25" ht="60.75" x14ac:dyDescent="0.25">
      <c r="A156" s="3" t="s">
        <v>26</v>
      </c>
      <c r="B156" s="3" t="s">
        <v>27</v>
      </c>
      <c r="C156" s="3" t="s">
        <v>28</v>
      </c>
      <c r="D156" s="3" t="s">
        <v>128</v>
      </c>
      <c r="E156" s="3" t="s">
        <v>129</v>
      </c>
      <c r="F156" s="3" t="s">
        <v>130</v>
      </c>
      <c r="G156" s="3" t="s">
        <v>129</v>
      </c>
      <c r="H156" s="3" t="s">
        <v>68</v>
      </c>
      <c r="I156" s="3">
        <v>2025</v>
      </c>
      <c r="J156" s="3" t="str">
        <f>CONCATENATE("54820234968")</f>
        <v>54820234968</v>
      </c>
      <c r="K156" s="3" t="s">
        <v>34</v>
      </c>
      <c r="L156" s="3"/>
      <c r="M156" s="3" t="s">
        <v>35</v>
      </c>
      <c r="N156" s="3" t="str">
        <f>CONCATENATE("PCATZN70P58A437E")</f>
        <v>PCATZN70P58A437E</v>
      </c>
      <c r="O156" s="3" t="s">
        <v>247</v>
      </c>
      <c r="P156" s="3" t="s">
        <v>37</v>
      </c>
      <c r="Q156" s="3"/>
      <c r="R156" s="4">
        <v>46058</v>
      </c>
      <c r="S156" s="3" t="s">
        <v>38</v>
      </c>
      <c r="T156" s="3" t="s">
        <v>39</v>
      </c>
      <c r="U156" s="3" t="s">
        <v>40</v>
      </c>
      <c r="V156" s="3">
        <v>482.5</v>
      </c>
      <c r="W156" s="3">
        <v>205.06</v>
      </c>
      <c r="X156" s="3">
        <v>194.21</v>
      </c>
      <c r="Y156" s="3">
        <v>83.23</v>
      </c>
    </row>
    <row r="157" spans="1:25" ht="72.75" x14ac:dyDescent="0.25">
      <c r="A157" s="3" t="s">
        <v>26</v>
      </c>
      <c r="B157" s="3" t="s">
        <v>27</v>
      </c>
      <c r="C157" s="3" t="s">
        <v>28</v>
      </c>
      <c r="D157" s="3" t="s">
        <v>41</v>
      </c>
      <c r="E157" s="3" t="s">
        <v>53</v>
      </c>
      <c r="F157" s="3" t="s">
        <v>31</v>
      </c>
      <c r="G157" s="3" t="s">
        <v>53</v>
      </c>
      <c r="H157" s="3" t="s">
        <v>51</v>
      </c>
      <c r="I157" s="3">
        <v>2025</v>
      </c>
      <c r="J157" s="3" t="str">
        <f>CONCATENATE("54820070578")</f>
        <v>54820070578</v>
      </c>
      <c r="K157" s="3" t="s">
        <v>34</v>
      </c>
      <c r="L157" s="3"/>
      <c r="M157" s="3" t="s">
        <v>35</v>
      </c>
      <c r="N157" s="3" t="str">
        <f>CONCATENATE("FDRMRN50T17E351O")</f>
        <v>FDRMRN50T17E351O</v>
      </c>
      <c r="O157" s="3" t="s">
        <v>248</v>
      </c>
      <c r="P157" s="3" t="s">
        <v>37</v>
      </c>
      <c r="Q157" s="3"/>
      <c r="R157" s="4">
        <v>46058</v>
      </c>
      <c r="S157" s="3" t="s">
        <v>38</v>
      </c>
      <c r="T157" s="3" t="s">
        <v>39</v>
      </c>
      <c r="U157" s="3" t="s">
        <v>40</v>
      </c>
      <c r="V157" s="3">
        <v>893.79</v>
      </c>
      <c r="W157" s="3">
        <v>379.86</v>
      </c>
      <c r="X157" s="3">
        <v>359.75</v>
      </c>
      <c r="Y157" s="3">
        <v>154.18</v>
      </c>
    </row>
    <row r="158" spans="1:25" ht="36.75" x14ac:dyDescent="0.25">
      <c r="A158" s="3" t="s">
        <v>26</v>
      </c>
      <c r="B158" s="3" t="s">
        <v>27</v>
      </c>
      <c r="C158" s="3" t="s">
        <v>28</v>
      </c>
      <c r="D158" s="3" t="s">
        <v>62</v>
      </c>
      <c r="E158" s="3" t="s">
        <v>63</v>
      </c>
      <c r="F158" s="3" t="s">
        <v>64</v>
      </c>
      <c r="G158" s="3" t="s">
        <v>63</v>
      </c>
      <c r="H158" s="3" t="s">
        <v>51</v>
      </c>
      <c r="I158" s="3">
        <v>2025</v>
      </c>
      <c r="J158" s="3" t="str">
        <f>CONCATENATE("54820260260")</f>
        <v>54820260260</v>
      </c>
      <c r="K158" s="3" t="s">
        <v>34</v>
      </c>
      <c r="L158" s="3"/>
      <c r="M158" s="3" t="s">
        <v>35</v>
      </c>
      <c r="N158" s="3" t="str">
        <f>CONCATENATE("02755250418")</f>
        <v>02755250418</v>
      </c>
      <c r="O158" s="3" t="s">
        <v>249</v>
      </c>
      <c r="P158" s="3" t="s">
        <v>37</v>
      </c>
      <c r="Q158" s="3"/>
      <c r="R158" s="4">
        <v>46058</v>
      </c>
      <c r="S158" s="3" t="s">
        <v>38</v>
      </c>
      <c r="T158" s="3" t="s">
        <v>39</v>
      </c>
      <c r="U158" s="3" t="s">
        <v>40</v>
      </c>
      <c r="V158" s="5">
        <v>6754.14</v>
      </c>
      <c r="W158" s="5">
        <v>2870.51</v>
      </c>
      <c r="X158" s="5">
        <v>2718.54</v>
      </c>
      <c r="Y158" s="5">
        <v>1165.0899999999999</v>
      </c>
    </row>
    <row r="159" spans="1:25" ht="60.75" x14ac:dyDescent="0.25">
      <c r="A159" s="3" t="s">
        <v>26</v>
      </c>
      <c r="B159" s="3" t="s">
        <v>27</v>
      </c>
      <c r="C159" s="3" t="s">
        <v>28</v>
      </c>
      <c r="D159" s="3" t="s">
        <v>41</v>
      </c>
      <c r="E159" s="3" t="s">
        <v>74</v>
      </c>
      <c r="F159" s="3" t="s">
        <v>31</v>
      </c>
      <c r="G159" s="3" t="s">
        <v>74</v>
      </c>
      <c r="H159" s="3" t="s">
        <v>33</v>
      </c>
      <c r="I159" s="3">
        <v>2025</v>
      </c>
      <c r="J159" s="3" t="str">
        <f>CONCATENATE("54820112321")</f>
        <v>54820112321</v>
      </c>
      <c r="K159" s="3" t="s">
        <v>34</v>
      </c>
      <c r="L159" s="3"/>
      <c r="M159" s="3" t="s">
        <v>35</v>
      </c>
      <c r="N159" s="3" t="str">
        <f>CONCATENATE("BCNPPL53A46A366L")</f>
        <v>BCNPPL53A46A366L</v>
      </c>
      <c r="O159" s="3" t="s">
        <v>250</v>
      </c>
      <c r="P159" s="3" t="s">
        <v>37</v>
      </c>
      <c r="Q159" s="3"/>
      <c r="R159" s="4">
        <v>46058</v>
      </c>
      <c r="S159" s="3" t="s">
        <v>38</v>
      </c>
      <c r="T159" s="3" t="s">
        <v>39</v>
      </c>
      <c r="U159" s="3" t="s">
        <v>40</v>
      </c>
      <c r="V159" s="3">
        <v>18.41</v>
      </c>
      <c r="W159" s="3">
        <v>7.82</v>
      </c>
      <c r="X159" s="3">
        <v>7.41</v>
      </c>
      <c r="Y159" s="3">
        <v>3.18</v>
      </c>
    </row>
    <row r="160" spans="1:25" ht="36.75" x14ac:dyDescent="0.25">
      <c r="A160" s="3" t="s">
        <v>26</v>
      </c>
      <c r="B160" s="3" t="s">
        <v>27</v>
      </c>
      <c r="C160" s="3" t="s">
        <v>28</v>
      </c>
      <c r="D160" s="3" t="s">
        <v>41</v>
      </c>
      <c r="E160" s="3" t="s">
        <v>154</v>
      </c>
      <c r="F160" s="3" t="s">
        <v>31</v>
      </c>
      <c r="G160" s="3" t="s">
        <v>154</v>
      </c>
      <c r="H160" s="3" t="s">
        <v>51</v>
      </c>
      <c r="I160" s="3">
        <v>2025</v>
      </c>
      <c r="J160" s="3" t="str">
        <f>CONCATENATE("54820250634")</f>
        <v>54820250634</v>
      </c>
      <c r="K160" s="3" t="s">
        <v>34</v>
      </c>
      <c r="L160" s="3"/>
      <c r="M160" s="3" t="s">
        <v>35</v>
      </c>
      <c r="N160" s="3" t="str">
        <f>CONCATENATE("01337820417")</f>
        <v>01337820417</v>
      </c>
      <c r="O160" s="3" t="s">
        <v>251</v>
      </c>
      <c r="P160" s="3" t="s">
        <v>37</v>
      </c>
      <c r="Q160" s="3"/>
      <c r="R160" s="4">
        <v>46058</v>
      </c>
      <c r="S160" s="3" t="s">
        <v>38</v>
      </c>
      <c r="T160" s="3" t="s">
        <v>39</v>
      </c>
      <c r="U160" s="3" t="s">
        <v>40</v>
      </c>
      <c r="V160" s="5">
        <v>3229.3</v>
      </c>
      <c r="W160" s="5">
        <v>1372.45</v>
      </c>
      <c r="X160" s="5">
        <v>1299.79</v>
      </c>
      <c r="Y160" s="3">
        <v>557.05999999999995</v>
      </c>
    </row>
    <row r="161" spans="1:25" ht="60.75" x14ac:dyDescent="0.25">
      <c r="A161" s="3" t="s">
        <v>26</v>
      </c>
      <c r="B161" s="3" t="s">
        <v>27</v>
      </c>
      <c r="C161" s="3" t="s">
        <v>28</v>
      </c>
      <c r="D161" s="3" t="s">
        <v>41</v>
      </c>
      <c r="E161" s="3" t="s">
        <v>57</v>
      </c>
      <c r="F161" s="3" t="s">
        <v>31</v>
      </c>
      <c r="G161" s="3" t="s">
        <v>57</v>
      </c>
      <c r="H161" s="3" t="s">
        <v>51</v>
      </c>
      <c r="I161" s="3">
        <v>2025</v>
      </c>
      <c r="J161" s="3" t="str">
        <f>CONCATENATE("54820051123")</f>
        <v>54820051123</v>
      </c>
      <c r="K161" s="3" t="s">
        <v>34</v>
      </c>
      <c r="L161" s="3"/>
      <c r="M161" s="3" t="s">
        <v>35</v>
      </c>
      <c r="N161" s="3" t="str">
        <f>CONCATENATE("CNCGFR65A25D541L")</f>
        <v>CNCGFR65A25D541L</v>
      </c>
      <c r="O161" s="3" t="s">
        <v>252</v>
      </c>
      <c r="P161" s="3" t="s">
        <v>37</v>
      </c>
      <c r="Q161" s="3"/>
      <c r="R161" s="4">
        <v>46058</v>
      </c>
      <c r="S161" s="3" t="s">
        <v>38</v>
      </c>
      <c r="T161" s="3" t="s">
        <v>39</v>
      </c>
      <c r="U161" s="3" t="s">
        <v>40</v>
      </c>
      <c r="V161" s="3">
        <v>583.37</v>
      </c>
      <c r="W161" s="3">
        <v>247.93</v>
      </c>
      <c r="X161" s="3">
        <v>234.81</v>
      </c>
      <c r="Y161" s="3">
        <v>100.63</v>
      </c>
    </row>
    <row r="162" spans="1:25" ht="36.75" x14ac:dyDescent="0.25">
      <c r="A162" s="3" t="s">
        <v>26</v>
      </c>
      <c r="B162" s="3" t="s">
        <v>27</v>
      </c>
      <c r="C162" s="3" t="s">
        <v>28</v>
      </c>
      <c r="D162" s="3" t="s">
        <v>62</v>
      </c>
      <c r="E162" s="3" t="s">
        <v>181</v>
      </c>
      <c r="F162" s="3" t="s">
        <v>64</v>
      </c>
      <c r="G162" s="3" t="s">
        <v>181</v>
      </c>
      <c r="H162" s="3" t="s">
        <v>51</v>
      </c>
      <c r="I162" s="3">
        <v>2025</v>
      </c>
      <c r="J162" s="3" t="str">
        <f>CONCATENATE("54820053640")</f>
        <v>54820053640</v>
      </c>
      <c r="K162" s="3" t="s">
        <v>34</v>
      </c>
      <c r="L162" s="3"/>
      <c r="M162" s="3" t="s">
        <v>35</v>
      </c>
      <c r="N162" s="3" t="str">
        <f>CONCATENATE("02588960415")</f>
        <v>02588960415</v>
      </c>
      <c r="O162" s="3" t="s">
        <v>253</v>
      </c>
      <c r="P162" s="3" t="s">
        <v>37</v>
      </c>
      <c r="Q162" s="3"/>
      <c r="R162" s="4">
        <v>46058</v>
      </c>
      <c r="S162" s="3" t="s">
        <v>38</v>
      </c>
      <c r="T162" s="3" t="s">
        <v>39</v>
      </c>
      <c r="U162" s="3" t="s">
        <v>40</v>
      </c>
      <c r="V162" s="5">
        <v>7031.25</v>
      </c>
      <c r="W162" s="5">
        <v>2988.28</v>
      </c>
      <c r="X162" s="5">
        <v>2830.08</v>
      </c>
      <c r="Y162" s="5">
        <v>1212.8900000000001</v>
      </c>
    </row>
    <row r="163" spans="1:25" ht="36.75" x14ac:dyDescent="0.25">
      <c r="A163" s="3" t="s">
        <v>26</v>
      </c>
      <c r="B163" s="3" t="s">
        <v>27</v>
      </c>
      <c r="C163" s="3" t="s">
        <v>28</v>
      </c>
      <c r="D163" s="3" t="s">
        <v>171</v>
      </c>
      <c r="E163" s="3" t="s">
        <v>172</v>
      </c>
      <c r="F163" s="3" t="s">
        <v>171</v>
      </c>
      <c r="G163" s="3" t="s">
        <v>172</v>
      </c>
      <c r="H163" s="3" t="s">
        <v>68</v>
      </c>
      <c r="I163" s="3">
        <v>2025</v>
      </c>
      <c r="J163" s="3" t="str">
        <f>CONCATENATE("54820137344")</f>
        <v>54820137344</v>
      </c>
      <c r="K163" s="3" t="s">
        <v>34</v>
      </c>
      <c r="L163" s="3"/>
      <c r="M163" s="3" t="s">
        <v>35</v>
      </c>
      <c r="N163" s="3" t="str">
        <f>CONCATENATE("02314770443")</f>
        <v>02314770443</v>
      </c>
      <c r="O163" s="3" t="s">
        <v>254</v>
      </c>
      <c r="P163" s="3" t="s">
        <v>37</v>
      </c>
      <c r="Q163" s="3"/>
      <c r="R163" s="4">
        <v>46058</v>
      </c>
      <c r="S163" s="3" t="s">
        <v>38</v>
      </c>
      <c r="T163" s="3" t="s">
        <v>39</v>
      </c>
      <c r="U163" s="3" t="s">
        <v>40</v>
      </c>
      <c r="V163" s="3">
        <v>398.03</v>
      </c>
      <c r="W163" s="3">
        <v>169.16</v>
      </c>
      <c r="X163" s="3">
        <v>160.21</v>
      </c>
      <c r="Y163" s="3">
        <v>68.66</v>
      </c>
    </row>
    <row r="164" spans="1:25" ht="36.75" x14ac:dyDescent="0.25">
      <c r="A164" s="3" t="s">
        <v>26</v>
      </c>
      <c r="B164" s="3" t="s">
        <v>27</v>
      </c>
      <c r="C164" s="3" t="s">
        <v>28</v>
      </c>
      <c r="D164" s="3" t="s">
        <v>45</v>
      </c>
      <c r="E164" s="3" t="s">
        <v>46</v>
      </c>
      <c r="F164" s="3" t="s">
        <v>47</v>
      </c>
      <c r="G164" s="3" t="s">
        <v>46</v>
      </c>
      <c r="H164" s="3" t="s">
        <v>33</v>
      </c>
      <c r="I164" s="3">
        <v>2025</v>
      </c>
      <c r="J164" s="3" t="str">
        <f>CONCATENATE("54820076948")</f>
        <v>54820076948</v>
      </c>
      <c r="K164" s="3" t="s">
        <v>34</v>
      </c>
      <c r="L164" s="3"/>
      <c r="M164" s="3" t="s">
        <v>35</v>
      </c>
      <c r="N164" s="3" t="str">
        <f>CONCATENATE("02790810424")</f>
        <v>02790810424</v>
      </c>
      <c r="O164" s="3" t="s">
        <v>255</v>
      </c>
      <c r="P164" s="3" t="s">
        <v>37</v>
      </c>
      <c r="Q164" s="3"/>
      <c r="R164" s="4">
        <v>46058</v>
      </c>
      <c r="S164" s="3" t="s">
        <v>38</v>
      </c>
      <c r="T164" s="3" t="s">
        <v>39</v>
      </c>
      <c r="U164" s="3" t="s">
        <v>40</v>
      </c>
      <c r="V164" s="3">
        <v>148.79</v>
      </c>
      <c r="W164" s="3">
        <v>63.24</v>
      </c>
      <c r="X164" s="3">
        <v>59.89</v>
      </c>
      <c r="Y164" s="3">
        <v>25.66</v>
      </c>
    </row>
    <row r="165" spans="1:25" ht="36.75" x14ac:dyDescent="0.25">
      <c r="A165" s="3" t="s">
        <v>26</v>
      </c>
      <c r="B165" s="3" t="s">
        <v>27</v>
      </c>
      <c r="C165" s="3" t="s">
        <v>28</v>
      </c>
      <c r="D165" s="3" t="s">
        <v>45</v>
      </c>
      <c r="E165" s="3" t="s">
        <v>50</v>
      </c>
      <c r="F165" s="3" t="s">
        <v>47</v>
      </c>
      <c r="G165" s="3" t="s">
        <v>50</v>
      </c>
      <c r="H165" s="3" t="s">
        <v>51</v>
      </c>
      <c r="I165" s="3">
        <v>2025</v>
      </c>
      <c r="J165" s="3" t="str">
        <f>CONCATENATE("54820152525")</f>
        <v>54820152525</v>
      </c>
      <c r="K165" s="3" t="s">
        <v>34</v>
      </c>
      <c r="L165" s="3"/>
      <c r="M165" s="3" t="s">
        <v>35</v>
      </c>
      <c r="N165" s="3" t="str">
        <f>CONCATENATE("02365170410")</f>
        <v>02365170410</v>
      </c>
      <c r="O165" s="3" t="s">
        <v>256</v>
      </c>
      <c r="P165" s="3" t="s">
        <v>37</v>
      </c>
      <c r="Q165" s="3"/>
      <c r="R165" s="4">
        <v>46058</v>
      </c>
      <c r="S165" s="3" t="s">
        <v>38</v>
      </c>
      <c r="T165" s="3" t="s">
        <v>39</v>
      </c>
      <c r="U165" s="3" t="s">
        <v>40</v>
      </c>
      <c r="V165" s="5">
        <v>1119.08</v>
      </c>
      <c r="W165" s="3">
        <v>475.61</v>
      </c>
      <c r="X165" s="3">
        <v>450.43</v>
      </c>
      <c r="Y165" s="3">
        <v>193.04</v>
      </c>
    </row>
    <row r="166" spans="1:25" ht="72.75" x14ac:dyDescent="0.25">
      <c r="A166" s="3" t="s">
        <v>26</v>
      </c>
      <c r="B166" s="3" t="s">
        <v>27</v>
      </c>
      <c r="C166" s="3" t="s">
        <v>28</v>
      </c>
      <c r="D166" s="3" t="s">
        <v>41</v>
      </c>
      <c r="E166" s="3" t="s">
        <v>119</v>
      </c>
      <c r="F166" s="3" t="s">
        <v>31</v>
      </c>
      <c r="G166" s="3" t="s">
        <v>119</v>
      </c>
      <c r="H166" s="3" t="s">
        <v>51</v>
      </c>
      <c r="I166" s="3">
        <v>2025</v>
      </c>
      <c r="J166" s="3" t="str">
        <f>CONCATENATE("54820174800")</f>
        <v>54820174800</v>
      </c>
      <c r="K166" s="3" t="s">
        <v>34</v>
      </c>
      <c r="L166" s="3"/>
      <c r="M166" s="3" t="s">
        <v>35</v>
      </c>
      <c r="N166" s="3" t="str">
        <f>CONCATENATE("GMBGNN56B25D488J")</f>
        <v>GMBGNN56B25D488J</v>
      </c>
      <c r="O166" s="3" t="s">
        <v>257</v>
      </c>
      <c r="P166" s="3" t="s">
        <v>37</v>
      </c>
      <c r="Q166" s="3"/>
      <c r="R166" s="4">
        <v>46058</v>
      </c>
      <c r="S166" s="3" t="s">
        <v>38</v>
      </c>
      <c r="T166" s="3" t="s">
        <v>39</v>
      </c>
      <c r="U166" s="3" t="s">
        <v>40</v>
      </c>
      <c r="V166" s="3">
        <v>304.20999999999998</v>
      </c>
      <c r="W166" s="3">
        <v>129.29</v>
      </c>
      <c r="X166" s="3">
        <v>122.44</v>
      </c>
      <c r="Y166" s="3">
        <v>52.48</v>
      </c>
    </row>
    <row r="167" spans="1:25" ht="60.75" x14ac:dyDescent="0.25">
      <c r="A167" s="3" t="s">
        <v>26</v>
      </c>
      <c r="B167" s="3" t="s">
        <v>27</v>
      </c>
      <c r="C167" s="3" t="s">
        <v>28</v>
      </c>
      <c r="D167" s="3" t="s">
        <v>41</v>
      </c>
      <c r="E167" s="3" t="s">
        <v>53</v>
      </c>
      <c r="F167" s="3" t="s">
        <v>31</v>
      </c>
      <c r="G167" s="3" t="s">
        <v>53</v>
      </c>
      <c r="H167" s="3" t="s">
        <v>51</v>
      </c>
      <c r="I167" s="3">
        <v>2025</v>
      </c>
      <c r="J167" s="3" t="str">
        <f>CONCATENATE("54820165667")</f>
        <v>54820165667</v>
      </c>
      <c r="K167" s="3" t="s">
        <v>34</v>
      </c>
      <c r="L167" s="3"/>
      <c r="M167" s="3" t="s">
        <v>35</v>
      </c>
      <c r="N167" s="3" t="str">
        <f>CONCATENATE("CLDGPR60A01I344P")</f>
        <v>CLDGPR60A01I344P</v>
      </c>
      <c r="O167" s="3" t="s">
        <v>258</v>
      </c>
      <c r="P167" s="3" t="s">
        <v>37</v>
      </c>
      <c r="Q167" s="3"/>
      <c r="R167" s="4">
        <v>46058</v>
      </c>
      <c r="S167" s="3" t="s">
        <v>38</v>
      </c>
      <c r="T167" s="3" t="s">
        <v>39</v>
      </c>
      <c r="U167" s="3" t="s">
        <v>40</v>
      </c>
      <c r="V167" s="3">
        <v>665.7</v>
      </c>
      <c r="W167" s="3">
        <v>282.92</v>
      </c>
      <c r="X167" s="3">
        <v>267.94</v>
      </c>
      <c r="Y167" s="3">
        <v>114.84</v>
      </c>
    </row>
    <row r="168" spans="1:25" ht="60.75" x14ac:dyDescent="0.25">
      <c r="A168" s="3" t="s">
        <v>26</v>
      </c>
      <c r="B168" s="3" t="s">
        <v>27</v>
      </c>
      <c r="C168" s="3" t="s">
        <v>28</v>
      </c>
      <c r="D168" s="3" t="s">
        <v>45</v>
      </c>
      <c r="E168" s="3" t="s">
        <v>122</v>
      </c>
      <c r="F168" s="3" t="s">
        <v>47</v>
      </c>
      <c r="G168" s="3" t="s">
        <v>122</v>
      </c>
      <c r="H168" s="3" t="s">
        <v>68</v>
      </c>
      <c r="I168" s="3">
        <v>2025</v>
      </c>
      <c r="J168" s="3" t="str">
        <f>CONCATENATE("54820371943")</f>
        <v>54820371943</v>
      </c>
      <c r="K168" s="3" t="s">
        <v>34</v>
      </c>
      <c r="L168" s="3"/>
      <c r="M168" s="3" t="s">
        <v>35</v>
      </c>
      <c r="N168" s="3" t="str">
        <f>CONCATENATE("MRLRRE77C12G516I")</f>
        <v>MRLRRE77C12G516I</v>
      </c>
      <c r="O168" s="3" t="s">
        <v>259</v>
      </c>
      <c r="P168" s="3" t="s">
        <v>37</v>
      </c>
      <c r="Q168" s="3"/>
      <c r="R168" s="4">
        <v>46058</v>
      </c>
      <c r="S168" s="3" t="s">
        <v>38</v>
      </c>
      <c r="T168" s="3" t="s">
        <v>39</v>
      </c>
      <c r="U168" s="3" t="s">
        <v>40</v>
      </c>
      <c r="V168" s="3">
        <v>341.77</v>
      </c>
      <c r="W168" s="3">
        <v>145.25</v>
      </c>
      <c r="X168" s="3">
        <v>137.56</v>
      </c>
      <c r="Y168" s="3">
        <v>58.96</v>
      </c>
    </row>
    <row r="169" spans="1:25" ht="60.75" x14ac:dyDescent="0.25">
      <c r="A169" s="3" t="s">
        <v>26</v>
      </c>
      <c r="B169" s="3" t="s">
        <v>27</v>
      </c>
      <c r="C169" s="3" t="s">
        <v>28</v>
      </c>
      <c r="D169" s="3" t="s">
        <v>136</v>
      </c>
      <c r="E169" s="3" t="s">
        <v>216</v>
      </c>
      <c r="F169" s="3" t="s">
        <v>138</v>
      </c>
      <c r="G169" s="3" t="s">
        <v>216</v>
      </c>
      <c r="H169" s="3" t="s">
        <v>33</v>
      </c>
      <c r="I169" s="3">
        <v>2025</v>
      </c>
      <c r="J169" s="3" t="str">
        <f>CONCATENATE("54820141635")</f>
        <v>54820141635</v>
      </c>
      <c r="K169" s="3" t="s">
        <v>34</v>
      </c>
      <c r="L169" s="3"/>
      <c r="M169" s="3" t="s">
        <v>35</v>
      </c>
      <c r="N169" s="3" t="str">
        <f>CONCATENATE("CCCGLG75L20D451W")</f>
        <v>CCCGLG75L20D451W</v>
      </c>
      <c r="O169" s="3" t="s">
        <v>260</v>
      </c>
      <c r="P169" s="3" t="s">
        <v>37</v>
      </c>
      <c r="Q169" s="3"/>
      <c r="R169" s="4">
        <v>46058</v>
      </c>
      <c r="S169" s="3" t="s">
        <v>38</v>
      </c>
      <c r="T169" s="3" t="s">
        <v>39</v>
      </c>
      <c r="U169" s="3" t="s">
        <v>40</v>
      </c>
      <c r="V169" s="5">
        <v>1592.97</v>
      </c>
      <c r="W169" s="3">
        <v>677.01</v>
      </c>
      <c r="X169" s="3">
        <v>641.16999999999996</v>
      </c>
      <c r="Y169" s="3">
        <v>274.79000000000002</v>
      </c>
    </row>
    <row r="170" spans="1:25" ht="60.75" x14ac:dyDescent="0.25">
      <c r="A170" s="3" t="s">
        <v>26</v>
      </c>
      <c r="B170" s="3" t="s">
        <v>27</v>
      </c>
      <c r="C170" s="3" t="s">
        <v>28</v>
      </c>
      <c r="D170" s="3" t="s">
        <v>45</v>
      </c>
      <c r="E170" s="3" t="s">
        <v>50</v>
      </c>
      <c r="F170" s="3" t="s">
        <v>47</v>
      </c>
      <c r="G170" s="3" t="s">
        <v>50</v>
      </c>
      <c r="H170" s="3" t="s">
        <v>51</v>
      </c>
      <c r="I170" s="3">
        <v>2025</v>
      </c>
      <c r="J170" s="3" t="str">
        <f>CONCATENATE("54820233135")</f>
        <v>54820233135</v>
      </c>
      <c r="K170" s="3" t="s">
        <v>34</v>
      </c>
      <c r="L170" s="3"/>
      <c r="M170" s="3" t="s">
        <v>35</v>
      </c>
      <c r="N170" s="3" t="str">
        <f>CONCATENATE("BNFDNT65T28D007O")</f>
        <v>BNFDNT65T28D007O</v>
      </c>
      <c r="O170" s="3" t="s">
        <v>261</v>
      </c>
      <c r="P170" s="3" t="s">
        <v>37</v>
      </c>
      <c r="Q170" s="3"/>
      <c r="R170" s="4">
        <v>46058</v>
      </c>
      <c r="S170" s="3" t="s">
        <v>38</v>
      </c>
      <c r="T170" s="3" t="s">
        <v>39</v>
      </c>
      <c r="U170" s="3" t="s">
        <v>40</v>
      </c>
      <c r="V170" s="3">
        <v>770.22</v>
      </c>
      <c r="W170" s="3">
        <v>327.33999999999997</v>
      </c>
      <c r="X170" s="3">
        <v>310.01</v>
      </c>
      <c r="Y170" s="3">
        <v>132.87</v>
      </c>
    </row>
    <row r="171" spans="1:25" ht="36.75" x14ac:dyDescent="0.25">
      <c r="A171" s="3" t="s">
        <v>26</v>
      </c>
      <c r="B171" s="3" t="s">
        <v>27</v>
      </c>
      <c r="C171" s="3" t="s">
        <v>28</v>
      </c>
      <c r="D171" s="3" t="s">
        <v>41</v>
      </c>
      <c r="E171" s="3" t="s">
        <v>169</v>
      </c>
      <c r="F171" s="3" t="s">
        <v>31</v>
      </c>
      <c r="G171" s="3" t="s">
        <v>169</v>
      </c>
      <c r="H171" s="3" t="s">
        <v>68</v>
      </c>
      <c r="I171" s="3">
        <v>2025</v>
      </c>
      <c r="J171" s="3" t="str">
        <f>CONCATENATE("54820220876")</f>
        <v>54820220876</v>
      </c>
      <c r="K171" s="3" t="s">
        <v>34</v>
      </c>
      <c r="L171" s="3"/>
      <c r="M171" s="3" t="s">
        <v>35</v>
      </c>
      <c r="N171" s="3" t="str">
        <f>CONCATENATE("01124420447")</f>
        <v>01124420447</v>
      </c>
      <c r="O171" s="3" t="s">
        <v>262</v>
      </c>
      <c r="P171" s="3" t="s">
        <v>37</v>
      </c>
      <c r="Q171" s="3"/>
      <c r="R171" s="4">
        <v>46058</v>
      </c>
      <c r="S171" s="3" t="s">
        <v>38</v>
      </c>
      <c r="T171" s="3" t="s">
        <v>39</v>
      </c>
      <c r="U171" s="3" t="s">
        <v>40</v>
      </c>
      <c r="V171" s="5">
        <v>1688.61</v>
      </c>
      <c r="W171" s="3">
        <v>717.66</v>
      </c>
      <c r="X171" s="3">
        <v>679.67</v>
      </c>
      <c r="Y171" s="3">
        <v>291.27999999999997</v>
      </c>
    </row>
    <row r="172" spans="1:25" ht="36.75" x14ac:dyDescent="0.25">
      <c r="A172" s="3" t="s">
        <v>26</v>
      </c>
      <c r="B172" s="3" t="s">
        <v>27</v>
      </c>
      <c r="C172" s="3" t="s">
        <v>28</v>
      </c>
      <c r="D172" s="3" t="s">
        <v>41</v>
      </c>
      <c r="E172" s="3" t="s">
        <v>53</v>
      </c>
      <c r="F172" s="3" t="s">
        <v>31</v>
      </c>
      <c r="G172" s="3" t="s">
        <v>53</v>
      </c>
      <c r="H172" s="3" t="s">
        <v>51</v>
      </c>
      <c r="I172" s="3">
        <v>2025</v>
      </c>
      <c r="J172" s="3" t="str">
        <f>CONCATENATE("54820159124")</f>
        <v>54820159124</v>
      </c>
      <c r="K172" s="3" t="s">
        <v>34</v>
      </c>
      <c r="L172" s="3"/>
      <c r="M172" s="3" t="s">
        <v>35</v>
      </c>
      <c r="N172" s="3" t="str">
        <f>CONCATENATE("02470710415")</f>
        <v>02470710415</v>
      </c>
      <c r="O172" s="3" t="s">
        <v>263</v>
      </c>
      <c r="P172" s="3" t="s">
        <v>37</v>
      </c>
      <c r="Q172" s="3"/>
      <c r="R172" s="4">
        <v>46058</v>
      </c>
      <c r="S172" s="3" t="s">
        <v>38</v>
      </c>
      <c r="T172" s="3" t="s">
        <v>39</v>
      </c>
      <c r="U172" s="3" t="s">
        <v>40</v>
      </c>
      <c r="V172" s="5">
        <v>2764.72</v>
      </c>
      <c r="W172" s="5">
        <v>1175.01</v>
      </c>
      <c r="X172" s="5">
        <v>1112.8</v>
      </c>
      <c r="Y172" s="3">
        <v>476.91</v>
      </c>
    </row>
    <row r="173" spans="1:25" ht="72.75" x14ac:dyDescent="0.25">
      <c r="A173" s="3" t="s">
        <v>26</v>
      </c>
      <c r="B173" s="3" t="s">
        <v>27</v>
      </c>
      <c r="C173" s="3" t="s">
        <v>28</v>
      </c>
      <c r="D173" s="3" t="s">
        <v>62</v>
      </c>
      <c r="E173" s="3" t="s">
        <v>63</v>
      </c>
      <c r="F173" s="3" t="s">
        <v>64</v>
      </c>
      <c r="G173" s="3" t="s">
        <v>63</v>
      </c>
      <c r="H173" s="3" t="s">
        <v>51</v>
      </c>
      <c r="I173" s="3">
        <v>2025</v>
      </c>
      <c r="J173" s="3" t="str">
        <f>CONCATENATE("54820026505")</f>
        <v>54820026505</v>
      </c>
      <c r="K173" s="3" t="s">
        <v>34</v>
      </c>
      <c r="L173" s="3"/>
      <c r="M173" s="3" t="s">
        <v>35</v>
      </c>
      <c r="N173" s="3" t="str">
        <f>CONCATENATE("GMBLRA89D70L500K")</f>
        <v>GMBLRA89D70L500K</v>
      </c>
      <c r="O173" s="3" t="s">
        <v>264</v>
      </c>
      <c r="P173" s="3" t="s">
        <v>37</v>
      </c>
      <c r="Q173" s="3"/>
      <c r="R173" s="4">
        <v>46058</v>
      </c>
      <c r="S173" s="3" t="s">
        <v>38</v>
      </c>
      <c r="T173" s="3" t="s">
        <v>39</v>
      </c>
      <c r="U173" s="3" t="s">
        <v>40</v>
      </c>
      <c r="V173" s="3">
        <v>93.73</v>
      </c>
      <c r="W173" s="3">
        <v>39.840000000000003</v>
      </c>
      <c r="X173" s="3">
        <v>37.729999999999997</v>
      </c>
      <c r="Y173" s="3">
        <v>16.16</v>
      </c>
    </row>
    <row r="174" spans="1:25" ht="60.75" x14ac:dyDescent="0.25">
      <c r="A174" s="3" t="s">
        <v>26</v>
      </c>
      <c r="B174" s="3" t="s">
        <v>27</v>
      </c>
      <c r="C174" s="3" t="s">
        <v>28</v>
      </c>
      <c r="D174" s="3" t="s">
        <v>128</v>
      </c>
      <c r="E174" s="3" t="s">
        <v>129</v>
      </c>
      <c r="F174" s="3" t="s">
        <v>130</v>
      </c>
      <c r="G174" s="3" t="s">
        <v>129</v>
      </c>
      <c r="H174" s="3" t="s">
        <v>68</v>
      </c>
      <c r="I174" s="3">
        <v>2025</v>
      </c>
      <c r="J174" s="3" t="str">
        <f>CONCATENATE("54820290937")</f>
        <v>54820290937</v>
      </c>
      <c r="K174" s="3" t="s">
        <v>34</v>
      </c>
      <c r="L174" s="3"/>
      <c r="M174" s="3" t="s">
        <v>35</v>
      </c>
      <c r="N174" s="3" t="str">
        <f>CONCATENATE("MRTLVR58E12G516C")</f>
        <v>MRTLVR58E12G516C</v>
      </c>
      <c r="O174" s="3" t="s">
        <v>265</v>
      </c>
      <c r="P174" s="3" t="s">
        <v>37</v>
      </c>
      <c r="Q174" s="3"/>
      <c r="R174" s="4">
        <v>46058</v>
      </c>
      <c r="S174" s="3" t="s">
        <v>38</v>
      </c>
      <c r="T174" s="3" t="s">
        <v>39</v>
      </c>
      <c r="U174" s="3" t="s">
        <v>40</v>
      </c>
      <c r="V174" s="5">
        <v>1142.23</v>
      </c>
      <c r="W174" s="3">
        <v>485.45</v>
      </c>
      <c r="X174" s="3">
        <v>459.75</v>
      </c>
      <c r="Y174" s="3">
        <v>197.03</v>
      </c>
    </row>
    <row r="175" spans="1:25" ht="72.75" x14ac:dyDescent="0.25">
      <c r="A175" s="3" t="s">
        <v>26</v>
      </c>
      <c r="B175" s="3" t="s">
        <v>27</v>
      </c>
      <c r="C175" s="3" t="s">
        <v>28</v>
      </c>
      <c r="D175" s="3" t="s">
        <v>41</v>
      </c>
      <c r="E175" s="3" t="s">
        <v>32</v>
      </c>
      <c r="F175" s="3" t="s">
        <v>31</v>
      </c>
      <c r="G175" s="3" t="s">
        <v>32</v>
      </c>
      <c r="H175" s="3" t="s">
        <v>33</v>
      </c>
      <c r="I175" s="3">
        <v>2025</v>
      </c>
      <c r="J175" s="3" t="str">
        <f>CONCATENATE("54820209788")</f>
        <v>54820209788</v>
      </c>
      <c r="K175" s="3" t="s">
        <v>34</v>
      </c>
      <c r="L175" s="3"/>
      <c r="M175" s="3" t="s">
        <v>35</v>
      </c>
      <c r="N175" s="3" t="str">
        <f>CONCATENATE("PCGRMG65A13Z133V")</f>
        <v>PCGRMG65A13Z133V</v>
      </c>
      <c r="O175" s="3" t="s">
        <v>266</v>
      </c>
      <c r="P175" s="3" t="s">
        <v>37</v>
      </c>
      <c r="Q175" s="3"/>
      <c r="R175" s="4">
        <v>46058</v>
      </c>
      <c r="S175" s="3" t="s">
        <v>38</v>
      </c>
      <c r="T175" s="3" t="s">
        <v>39</v>
      </c>
      <c r="U175" s="3" t="s">
        <v>40</v>
      </c>
      <c r="V175" s="5">
        <v>7999.58</v>
      </c>
      <c r="W175" s="5">
        <v>3399.82</v>
      </c>
      <c r="X175" s="5">
        <v>3219.83</v>
      </c>
      <c r="Y175" s="5">
        <v>1379.93</v>
      </c>
    </row>
    <row r="176" spans="1:25" ht="60.75" x14ac:dyDescent="0.25">
      <c r="A176" s="3" t="s">
        <v>26</v>
      </c>
      <c r="B176" s="3" t="s">
        <v>27</v>
      </c>
      <c r="C176" s="3" t="s">
        <v>28</v>
      </c>
      <c r="D176" s="3" t="s">
        <v>171</v>
      </c>
      <c r="E176" s="3" t="s">
        <v>172</v>
      </c>
      <c r="F176" s="3" t="s">
        <v>171</v>
      </c>
      <c r="G176" s="3" t="s">
        <v>172</v>
      </c>
      <c r="H176" s="3" t="s">
        <v>68</v>
      </c>
      <c r="I176" s="3">
        <v>2025</v>
      </c>
      <c r="J176" s="3" t="str">
        <f>CONCATENATE("54820277553")</f>
        <v>54820277553</v>
      </c>
      <c r="K176" s="3" t="s">
        <v>34</v>
      </c>
      <c r="L176" s="3"/>
      <c r="M176" s="3" t="s">
        <v>35</v>
      </c>
      <c r="N176" s="3" t="str">
        <f>CONCATENATE("CSRNCN64S23A044M")</f>
        <v>CSRNCN64S23A044M</v>
      </c>
      <c r="O176" s="3" t="s">
        <v>267</v>
      </c>
      <c r="P176" s="3" t="s">
        <v>37</v>
      </c>
      <c r="Q176" s="3"/>
      <c r="R176" s="4">
        <v>46058</v>
      </c>
      <c r="S176" s="3" t="s">
        <v>38</v>
      </c>
      <c r="T176" s="3" t="s">
        <v>39</v>
      </c>
      <c r="U176" s="3" t="s">
        <v>40</v>
      </c>
      <c r="V176" s="3">
        <v>25.42</v>
      </c>
      <c r="W176" s="3">
        <v>10.8</v>
      </c>
      <c r="X176" s="3">
        <v>10.23</v>
      </c>
      <c r="Y176" s="3">
        <v>4.3899999999999997</v>
      </c>
    </row>
    <row r="177" spans="1:25" ht="60.75" x14ac:dyDescent="0.25">
      <c r="A177" s="3" t="s">
        <v>26</v>
      </c>
      <c r="B177" s="3" t="s">
        <v>27</v>
      </c>
      <c r="C177" s="3" t="s">
        <v>28</v>
      </c>
      <c r="D177" s="3" t="s">
        <v>41</v>
      </c>
      <c r="E177" s="3" t="s">
        <v>49</v>
      </c>
      <c r="F177" s="3" t="s">
        <v>31</v>
      </c>
      <c r="G177" s="3" t="s">
        <v>49</v>
      </c>
      <c r="H177" s="3" t="s">
        <v>51</v>
      </c>
      <c r="I177" s="3">
        <v>2025</v>
      </c>
      <c r="J177" s="3" t="str">
        <f>CONCATENATE("54820232822")</f>
        <v>54820232822</v>
      </c>
      <c r="K177" s="3" t="s">
        <v>34</v>
      </c>
      <c r="L177" s="3"/>
      <c r="M177" s="3" t="s">
        <v>35</v>
      </c>
      <c r="N177" s="3" t="str">
        <f>CONCATENATE("TGNDNL89B27B352J")</f>
        <v>TGNDNL89B27B352J</v>
      </c>
      <c r="O177" s="3" t="s">
        <v>268</v>
      </c>
      <c r="P177" s="3" t="s">
        <v>37</v>
      </c>
      <c r="Q177" s="3"/>
      <c r="R177" s="4">
        <v>46058</v>
      </c>
      <c r="S177" s="3" t="s">
        <v>38</v>
      </c>
      <c r="T177" s="3" t="s">
        <v>39</v>
      </c>
      <c r="U177" s="3" t="s">
        <v>40</v>
      </c>
      <c r="V177" s="5">
        <v>1211.05</v>
      </c>
      <c r="W177" s="3">
        <v>514.70000000000005</v>
      </c>
      <c r="X177" s="3">
        <v>487.45</v>
      </c>
      <c r="Y177" s="3">
        <v>208.9</v>
      </c>
    </row>
    <row r="178" spans="1:25" ht="36.75" x14ac:dyDescent="0.25">
      <c r="A178" s="3" t="s">
        <v>26</v>
      </c>
      <c r="B178" s="3" t="s">
        <v>27</v>
      </c>
      <c r="C178" s="3" t="s">
        <v>28</v>
      </c>
      <c r="D178" s="3" t="s">
        <v>62</v>
      </c>
      <c r="E178" s="3" t="s">
        <v>126</v>
      </c>
      <c r="F178" s="3" t="s">
        <v>31</v>
      </c>
      <c r="G178" s="3" t="s">
        <v>269</v>
      </c>
      <c r="H178" s="3" t="s">
        <v>43</v>
      </c>
      <c r="I178" s="3">
        <v>2025</v>
      </c>
      <c r="J178" s="3" t="str">
        <f>CONCATENATE("54820280862")</f>
        <v>54820280862</v>
      </c>
      <c r="K178" s="3" t="s">
        <v>34</v>
      </c>
      <c r="L178" s="3"/>
      <c r="M178" s="3" t="s">
        <v>35</v>
      </c>
      <c r="N178" s="3" t="str">
        <f>CONCATENATE("01910340437")</f>
        <v>01910340437</v>
      </c>
      <c r="O178" s="3" t="s">
        <v>270</v>
      </c>
      <c r="P178" s="3" t="s">
        <v>37</v>
      </c>
      <c r="Q178" s="3"/>
      <c r="R178" s="4">
        <v>46058</v>
      </c>
      <c r="S178" s="3" t="s">
        <v>38</v>
      </c>
      <c r="T178" s="3" t="s">
        <v>39</v>
      </c>
      <c r="U178" s="3" t="s">
        <v>40</v>
      </c>
      <c r="V178" s="3">
        <v>39.049999999999997</v>
      </c>
      <c r="W178" s="3">
        <v>16.600000000000001</v>
      </c>
      <c r="X178" s="3">
        <v>15.72</v>
      </c>
      <c r="Y178" s="3">
        <v>6.73</v>
      </c>
    </row>
    <row r="179" spans="1:25" ht="60.75" x14ac:dyDescent="0.25">
      <c r="A179" s="3" t="s">
        <v>26</v>
      </c>
      <c r="B179" s="3" t="s">
        <v>27</v>
      </c>
      <c r="C179" s="3" t="s">
        <v>28</v>
      </c>
      <c r="D179" s="3" t="s">
        <v>136</v>
      </c>
      <c r="E179" s="3" t="s">
        <v>216</v>
      </c>
      <c r="F179" s="3" t="s">
        <v>138</v>
      </c>
      <c r="G179" s="3" t="s">
        <v>216</v>
      </c>
      <c r="H179" s="3" t="s">
        <v>51</v>
      </c>
      <c r="I179" s="3">
        <v>2025</v>
      </c>
      <c r="J179" s="3" t="str">
        <f>CONCATENATE("54820266499")</f>
        <v>54820266499</v>
      </c>
      <c r="K179" s="3" t="s">
        <v>34</v>
      </c>
      <c r="L179" s="3"/>
      <c r="M179" s="3" t="s">
        <v>35</v>
      </c>
      <c r="N179" s="3" t="str">
        <f>CONCATENATE("TNGMRA53S69H958N")</f>
        <v>TNGMRA53S69H958N</v>
      </c>
      <c r="O179" s="3" t="s">
        <v>271</v>
      </c>
      <c r="P179" s="3" t="s">
        <v>37</v>
      </c>
      <c r="Q179" s="3"/>
      <c r="R179" s="4">
        <v>46058</v>
      </c>
      <c r="S179" s="3" t="s">
        <v>38</v>
      </c>
      <c r="T179" s="3" t="s">
        <v>39</v>
      </c>
      <c r="U179" s="3" t="s">
        <v>40</v>
      </c>
      <c r="V179" s="5">
        <v>2888.95</v>
      </c>
      <c r="W179" s="5">
        <v>1227.8</v>
      </c>
      <c r="X179" s="5">
        <v>1162.8</v>
      </c>
      <c r="Y179" s="3">
        <v>498.35</v>
      </c>
    </row>
    <row r="180" spans="1:25" ht="72.75" x14ac:dyDescent="0.25">
      <c r="A180" s="3" t="s">
        <v>26</v>
      </c>
      <c r="B180" s="3" t="s">
        <v>27</v>
      </c>
      <c r="C180" s="3" t="s">
        <v>28</v>
      </c>
      <c r="D180" s="3" t="s">
        <v>41</v>
      </c>
      <c r="E180" s="3" t="s">
        <v>49</v>
      </c>
      <c r="F180" s="3" t="s">
        <v>31</v>
      </c>
      <c r="G180" s="3" t="s">
        <v>49</v>
      </c>
      <c r="H180" s="3" t="s">
        <v>51</v>
      </c>
      <c r="I180" s="3">
        <v>2025</v>
      </c>
      <c r="J180" s="3" t="str">
        <f>CONCATENATE("54820211404")</f>
        <v>54820211404</v>
      </c>
      <c r="K180" s="3" t="s">
        <v>34</v>
      </c>
      <c r="L180" s="3"/>
      <c r="M180" s="3" t="s">
        <v>35</v>
      </c>
      <c r="N180" s="3" t="str">
        <f>CONCATENATE("CTNSNO63R48G479G")</f>
        <v>CTNSNO63R48G479G</v>
      </c>
      <c r="O180" s="3" t="s">
        <v>272</v>
      </c>
      <c r="P180" s="3" t="s">
        <v>37</v>
      </c>
      <c r="Q180" s="3"/>
      <c r="R180" s="4">
        <v>46058</v>
      </c>
      <c r="S180" s="3" t="s">
        <v>38</v>
      </c>
      <c r="T180" s="3" t="s">
        <v>39</v>
      </c>
      <c r="U180" s="3" t="s">
        <v>40</v>
      </c>
      <c r="V180" s="5">
        <v>4394.29</v>
      </c>
      <c r="W180" s="5">
        <v>1867.57</v>
      </c>
      <c r="X180" s="5">
        <v>1768.7</v>
      </c>
      <c r="Y180" s="3">
        <v>758.02</v>
      </c>
    </row>
    <row r="181" spans="1:25" ht="60.75" x14ac:dyDescent="0.25">
      <c r="A181" s="3" t="s">
        <v>26</v>
      </c>
      <c r="B181" s="3" t="s">
        <v>27</v>
      </c>
      <c r="C181" s="3" t="s">
        <v>28</v>
      </c>
      <c r="D181" s="3" t="s">
        <v>45</v>
      </c>
      <c r="E181" s="3" t="s">
        <v>214</v>
      </c>
      <c r="F181" s="3" t="s">
        <v>47</v>
      </c>
      <c r="G181" s="3" t="s">
        <v>214</v>
      </c>
      <c r="H181" s="3" t="s">
        <v>68</v>
      </c>
      <c r="I181" s="3">
        <v>2025</v>
      </c>
      <c r="J181" s="3" t="str">
        <f>CONCATENATE("54820062278")</f>
        <v>54820062278</v>
      </c>
      <c r="K181" s="3" t="s">
        <v>34</v>
      </c>
      <c r="L181" s="3"/>
      <c r="M181" s="3" t="s">
        <v>35</v>
      </c>
      <c r="N181" s="3" t="str">
        <f>CONCATENATE("TRGSFN61C24A252H")</f>
        <v>TRGSFN61C24A252H</v>
      </c>
      <c r="O181" s="3" t="s">
        <v>273</v>
      </c>
      <c r="P181" s="3" t="s">
        <v>37</v>
      </c>
      <c r="Q181" s="3"/>
      <c r="R181" s="4">
        <v>46058</v>
      </c>
      <c r="S181" s="3" t="s">
        <v>38</v>
      </c>
      <c r="T181" s="3" t="s">
        <v>39</v>
      </c>
      <c r="U181" s="3" t="s">
        <v>40</v>
      </c>
      <c r="V181" s="3">
        <v>165.19</v>
      </c>
      <c r="W181" s="3">
        <v>70.209999999999994</v>
      </c>
      <c r="X181" s="3">
        <v>66.489999999999995</v>
      </c>
      <c r="Y181" s="3">
        <v>28.49</v>
      </c>
    </row>
    <row r="182" spans="1:25" ht="60.75" x14ac:dyDescent="0.25">
      <c r="A182" s="3" t="s">
        <v>26</v>
      </c>
      <c r="B182" s="3" t="s">
        <v>27</v>
      </c>
      <c r="C182" s="3" t="s">
        <v>28</v>
      </c>
      <c r="D182" s="3" t="s">
        <v>41</v>
      </c>
      <c r="E182" s="3" t="s">
        <v>74</v>
      </c>
      <c r="F182" s="3" t="s">
        <v>31</v>
      </c>
      <c r="G182" s="3" t="s">
        <v>74</v>
      </c>
      <c r="H182" s="3" t="s">
        <v>33</v>
      </c>
      <c r="I182" s="3">
        <v>2025</v>
      </c>
      <c r="J182" s="3" t="str">
        <f>CONCATENATE("54820077342")</f>
        <v>54820077342</v>
      </c>
      <c r="K182" s="3" t="s">
        <v>34</v>
      </c>
      <c r="L182" s="3"/>
      <c r="M182" s="3" t="s">
        <v>35</v>
      </c>
      <c r="N182" s="3" t="str">
        <f>CONCATENATE("LLLFLN46B53I461N")</f>
        <v>LLLFLN46B53I461N</v>
      </c>
      <c r="O182" s="3" t="s">
        <v>274</v>
      </c>
      <c r="P182" s="3" t="s">
        <v>37</v>
      </c>
      <c r="Q182" s="3"/>
      <c r="R182" s="4">
        <v>46058</v>
      </c>
      <c r="S182" s="3" t="s">
        <v>38</v>
      </c>
      <c r="T182" s="3" t="s">
        <v>39</v>
      </c>
      <c r="U182" s="3" t="s">
        <v>40</v>
      </c>
      <c r="V182" s="3">
        <v>523.05999999999995</v>
      </c>
      <c r="W182" s="3">
        <v>222.3</v>
      </c>
      <c r="X182" s="3">
        <v>210.53</v>
      </c>
      <c r="Y182" s="3">
        <v>90.23</v>
      </c>
    </row>
    <row r="183" spans="1:25" ht="72.75" x14ac:dyDescent="0.25">
      <c r="A183" s="3" t="s">
        <v>26</v>
      </c>
      <c r="B183" s="3" t="s">
        <v>27</v>
      </c>
      <c r="C183" s="3" t="s">
        <v>28</v>
      </c>
      <c r="D183" s="3" t="s">
        <v>41</v>
      </c>
      <c r="E183" s="3" t="s">
        <v>53</v>
      </c>
      <c r="F183" s="3" t="s">
        <v>31</v>
      </c>
      <c r="G183" s="3" t="s">
        <v>53</v>
      </c>
      <c r="H183" s="3" t="s">
        <v>51</v>
      </c>
      <c r="I183" s="3">
        <v>2025</v>
      </c>
      <c r="J183" s="3" t="str">
        <f>CONCATENATE("54820076419")</f>
        <v>54820076419</v>
      </c>
      <c r="K183" s="3" t="s">
        <v>34</v>
      </c>
      <c r="L183" s="3"/>
      <c r="M183" s="3" t="s">
        <v>35</v>
      </c>
      <c r="N183" s="3" t="str">
        <f>CONCATENATE("PGLGRL58A26D488M")</f>
        <v>PGLGRL58A26D488M</v>
      </c>
      <c r="O183" s="3" t="s">
        <v>275</v>
      </c>
      <c r="P183" s="3" t="s">
        <v>37</v>
      </c>
      <c r="Q183" s="3"/>
      <c r="R183" s="4">
        <v>46058</v>
      </c>
      <c r="S183" s="3" t="s">
        <v>38</v>
      </c>
      <c r="T183" s="3" t="s">
        <v>39</v>
      </c>
      <c r="U183" s="3" t="s">
        <v>40</v>
      </c>
      <c r="V183" s="3">
        <v>703.9</v>
      </c>
      <c r="W183" s="3">
        <v>299.16000000000003</v>
      </c>
      <c r="X183" s="3">
        <v>283.32</v>
      </c>
      <c r="Y183" s="3">
        <v>121.42</v>
      </c>
    </row>
    <row r="184" spans="1:25" ht="60.75" x14ac:dyDescent="0.25">
      <c r="A184" s="3" t="s">
        <v>26</v>
      </c>
      <c r="B184" s="3" t="s">
        <v>27</v>
      </c>
      <c r="C184" s="3" t="s">
        <v>28</v>
      </c>
      <c r="D184" s="3" t="s">
        <v>45</v>
      </c>
      <c r="E184" s="3" t="s">
        <v>86</v>
      </c>
      <c r="F184" s="3" t="s">
        <v>47</v>
      </c>
      <c r="G184" s="3" t="s">
        <v>86</v>
      </c>
      <c r="H184" s="3" t="s">
        <v>51</v>
      </c>
      <c r="I184" s="3">
        <v>2025</v>
      </c>
      <c r="J184" s="3" t="str">
        <f>CONCATENATE("54820171467")</f>
        <v>54820171467</v>
      </c>
      <c r="K184" s="3" t="s">
        <v>34</v>
      </c>
      <c r="L184" s="3"/>
      <c r="M184" s="3" t="s">
        <v>35</v>
      </c>
      <c r="N184" s="3" t="str">
        <f>CONCATENATE("CGRNNI55E26A978V")</f>
        <v>CGRNNI55E26A978V</v>
      </c>
      <c r="O184" s="3" t="s">
        <v>276</v>
      </c>
      <c r="P184" s="3" t="s">
        <v>37</v>
      </c>
      <c r="Q184" s="3"/>
      <c r="R184" s="4">
        <v>46058</v>
      </c>
      <c r="S184" s="3" t="s">
        <v>38</v>
      </c>
      <c r="T184" s="3" t="s">
        <v>39</v>
      </c>
      <c r="U184" s="3" t="s">
        <v>40</v>
      </c>
      <c r="V184" s="3">
        <v>501.28</v>
      </c>
      <c r="W184" s="3">
        <v>213.04</v>
      </c>
      <c r="X184" s="3">
        <v>201.77</v>
      </c>
      <c r="Y184" s="3">
        <v>86.47</v>
      </c>
    </row>
    <row r="185" spans="1:25" ht="60.75" x14ac:dyDescent="0.25">
      <c r="A185" s="3" t="s">
        <v>26</v>
      </c>
      <c r="B185" s="3" t="s">
        <v>27</v>
      </c>
      <c r="C185" s="3" t="s">
        <v>28</v>
      </c>
      <c r="D185" s="3" t="s">
        <v>45</v>
      </c>
      <c r="E185" s="3" t="s">
        <v>86</v>
      </c>
      <c r="F185" s="3" t="s">
        <v>47</v>
      </c>
      <c r="G185" s="3" t="s">
        <v>86</v>
      </c>
      <c r="H185" s="3" t="s">
        <v>51</v>
      </c>
      <c r="I185" s="3">
        <v>2025</v>
      </c>
      <c r="J185" s="3" t="str">
        <f>CONCATENATE("54820159439")</f>
        <v>54820159439</v>
      </c>
      <c r="K185" s="3" t="s">
        <v>34</v>
      </c>
      <c r="L185" s="3"/>
      <c r="M185" s="3" t="s">
        <v>35</v>
      </c>
      <c r="N185" s="3" t="str">
        <f>CONCATENATE("MNTLYI95P16Z154Q")</f>
        <v>MNTLYI95P16Z154Q</v>
      </c>
      <c r="O185" s="3" t="s">
        <v>277</v>
      </c>
      <c r="P185" s="3" t="s">
        <v>37</v>
      </c>
      <c r="Q185" s="3"/>
      <c r="R185" s="4">
        <v>46058</v>
      </c>
      <c r="S185" s="3" t="s">
        <v>38</v>
      </c>
      <c r="T185" s="3" t="s">
        <v>39</v>
      </c>
      <c r="U185" s="3" t="s">
        <v>40</v>
      </c>
      <c r="V185" s="5">
        <v>6490.54</v>
      </c>
      <c r="W185" s="5">
        <v>2758.48</v>
      </c>
      <c r="X185" s="5">
        <v>2612.44</v>
      </c>
      <c r="Y185" s="5">
        <v>1119.6199999999999</v>
      </c>
    </row>
    <row r="186" spans="1:25" ht="36.75" x14ac:dyDescent="0.25">
      <c r="A186" s="3" t="s">
        <v>26</v>
      </c>
      <c r="B186" s="3" t="s">
        <v>27</v>
      </c>
      <c r="C186" s="3" t="s">
        <v>28</v>
      </c>
      <c r="D186" s="3" t="s">
        <v>62</v>
      </c>
      <c r="E186" s="3" t="s">
        <v>63</v>
      </c>
      <c r="F186" s="3" t="s">
        <v>64</v>
      </c>
      <c r="G186" s="3" t="s">
        <v>63</v>
      </c>
      <c r="H186" s="3" t="s">
        <v>51</v>
      </c>
      <c r="I186" s="3">
        <v>2025</v>
      </c>
      <c r="J186" s="3" t="str">
        <f>CONCATENATE("54820259833")</f>
        <v>54820259833</v>
      </c>
      <c r="K186" s="3" t="s">
        <v>34</v>
      </c>
      <c r="L186" s="3"/>
      <c r="M186" s="3" t="s">
        <v>35</v>
      </c>
      <c r="N186" s="3" t="str">
        <f>CONCATENATE("00449670413")</f>
        <v>00449670413</v>
      </c>
      <c r="O186" s="3" t="s">
        <v>278</v>
      </c>
      <c r="P186" s="3" t="s">
        <v>37</v>
      </c>
      <c r="Q186" s="3"/>
      <c r="R186" s="4">
        <v>46058</v>
      </c>
      <c r="S186" s="3" t="s">
        <v>38</v>
      </c>
      <c r="T186" s="3" t="s">
        <v>39</v>
      </c>
      <c r="U186" s="3" t="s">
        <v>40</v>
      </c>
      <c r="V186" s="3">
        <v>782.25</v>
      </c>
      <c r="W186" s="3">
        <v>332.46</v>
      </c>
      <c r="X186" s="3">
        <v>314.86</v>
      </c>
      <c r="Y186" s="3">
        <v>134.93</v>
      </c>
    </row>
    <row r="187" spans="1:25" ht="60.75" x14ac:dyDescent="0.25">
      <c r="A187" s="3" t="s">
        <v>26</v>
      </c>
      <c r="B187" s="3" t="s">
        <v>27</v>
      </c>
      <c r="C187" s="3" t="s">
        <v>28</v>
      </c>
      <c r="D187" s="3" t="s">
        <v>41</v>
      </c>
      <c r="E187" s="3" t="s">
        <v>42</v>
      </c>
      <c r="F187" s="3" t="s">
        <v>31</v>
      </c>
      <c r="G187" s="3" t="s">
        <v>42</v>
      </c>
      <c r="H187" s="3" t="s">
        <v>43</v>
      </c>
      <c r="I187" s="3">
        <v>2025</v>
      </c>
      <c r="J187" s="3" t="str">
        <f>CONCATENATE("54820080577")</f>
        <v>54820080577</v>
      </c>
      <c r="K187" s="3" t="s">
        <v>34</v>
      </c>
      <c r="L187" s="3"/>
      <c r="M187" s="3" t="s">
        <v>35</v>
      </c>
      <c r="N187" s="3" t="str">
        <f>CONCATENATE("FRRPLA71C16B474S")</f>
        <v>FRRPLA71C16B474S</v>
      </c>
      <c r="O187" s="3" t="s">
        <v>279</v>
      </c>
      <c r="P187" s="3" t="s">
        <v>37</v>
      </c>
      <c r="Q187" s="3"/>
      <c r="R187" s="4">
        <v>46058</v>
      </c>
      <c r="S187" s="3" t="s">
        <v>38</v>
      </c>
      <c r="T187" s="3" t="s">
        <v>39</v>
      </c>
      <c r="U187" s="3" t="s">
        <v>40</v>
      </c>
      <c r="V187" s="3">
        <v>220.38</v>
      </c>
      <c r="W187" s="3">
        <v>93.66</v>
      </c>
      <c r="X187" s="3">
        <v>88.7</v>
      </c>
      <c r="Y187" s="3">
        <v>38.020000000000003</v>
      </c>
    </row>
    <row r="188" spans="1:25" ht="36.75" x14ac:dyDescent="0.25">
      <c r="A188" s="3" t="s">
        <v>26</v>
      </c>
      <c r="B188" s="3" t="s">
        <v>27</v>
      </c>
      <c r="C188" s="3" t="s">
        <v>28</v>
      </c>
      <c r="D188" s="3" t="s">
        <v>62</v>
      </c>
      <c r="E188" s="3" t="s">
        <v>79</v>
      </c>
      <c r="F188" s="3" t="s">
        <v>64</v>
      </c>
      <c r="G188" s="3" t="s">
        <v>79</v>
      </c>
      <c r="H188" s="3" t="s">
        <v>43</v>
      </c>
      <c r="I188" s="3">
        <v>2025</v>
      </c>
      <c r="J188" s="3" t="str">
        <f>CONCATENATE("54820026059")</f>
        <v>54820026059</v>
      </c>
      <c r="K188" s="3" t="s">
        <v>34</v>
      </c>
      <c r="L188" s="3"/>
      <c r="M188" s="3" t="s">
        <v>35</v>
      </c>
      <c r="N188" s="3" t="str">
        <f>CONCATENATE("01174760437")</f>
        <v>01174760437</v>
      </c>
      <c r="O188" s="3" t="s">
        <v>280</v>
      </c>
      <c r="P188" s="3" t="s">
        <v>37</v>
      </c>
      <c r="Q188" s="3"/>
      <c r="R188" s="4">
        <v>46058</v>
      </c>
      <c r="S188" s="3" t="s">
        <v>38</v>
      </c>
      <c r="T188" s="3" t="s">
        <v>39</v>
      </c>
      <c r="U188" s="3" t="s">
        <v>40</v>
      </c>
      <c r="V188" s="3">
        <v>963.83</v>
      </c>
      <c r="W188" s="3">
        <v>409.63</v>
      </c>
      <c r="X188" s="3">
        <v>387.94</v>
      </c>
      <c r="Y188" s="3">
        <v>166.26</v>
      </c>
    </row>
    <row r="189" spans="1:25" ht="60.75" x14ac:dyDescent="0.25">
      <c r="A189" s="3" t="s">
        <v>26</v>
      </c>
      <c r="B189" s="3" t="s">
        <v>27</v>
      </c>
      <c r="C189" s="3" t="s">
        <v>28</v>
      </c>
      <c r="D189" s="3" t="s">
        <v>41</v>
      </c>
      <c r="E189" s="3" t="s">
        <v>53</v>
      </c>
      <c r="F189" s="3" t="s">
        <v>31</v>
      </c>
      <c r="G189" s="3" t="s">
        <v>53</v>
      </c>
      <c r="H189" s="3" t="s">
        <v>51</v>
      </c>
      <c r="I189" s="3">
        <v>2025</v>
      </c>
      <c r="J189" s="3" t="str">
        <f>CONCATENATE("54820078365")</f>
        <v>54820078365</v>
      </c>
      <c r="K189" s="3" t="s">
        <v>34</v>
      </c>
      <c r="L189" s="3"/>
      <c r="M189" s="3" t="s">
        <v>35</v>
      </c>
      <c r="N189" s="3" t="str">
        <f>CONCATENATE("CCCDNL71B27D749Y")</f>
        <v>CCCDNL71B27D749Y</v>
      </c>
      <c r="O189" s="3" t="s">
        <v>281</v>
      </c>
      <c r="P189" s="3" t="s">
        <v>37</v>
      </c>
      <c r="Q189" s="3"/>
      <c r="R189" s="4">
        <v>46058</v>
      </c>
      <c r="S189" s="3" t="s">
        <v>38</v>
      </c>
      <c r="T189" s="3" t="s">
        <v>39</v>
      </c>
      <c r="U189" s="3" t="s">
        <v>40</v>
      </c>
      <c r="V189" s="3">
        <v>364.3</v>
      </c>
      <c r="W189" s="3">
        <v>154.83000000000001</v>
      </c>
      <c r="X189" s="3">
        <v>146.63</v>
      </c>
      <c r="Y189" s="3">
        <v>62.84</v>
      </c>
    </row>
    <row r="190" spans="1:25" ht="60.75" x14ac:dyDescent="0.25">
      <c r="A190" s="3" t="s">
        <v>26</v>
      </c>
      <c r="B190" s="3" t="s">
        <v>27</v>
      </c>
      <c r="C190" s="3" t="s">
        <v>28</v>
      </c>
      <c r="D190" s="3" t="s">
        <v>41</v>
      </c>
      <c r="E190" s="3" t="s">
        <v>169</v>
      </c>
      <c r="F190" s="3" t="s">
        <v>31</v>
      </c>
      <c r="G190" s="3" t="s">
        <v>169</v>
      </c>
      <c r="H190" s="3" t="s">
        <v>68</v>
      </c>
      <c r="I190" s="3">
        <v>2025</v>
      </c>
      <c r="J190" s="3" t="str">
        <f>CONCATENATE("54820107545")</f>
        <v>54820107545</v>
      </c>
      <c r="K190" s="3" t="s">
        <v>34</v>
      </c>
      <c r="L190" s="3"/>
      <c r="M190" s="3" t="s">
        <v>35</v>
      </c>
      <c r="N190" s="3" t="str">
        <f>CONCATENATE("PRGTTL52D18F509E")</f>
        <v>PRGTTL52D18F509E</v>
      </c>
      <c r="O190" s="3" t="s">
        <v>282</v>
      </c>
      <c r="P190" s="3" t="s">
        <v>37</v>
      </c>
      <c r="Q190" s="3"/>
      <c r="R190" s="4">
        <v>46058</v>
      </c>
      <c r="S190" s="3" t="s">
        <v>38</v>
      </c>
      <c r="T190" s="3" t="s">
        <v>39</v>
      </c>
      <c r="U190" s="3" t="s">
        <v>40</v>
      </c>
      <c r="V190" s="3">
        <v>63.67</v>
      </c>
      <c r="W190" s="3">
        <v>27.06</v>
      </c>
      <c r="X190" s="3">
        <v>25.63</v>
      </c>
      <c r="Y190" s="3">
        <v>10.98</v>
      </c>
    </row>
    <row r="191" spans="1:25" ht="60.75" x14ac:dyDescent="0.25">
      <c r="A191" s="3" t="s">
        <v>26</v>
      </c>
      <c r="B191" s="3" t="s">
        <v>27</v>
      </c>
      <c r="C191" s="3" t="s">
        <v>28</v>
      </c>
      <c r="D191" s="3" t="s">
        <v>41</v>
      </c>
      <c r="E191" s="3" t="s">
        <v>32</v>
      </c>
      <c r="F191" s="3" t="s">
        <v>31</v>
      </c>
      <c r="G191" s="3" t="s">
        <v>32</v>
      </c>
      <c r="H191" s="3" t="s">
        <v>33</v>
      </c>
      <c r="I191" s="3">
        <v>2025</v>
      </c>
      <c r="J191" s="3" t="str">
        <f>CONCATENATE("54820187240")</f>
        <v>54820187240</v>
      </c>
      <c r="K191" s="3" t="s">
        <v>34</v>
      </c>
      <c r="L191" s="3"/>
      <c r="M191" s="3" t="s">
        <v>35</v>
      </c>
      <c r="N191" s="3" t="str">
        <f>CONCATENATE("RPNMRK79T31B474M")</f>
        <v>RPNMRK79T31B474M</v>
      </c>
      <c r="O191" s="3" t="s">
        <v>283</v>
      </c>
      <c r="P191" s="3" t="s">
        <v>37</v>
      </c>
      <c r="Q191" s="3"/>
      <c r="R191" s="4">
        <v>46058</v>
      </c>
      <c r="S191" s="3" t="s">
        <v>38</v>
      </c>
      <c r="T191" s="3" t="s">
        <v>39</v>
      </c>
      <c r="U191" s="3" t="s">
        <v>40</v>
      </c>
      <c r="V191" s="3">
        <v>850.21</v>
      </c>
      <c r="W191" s="3">
        <v>361.34</v>
      </c>
      <c r="X191" s="3">
        <v>342.21</v>
      </c>
      <c r="Y191" s="3">
        <v>146.66</v>
      </c>
    </row>
    <row r="192" spans="1:25" ht="36.75" x14ac:dyDescent="0.25">
      <c r="A192" s="3" t="s">
        <v>26</v>
      </c>
      <c r="B192" s="3" t="s">
        <v>27</v>
      </c>
      <c r="C192" s="3" t="s">
        <v>28</v>
      </c>
      <c r="D192" s="3" t="s">
        <v>62</v>
      </c>
      <c r="E192" s="3" t="s">
        <v>96</v>
      </c>
      <c r="F192" s="3" t="s">
        <v>64</v>
      </c>
      <c r="G192" s="3" t="s">
        <v>96</v>
      </c>
      <c r="H192" s="3" t="s">
        <v>43</v>
      </c>
      <c r="I192" s="3">
        <v>2025</v>
      </c>
      <c r="J192" s="3" t="str">
        <f>CONCATENATE("54820153572")</f>
        <v>54820153572</v>
      </c>
      <c r="K192" s="3" t="s">
        <v>34</v>
      </c>
      <c r="L192" s="3"/>
      <c r="M192" s="3" t="s">
        <v>35</v>
      </c>
      <c r="N192" s="3" t="str">
        <f>CONCATENATE("01752710432")</f>
        <v>01752710432</v>
      </c>
      <c r="O192" s="3" t="s">
        <v>284</v>
      </c>
      <c r="P192" s="3" t="s">
        <v>37</v>
      </c>
      <c r="Q192" s="3"/>
      <c r="R192" s="4">
        <v>46058</v>
      </c>
      <c r="S192" s="3" t="s">
        <v>38</v>
      </c>
      <c r="T192" s="3" t="s">
        <v>39</v>
      </c>
      <c r="U192" s="3" t="s">
        <v>40</v>
      </c>
      <c r="V192" s="3">
        <v>29.02</v>
      </c>
      <c r="W192" s="3">
        <v>12.33</v>
      </c>
      <c r="X192" s="3">
        <v>11.68</v>
      </c>
      <c r="Y192" s="3">
        <v>5.01</v>
      </c>
    </row>
    <row r="193" spans="1:25" ht="60.75" x14ac:dyDescent="0.25">
      <c r="A193" s="3" t="s">
        <v>26</v>
      </c>
      <c r="B193" s="3" t="s">
        <v>27</v>
      </c>
      <c r="C193" s="3" t="s">
        <v>28</v>
      </c>
      <c r="D193" s="3" t="s">
        <v>62</v>
      </c>
      <c r="E193" s="3" t="s">
        <v>96</v>
      </c>
      <c r="F193" s="3" t="s">
        <v>64</v>
      </c>
      <c r="G193" s="3" t="s">
        <v>96</v>
      </c>
      <c r="H193" s="3" t="s">
        <v>43</v>
      </c>
      <c r="I193" s="3">
        <v>2025</v>
      </c>
      <c r="J193" s="3" t="str">
        <f>CONCATENATE("54820066147")</f>
        <v>54820066147</v>
      </c>
      <c r="K193" s="3" t="s">
        <v>34</v>
      </c>
      <c r="L193" s="3"/>
      <c r="M193" s="3" t="s">
        <v>35</v>
      </c>
      <c r="N193" s="3" t="str">
        <f>CONCATENATE("BZZGNN61T22C582W")</f>
        <v>BZZGNN61T22C582W</v>
      </c>
      <c r="O193" s="3" t="s">
        <v>285</v>
      </c>
      <c r="P193" s="3" t="s">
        <v>37</v>
      </c>
      <c r="Q193" s="3"/>
      <c r="R193" s="4">
        <v>46058</v>
      </c>
      <c r="S193" s="3" t="s">
        <v>38</v>
      </c>
      <c r="T193" s="3" t="s">
        <v>39</v>
      </c>
      <c r="U193" s="3" t="s">
        <v>40</v>
      </c>
      <c r="V193" s="3">
        <v>18.670000000000002</v>
      </c>
      <c r="W193" s="3">
        <v>7.93</v>
      </c>
      <c r="X193" s="3">
        <v>7.51</v>
      </c>
      <c r="Y193" s="3">
        <v>3.23</v>
      </c>
    </row>
    <row r="194" spans="1:25" ht="60.75" x14ac:dyDescent="0.25">
      <c r="A194" s="3" t="s">
        <v>26</v>
      </c>
      <c r="B194" s="3" t="s">
        <v>27</v>
      </c>
      <c r="C194" s="3" t="s">
        <v>28</v>
      </c>
      <c r="D194" s="3" t="s">
        <v>41</v>
      </c>
      <c r="E194" s="3" t="s">
        <v>169</v>
      </c>
      <c r="F194" s="3" t="s">
        <v>31</v>
      </c>
      <c r="G194" s="3" t="s">
        <v>169</v>
      </c>
      <c r="H194" s="3" t="s">
        <v>68</v>
      </c>
      <c r="I194" s="3">
        <v>2025</v>
      </c>
      <c r="J194" s="3" t="str">
        <f>CONCATENATE("54820089792")</f>
        <v>54820089792</v>
      </c>
      <c r="K194" s="3" t="s">
        <v>34</v>
      </c>
      <c r="L194" s="3"/>
      <c r="M194" s="3" t="s">
        <v>35</v>
      </c>
      <c r="N194" s="3" t="str">
        <f>CONCATENATE("FCCFNC47B18D691G")</f>
        <v>FCCFNC47B18D691G</v>
      </c>
      <c r="O194" s="3" t="s">
        <v>286</v>
      </c>
      <c r="P194" s="3" t="s">
        <v>37</v>
      </c>
      <c r="Q194" s="3"/>
      <c r="R194" s="4">
        <v>46058</v>
      </c>
      <c r="S194" s="3" t="s">
        <v>38</v>
      </c>
      <c r="T194" s="3" t="s">
        <v>39</v>
      </c>
      <c r="U194" s="3" t="s">
        <v>40</v>
      </c>
      <c r="V194" s="3">
        <v>292.26</v>
      </c>
      <c r="W194" s="3">
        <v>124.21</v>
      </c>
      <c r="X194" s="3">
        <v>117.63</v>
      </c>
      <c r="Y194" s="3">
        <v>50.42</v>
      </c>
    </row>
    <row r="195" spans="1:25" ht="72.75" x14ac:dyDescent="0.25">
      <c r="A195" s="3" t="s">
        <v>26</v>
      </c>
      <c r="B195" s="3" t="s">
        <v>27</v>
      </c>
      <c r="C195" s="3" t="s">
        <v>28</v>
      </c>
      <c r="D195" s="3" t="s">
        <v>41</v>
      </c>
      <c r="E195" s="3" t="s">
        <v>32</v>
      </c>
      <c r="F195" s="3" t="s">
        <v>31</v>
      </c>
      <c r="G195" s="3" t="s">
        <v>32</v>
      </c>
      <c r="H195" s="3" t="s">
        <v>33</v>
      </c>
      <c r="I195" s="3">
        <v>2025</v>
      </c>
      <c r="J195" s="3" t="str">
        <f>CONCATENATE("54820155981")</f>
        <v>54820155981</v>
      </c>
      <c r="K195" s="3" t="s">
        <v>34</v>
      </c>
      <c r="L195" s="3"/>
      <c r="M195" s="3" t="s">
        <v>35</v>
      </c>
      <c r="N195" s="3" t="str">
        <f>CONCATENATE("VNNMNL69R66D451A")</f>
        <v>VNNMNL69R66D451A</v>
      </c>
      <c r="O195" s="3" t="s">
        <v>287</v>
      </c>
      <c r="P195" s="3" t="s">
        <v>37</v>
      </c>
      <c r="Q195" s="3"/>
      <c r="R195" s="4">
        <v>46058</v>
      </c>
      <c r="S195" s="3" t="s">
        <v>38</v>
      </c>
      <c r="T195" s="3" t="s">
        <v>39</v>
      </c>
      <c r="U195" s="3" t="s">
        <v>40</v>
      </c>
      <c r="V195" s="5">
        <v>7031.25</v>
      </c>
      <c r="W195" s="5">
        <v>2988.28</v>
      </c>
      <c r="X195" s="5">
        <v>2830.08</v>
      </c>
      <c r="Y195" s="5">
        <v>1212.8900000000001</v>
      </c>
    </row>
    <row r="196" spans="1:25" ht="60.75" x14ac:dyDescent="0.25">
      <c r="A196" s="3" t="s">
        <v>26</v>
      </c>
      <c r="B196" s="3" t="s">
        <v>27</v>
      </c>
      <c r="C196" s="3" t="s">
        <v>28</v>
      </c>
      <c r="D196" s="3" t="s">
        <v>45</v>
      </c>
      <c r="E196" s="3" t="s">
        <v>91</v>
      </c>
      <c r="F196" s="3" t="s">
        <v>47</v>
      </c>
      <c r="G196" s="3" t="s">
        <v>91</v>
      </c>
      <c r="H196" s="3" t="s">
        <v>51</v>
      </c>
      <c r="I196" s="3">
        <v>2025</v>
      </c>
      <c r="J196" s="3" t="str">
        <f>CONCATENATE("54820079371")</f>
        <v>54820079371</v>
      </c>
      <c r="K196" s="3" t="s">
        <v>34</v>
      </c>
      <c r="L196" s="3"/>
      <c r="M196" s="3" t="s">
        <v>35</v>
      </c>
      <c r="N196" s="3" t="str">
        <f>CONCATENATE("FSCPLA66B21E785Q")</f>
        <v>FSCPLA66B21E785Q</v>
      </c>
      <c r="O196" s="3" t="s">
        <v>288</v>
      </c>
      <c r="P196" s="3" t="s">
        <v>37</v>
      </c>
      <c r="Q196" s="3"/>
      <c r="R196" s="4">
        <v>46058</v>
      </c>
      <c r="S196" s="3" t="s">
        <v>38</v>
      </c>
      <c r="T196" s="3" t="s">
        <v>39</v>
      </c>
      <c r="U196" s="3" t="s">
        <v>40</v>
      </c>
      <c r="V196" s="5">
        <v>8445.25</v>
      </c>
      <c r="W196" s="5">
        <v>3589.23</v>
      </c>
      <c r="X196" s="5">
        <v>3399.21</v>
      </c>
      <c r="Y196" s="5">
        <v>1456.81</v>
      </c>
    </row>
    <row r="197" spans="1:25" ht="60.75" x14ac:dyDescent="0.25">
      <c r="A197" s="3" t="s">
        <v>26</v>
      </c>
      <c r="B197" s="3" t="s">
        <v>27</v>
      </c>
      <c r="C197" s="3" t="s">
        <v>28</v>
      </c>
      <c r="D197" s="3" t="s">
        <v>41</v>
      </c>
      <c r="E197" s="3" t="s">
        <v>119</v>
      </c>
      <c r="F197" s="3" t="s">
        <v>31</v>
      </c>
      <c r="G197" s="3" t="s">
        <v>119</v>
      </c>
      <c r="H197" s="3" t="s">
        <v>51</v>
      </c>
      <c r="I197" s="3">
        <v>2025</v>
      </c>
      <c r="J197" s="3" t="str">
        <f>CONCATENATE("54820085022")</f>
        <v>54820085022</v>
      </c>
      <c r="K197" s="3" t="s">
        <v>34</v>
      </c>
      <c r="L197" s="3"/>
      <c r="M197" s="3" t="s">
        <v>35</v>
      </c>
      <c r="N197" s="3" t="str">
        <f>CONCATENATE("CRLLCN56B27G453Q")</f>
        <v>CRLLCN56B27G453Q</v>
      </c>
      <c r="O197" s="3" t="s">
        <v>289</v>
      </c>
      <c r="P197" s="3" t="s">
        <v>37</v>
      </c>
      <c r="Q197" s="3"/>
      <c r="R197" s="4">
        <v>46058</v>
      </c>
      <c r="S197" s="3" t="s">
        <v>38</v>
      </c>
      <c r="T197" s="3" t="s">
        <v>39</v>
      </c>
      <c r="U197" s="3" t="s">
        <v>40</v>
      </c>
      <c r="V197" s="3">
        <v>411.6</v>
      </c>
      <c r="W197" s="3">
        <v>174.93</v>
      </c>
      <c r="X197" s="3">
        <v>165.67</v>
      </c>
      <c r="Y197" s="3">
        <v>71</v>
      </c>
    </row>
    <row r="198" spans="1:25" ht="60.75" x14ac:dyDescent="0.25">
      <c r="A198" s="3" t="s">
        <v>26</v>
      </c>
      <c r="B198" s="3" t="s">
        <v>27</v>
      </c>
      <c r="C198" s="3" t="s">
        <v>28</v>
      </c>
      <c r="D198" s="3" t="s">
        <v>41</v>
      </c>
      <c r="E198" s="3" t="s">
        <v>74</v>
      </c>
      <c r="F198" s="3" t="s">
        <v>31</v>
      </c>
      <c r="G198" s="3" t="s">
        <v>74</v>
      </c>
      <c r="H198" s="3" t="s">
        <v>33</v>
      </c>
      <c r="I198" s="3">
        <v>2025</v>
      </c>
      <c r="J198" s="3" t="str">
        <f>CONCATENATE("54820069976")</f>
        <v>54820069976</v>
      </c>
      <c r="K198" s="3" t="s">
        <v>34</v>
      </c>
      <c r="L198" s="3"/>
      <c r="M198" s="3" t="s">
        <v>35</v>
      </c>
      <c r="N198" s="3" t="str">
        <f>CONCATENATE("BLLGDU48A03I461S")</f>
        <v>BLLGDU48A03I461S</v>
      </c>
      <c r="O198" s="3" t="s">
        <v>290</v>
      </c>
      <c r="P198" s="3" t="s">
        <v>37</v>
      </c>
      <c r="Q198" s="3"/>
      <c r="R198" s="4">
        <v>46058</v>
      </c>
      <c r="S198" s="3" t="s">
        <v>38</v>
      </c>
      <c r="T198" s="3" t="s">
        <v>39</v>
      </c>
      <c r="U198" s="3" t="s">
        <v>40</v>
      </c>
      <c r="V198" s="3">
        <v>374.16</v>
      </c>
      <c r="W198" s="3">
        <v>159.02000000000001</v>
      </c>
      <c r="X198" s="3">
        <v>150.6</v>
      </c>
      <c r="Y198" s="3">
        <v>64.540000000000006</v>
      </c>
    </row>
    <row r="199" spans="1:25" ht="60.75" x14ac:dyDescent="0.25">
      <c r="A199" s="3" t="s">
        <v>26</v>
      </c>
      <c r="B199" s="3" t="s">
        <v>27</v>
      </c>
      <c r="C199" s="3" t="s">
        <v>28</v>
      </c>
      <c r="D199" s="3" t="s">
        <v>41</v>
      </c>
      <c r="E199" s="3" t="s">
        <v>53</v>
      </c>
      <c r="F199" s="3" t="s">
        <v>31</v>
      </c>
      <c r="G199" s="3" t="s">
        <v>53</v>
      </c>
      <c r="H199" s="3" t="s">
        <v>51</v>
      </c>
      <c r="I199" s="3">
        <v>2025</v>
      </c>
      <c r="J199" s="3" t="str">
        <f>CONCATENATE("54820180724")</f>
        <v>54820180724</v>
      </c>
      <c r="K199" s="3" t="s">
        <v>34</v>
      </c>
      <c r="L199" s="3"/>
      <c r="M199" s="3" t="s">
        <v>35</v>
      </c>
      <c r="N199" s="3" t="str">
        <f>CONCATENATE("LRNMTT93A15L500U")</f>
        <v>LRNMTT93A15L500U</v>
      </c>
      <c r="O199" s="3" t="s">
        <v>291</v>
      </c>
      <c r="P199" s="3" t="s">
        <v>37</v>
      </c>
      <c r="Q199" s="3"/>
      <c r="R199" s="4">
        <v>46058</v>
      </c>
      <c r="S199" s="3" t="s">
        <v>38</v>
      </c>
      <c r="T199" s="3" t="s">
        <v>39</v>
      </c>
      <c r="U199" s="3" t="s">
        <v>40</v>
      </c>
      <c r="V199" s="5">
        <v>3233.33</v>
      </c>
      <c r="W199" s="5">
        <v>1374.17</v>
      </c>
      <c r="X199" s="5">
        <v>1301.42</v>
      </c>
      <c r="Y199" s="3">
        <v>557.74</v>
      </c>
    </row>
    <row r="200" spans="1:25" ht="60.75" x14ac:dyDescent="0.25">
      <c r="A200" s="3" t="s">
        <v>26</v>
      </c>
      <c r="B200" s="3" t="s">
        <v>27</v>
      </c>
      <c r="C200" s="3" t="s">
        <v>28</v>
      </c>
      <c r="D200" s="3" t="s">
        <v>62</v>
      </c>
      <c r="E200" s="3" t="s">
        <v>63</v>
      </c>
      <c r="F200" s="3" t="s">
        <v>64</v>
      </c>
      <c r="G200" s="3" t="s">
        <v>63</v>
      </c>
      <c r="H200" s="3" t="s">
        <v>51</v>
      </c>
      <c r="I200" s="3">
        <v>2025</v>
      </c>
      <c r="J200" s="3" t="str">
        <f>CONCATENATE("54820176359")</f>
        <v>54820176359</v>
      </c>
      <c r="K200" s="3" t="s">
        <v>34</v>
      </c>
      <c r="L200" s="3"/>
      <c r="M200" s="3" t="s">
        <v>35</v>
      </c>
      <c r="N200" s="3" t="str">
        <f>CONCATENATE("GMBMRZ60C28L50LL")</f>
        <v>GMBMRZ60C28L50LL</v>
      </c>
      <c r="O200" s="3" t="s">
        <v>292</v>
      </c>
      <c r="P200" s="3" t="s">
        <v>37</v>
      </c>
      <c r="Q200" s="3"/>
      <c r="R200" s="4">
        <v>46058</v>
      </c>
      <c r="S200" s="3" t="s">
        <v>38</v>
      </c>
      <c r="T200" s="3" t="s">
        <v>39</v>
      </c>
      <c r="U200" s="3" t="s">
        <v>40</v>
      </c>
      <c r="V200" s="3">
        <v>759.79</v>
      </c>
      <c r="W200" s="3">
        <v>322.91000000000003</v>
      </c>
      <c r="X200" s="3">
        <v>305.82</v>
      </c>
      <c r="Y200" s="3">
        <v>131.06</v>
      </c>
    </row>
    <row r="201" spans="1:25" ht="60.75" x14ac:dyDescent="0.25">
      <c r="A201" s="3" t="s">
        <v>26</v>
      </c>
      <c r="B201" s="3" t="s">
        <v>27</v>
      </c>
      <c r="C201" s="3" t="s">
        <v>28</v>
      </c>
      <c r="D201" s="3" t="s">
        <v>41</v>
      </c>
      <c r="E201" s="3" t="s">
        <v>42</v>
      </c>
      <c r="F201" s="3" t="s">
        <v>31</v>
      </c>
      <c r="G201" s="3" t="s">
        <v>42</v>
      </c>
      <c r="H201" s="3" t="s">
        <v>43</v>
      </c>
      <c r="I201" s="3">
        <v>2025</v>
      </c>
      <c r="J201" s="3" t="str">
        <f>CONCATENATE("54820099759")</f>
        <v>54820099759</v>
      </c>
      <c r="K201" s="3" t="s">
        <v>34</v>
      </c>
      <c r="L201" s="3"/>
      <c r="M201" s="3" t="s">
        <v>35</v>
      </c>
      <c r="N201" s="3" t="str">
        <f>CONCATENATE("MCCMRC92C06D653Q")</f>
        <v>MCCMRC92C06D653Q</v>
      </c>
      <c r="O201" s="3" t="s">
        <v>293</v>
      </c>
      <c r="P201" s="3" t="s">
        <v>37</v>
      </c>
      <c r="Q201" s="3"/>
      <c r="R201" s="4">
        <v>46058</v>
      </c>
      <c r="S201" s="3" t="s">
        <v>38</v>
      </c>
      <c r="T201" s="3" t="s">
        <v>39</v>
      </c>
      <c r="U201" s="3" t="s">
        <v>40</v>
      </c>
      <c r="V201" s="3">
        <v>67.33</v>
      </c>
      <c r="W201" s="3">
        <v>28.62</v>
      </c>
      <c r="X201" s="3">
        <v>27.1</v>
      </c>
      <c r="Y201" s="3">
        <v>11.61</v>
      </c>
    </row>
    <row r="202" spans="1:25" ht="72.75" x14ac:dyDescent="0.25">
      <c r="A202" s="3" t="s">
        <v>26</v>
      </c>
      <c r="B202" s="3" t="s">
        <v>27</v>
      </c>
      <c r="C202" s="3" t="s">
        <v>28</v>
      </c>
      <c r="D202" s="3" t="s">
        <v>41</v>
      </c>
      <c r="E202" s="3" t="s">
        <v>53</v>
      </c>
      <c r="F202" s="3" t="s">
        <v>31</v>
      </c>
      <c r="G202" s="3" t="s">
        <v>53</v>
      </c>
      <c r="H202" s="3" t="s">
        <v>51</v>
      </c>
      <c r="I202" s="3">
        <v>2025</v>
      </c>
      <c r="J202" s="3" t="str">
        <f>CONCATENATE("54820148382")</f>
        <v>54820148382</v>
      </c>
      <c r="K202" s="3" t="s">
        <v>34</v>
      </c>
      <c r="L202" s="3"/>
      <c r="M202" s="3" t="s">
        <v>35</v>
      </c>
      <c r="N202" s="3" t="str">
        <f>CONCATENATE("BRLRRT69A11D749G")</f>
        <v>BRLRRT69A11D749G</v>
      </c>
      <c r="O202" s="3" t="s">
        <v>294</v>
      </c>
      <c r="P202" s="3" t="s">
        <v>37</v>
      </c>
      <c r="Q202" s="3"/>
      <c r="R202" s="4">
        <v>46058</v>
      </c>
      <c r="S202" s="3" t="s">
        <v>38</v>
      </c>
      <c r="T202" s="3" t="s">
        <v>39</v>
      </c>
      <c r="U202" s="3" t="s">
        <v>40</v>
      </c>
      <c r="V202" s="3">
        <v>956.63</v>
      </c>
      <c r="W202" s="3">
        <v>406.57</v>
      </c>
      <c r="X202" s="3">
        <v>385.04</v>
      </c>
      <c r="Y202" s="3">
        <v>165.02</v>
      </c>
    </row>
    <row r="203" spans="1:25" ht="60.75" x14ac:dyDescent="0.25">
      <c r="A203" s="3" t="s">
        <v>26</v>
      </c>
      <c r="B203" s="3" t="s">
        <v>27</v>
      </c>
      <c r="C203" s="3" t="s">
        <v>28</v>
      </c>
      <c r="D203" s="3" t="s">
        <v>128</v>
      </c>
      <c r="E203" s="3" t="s">
        <v>129</v>
      </c>
      <c r="F203" s="3" t="s">
        <v>130</v>
      </c>
      <c r="G203" s="3" t="s">
        <v>129</v>
      </c>
      <c r="H203" s="3" t="s">
        <v>68</v>
      </c>
      <c r="I203" s="3">
        <v>2025</v>
      </c>
      <c r="J203" s="3" t="str">
        <f>CONCATENATE("54820167846")</f>
        <v>54820167846</v>
      </c>
      <c r="K203" s="3" t="s">
        <v>34</v>
      </c>
      <c r="L203" s="3"/>
      <c r="M203" s="3" t="s">
        <v>35</v>
      </c>
      <c r="N203" s="3" t="str">
        <f>CONCATENATE("STNGDU73A14A462F")</f>
        <v>STNGDU73A14A462F</v>
      </c>
      <c r="O203" s="3" t="s">
        <v>295</v>
      </c>
      <c r="P203" s="3" t="s">
        <v>37</v>
      </c>
      <c r="Q203" s="3"/>
      <c r="R203" s="4">
        <v>46058</v>
      </c>
      <c r="S203" s="3" t="s">
        <v>38</v>
      </c>
      <c r="T203" s="3" t="s">
        <v>39</v>
      </c>
      <c r="U203" s="3" t="s">
        <v>40</v>
      </c>
      <c r="V203" s="5">
        <v>5870.77</v>
      </c>
      <c r="W203" s="5">
        <v>2495.08</v>
      </c>
      <c r="X203" s="5">
        <v>2362.98</v>
      </c>
      <c r="Y203" s="5">
        <v>1012.71</v>
      </c>
    </row>
    <row r="204" spans="1:25" ht="36.75" x14ac:dyDescent="0.25">
      <c r="A204" s="3" t="s">
        <v>26</v>
      </c>
      <c r="B204" s="3" t="s">
        <v>27</v>
      </c>
      <c r="C204" s="3" t="s">
        <v>28</v>
      </c>
      <c r="D204" s="3" t="s">
        <v>136</v>
      </c>
      <c r="E204" s="3" t="s">
        <v>296</v>
      </c>
      <c r="F204" s="3" t="s">
        <v>138</v>
      </c>
      <c r="G204" s="3" t="s">
        <v>296</v>
      </c>
      <c r="H204" s="3" t="s">
        <v>51</v>
      </c>
      <c r="I204" s="3">
        <v>2025</v>
      </c>
      <c r="J204" s="3" t="str">
        <f>CONCATENATE("54820122411")</f>
        <v>54820122411</v>
      </c>
      <c r="K204" s="3" t="s">
        <v>34</v>
      </c>
      <c r="L204" s="3"/>
      <c r="M204" s="3" t="s">
        <v>35</v>
      </c>
      <c r="N204" s="3" t="str">
        <f>CONCATENATE("02666660416")</f>
        <v>02666660416</v>
      </c>
      <c r="O204" s="3" t="s">
        <v>297</v>
      </c>
      <c r="P204" s="3" t="s">
        <v>37</v>
      </c>
      <c r="Q204" s="3"/>
      <c r="R204" s="4">
        <v>46058</v>
      </c>
      <c r="S204" s="3" t="s">
        <v>38</v>
      </c>
      <c r="T204" s="3" t="s">
        <v>39</v>
      </c>
      <c r="U204" s="3" t="s">
        <v>40</v>
      </c>
      <c r="V204" s="5">
        <v>5352.41</v>
      </c>
      <c r="W204" s="5">
        <v>2274.77</v>
      </c>
      <c r="X204" s="5">
        <v>2154.35</v>
      </c>
      <c r="Y204" s="3">
        <v>923.29</v>
      </c>
    </row>
    <row r="205" spans="1:25" ht="60.75" x14ac:dyDescent="0.25">
      <c r="A205" s="3" t="s">
        <v>26</v>
      </c>
      <c r="B205" s="3" t="s">
        <v>27</v>
      </c>
      <c r="C205" s="3" t="s">
        <v>28</v>
      </c>
      <c r="D205" s="3" t="s">
        <v>171</v>
      </c>
      <c r="E205" s="3" t="s">
        <v>298</v>
      </c>
      <c r="F205" s="3" t="s">
        <v>171</v>
      </c>
      <c r="G205" s="3" t="s">
        <v>298</v>
      </c>
      <c r="H205" s="3" t="s">
        <v>43</v>
      </c>
      <c r="I205" s="3">
        <v>2025</v>
      </c>
      <c r="J205" s="3" t="str">
        <f>CONCATENATE("54820291232")</f>
        <v>54820291232</v>
      </c>
      <c r="K205" s="3" t="s">
        <v>34</v>
      </c>
      <c r="L205" s="3"/>
      <c r="M205" s="3" t="s">
        <v>35</v>
      </c>
      <c r="N205" s="3" t="str">
        <f>CONCATENATE("MGGYRU93D09I156P")</f>
        <v>MGGYRU93D09I156P</v>
      </c>
      <c r="O205" s="3" t="s">
        <v>299</v>
      </c>
      <c r="P205" s="3" t="s">
        <v>37</v>
      </c>
      <c r="Q205" s="3"/>
      <c r="R205" s="4">
        <v>46058</v>
      </c>
      <c r="S205" s="3" t="s">
        <v>38</v>
      </c>
      <c r="T205" s="3" t="s">
        <v>39</v>
      </c>
      <c r="U205" s="3" t="s">
        <v>40</v>
      </c>
      <c r="V205" s="3">
        <v>716.32</v>
      </c>
      <c r="W205" s="3">
        <v>304.44</v>
      </c>
      <c r="X205" s="3">
        <v>288.32</v>
      </c>
      <c r="Y205" s="3">
        <v>123.56</v>
      </c>
    </row>
    <row r="206" spans="1:25" ht="60.75" x14ac:dyDescent="0.25">
      <c r="A206" s="3" t="s">
        <v>26</v>
      </c>
      <c r="B206" s="3" t="s">
        <v>27</v>
      </c>
      <c r="C206" s="3" t="s">
        <v>28</v>
      </c>
      <c r="D206" s="3" t="s">
        <v>45</v>
      </c>
      <c r="E206" s="3" t="s">
        <v>214</v>
      </c>
      <c r="F206" s="3" t="s">
        <v>47</v>
      </c>
      <c r="G206" s="3" t="s">
        <v>214</v>
      </c>
      <c r="H206" s="3" t="s">
        <v>68</v>
      </c>
      <c r="I206" s="3">
        <v>2025</v>
      </c>
      <c r="J206" s="3" t="str">
        <f>CONCATENATE("54820186366")</f>
        <v>54820186366</v>
      </c>
      <c r="K206" s="3" t="s">
        <v>34</v>
      </c>
      <c r="L206" s="3"/>
      <c r="M206" s="3" t="s">
        <v>35</v>
      </c>
      <c r="N206" s="3" t="str">
        <f>CONCATENATE("TRNVNT87P68A462D")</f>
        <v>TRNVNT87P68A462D</v>
      </c>
      <c r="O206" s="3" t="s">
        <v>300</v>
      </c>
      <c r="P206" s="3" t="s">
        <v>37</v>
      </c>
      <c r="Q206" s="3"/>
      <c r="R206" s="4">
        <v>46058</v>
      </c>
      <c r="S206" s="3" t="s">
        <v>38</v>
      </c>
      <c r="T206" s="3" t="s">
        <v>39</v>
      </c>
      <c r="U206" s="3" t="s">
        <v>40</v>
      </c>
      <c r="V206" s="5">
        <v>4651.68</v>
      </c>
      <c r="W206" s="5">
        <v>1976.96</v>
      </c>
      <c r="X206" s="5">
        <v>1872.3</v>
      </c>
      <c r="Y206" s="3">
        <v>802.42</v>
      </c>
    </row>
    <row r="207" spans="1:25" ht="60.75" x14ac:dyDescent="0.25">
      <c r="A207" s="3" t="s">
        <v>26</v>
      </c>
      <c r="B207" s="3" t="s">
        <v>27</v>
      </c>
      <c r="C207" s="3" t="s">
        <v>28</v>
      </c>
      <c r="D207" s="3" t="s">
        <v>45</v>
      </c>
      <c r="E207" s="3" t="s">
        <v>214</v>
      </c>
      <c r="F207" s="3" t="s">
        <v>47</v>
      </c>
      <c r="G207" s="3" t="s">
        <v>214</v>
      </c>
      <c r="H207" s="3" t="s">
        <v>68</v>
      </c>
      <c r="I207" s="3">
        <v>2025</v>
      </c>
      <c r="J207" s="3" t="str">
        <f>CONCATENATE("54820180856")</f>
        <v>54820180856</v>
      </c>
      <c r="K207" s="3" t="s">
        <v>34</v>
      </c>
      <c r="L207" s="3"/>
      <c r="M207" s="3" t="s">
        <v>35</v>
      </c>
      <c r="N207" s="3" t="str">
        <f>CONCATENATE("RGNJLN92B22H769L")</f>
        <v>RGNJLN92B22H769L</v>
      </c>
      <c r="O207" s="3" t="s">
        <v>301</v>
      </c>
      <c r="P207" s="3" t="s">
        <v>37</v>
      </c>
      <c r="Q207" s="3"/>
      <c r="R207" s="4">
        <v>46058</v>
      </c>
      <c r="S207" s="3" t="s">
        <v>38</v>
      </c>
      <c r="T207" s="3" t="s">
        <v>39</v>
      </c>
      <c r="U207" s="3" t="s">
        <v>40</v>
      </c>
      <c r="V207" s="3">
        <v>448.14</v>
      </c>
      <c r="W207" s="3">
        <v>190.46</v>
      </c>
      <c r="X207" s="3">
        <v>180.38</v>
      </c>
      <c r="Y207" s="3">
        <v>77.3</v>
      </c>
    </row>
    <row r="208" spans="1:25" ht="60.75" x14ac:dyDescent="0.25">
      <c r="A208" s="3" t="s">
        <v>26</v>
      </c>
      <c r="B208" s="3" t="s">
        <v>27</v>
      </c>
      <c r="C208" s="3" t="s">
        <v>28</v>
      </c>
      <c r="D208" s="3" t="s">
        <v>41</v>
      </c>
      <c r="E208" s="3" t="s">
        <v>72</v>
      </c>
      <c r="F208" s="3" t="s">
        <v>31</v>
      </c>
      <c r="G208" s="3" t="s">
        <v>72</v>
      </c>
      <c r="H208" s="3" t="s">
        <v>51</v>
      </c>
      <c r="I208" s="3">
        <v>2025</v>
      </c>
      <c r="J208" s="3" t="str">
        <f>CONCATENATE("54820285887")</f>
        <v>54820285887</v>
      </c>
      <c r="K208" s="3" t="s">
        <v>34</v>
      </c>
      <c r="L208" s="3"/>
      <c r="M208" s="3" t="s">
        <v>35</v>
      </c>
      <c r="N208" s="3" t="str">
        <f>CONCATENATE("MNTFPP67L22E785N")</f>
        <v>MNTFPP67L22E785N</v>
      </c>
      <c r="O208" s="3" t="s">
        <v>302</v>
      </c>
      <c r="P208" s="3" t="s">
        <v>37</v>
      </c>
      <c r="Q208" s="3"/>
      <c r="R208" s="4">
        <v>46058</v>
      </c>
      <c r="S208" s="3" t="s">
        <v>38</v>
      </c>
      <c r="T208" s="3" t="s">
        <v>39</v>
      </c>
      <c r="U208" s="3" t="s">
        <v>40</v>
      </c>
      <c r="V208" s="3">
        <v>314.51</v>
      </c>
      <c r="W208" s="3">
        <v>133.66999999999999</v>
      </c>
      <c r="X208" s="3">
        <v>126.59</v>
      </c>
      <c r="Y208" s="3">
        <v>54.25</v>
      </c>
    </row>
    <row r="209" spans="1:25" ht="72.75" x14ac:dyDescent="0.25">
      <c r="A209" s="3" t="s">
        <v>26</v>
      </c>
      <c r="B209" s="3" t="s">
        <v>27</v>
      </c>
      <c r="C209" s="3" t="s">
        <v>28</v>
      </c>
      <c r="D209" s="3" t="s">
        <v>136</v>
      </c>
      <c r="E209" s="3" t="s">
        <v>296</v>
      </c>
      <c r="F209" s="3" t="s">
        <v>138</v>
      </c>
      <c r="G209" s="3" t="s">
        <v>296</v>
      </c>
      <c r="H209" s="3" t="s">
        <v>51</v>
      </c>
      <c r="I209" s="3">
        <v>2025</v>
      </c>
      <c r="J209" s="3" t="str">
        <f>CONCATENATE("54820011796")</f>
        <v>54820011796</v>
      </c>
      <c r="K209" s="3" t="s">
        <v>34</v>
      </c>
      <c r="L209" s="3"/>
      <c r="M209" s="3" t="s">
        <v>35</v>
      </c>
      <c r="N209" s="3" t="str">
        <f>CONCATENATE("FRLDGI96B06D749R")</f>
        <v>FRLDGI96B06D749R</v>
      </c>
      <c r="O209" s="3" t="s">
        <v>303</v>
      </c>
      <c r="P209" s="3" t="s">
        <v>37</v>
      </c>
      <c r="Q209" s="3"/>
      <c r="R209" s="4">
        <v>46058</v>
      </c>
      <c r="S209" s="3" t="s">
        <v>38</v>
      </c>
      <c r="T209" s="3" t="s">
        <v>39</v>
      </c>
      <c r="U209" s="3" t="s">
        <v>40</v>
      </c>
      <c r="V209" s="5">
        <v>6181.06</v>
      </c>
      <c r="W209" s="5">
        <v>2626.95</v>
      </c>
      <c r="X209" s="5">
        <v>2487.88</v>
      </c>
      <c r="Y209" s="5">
        <v>1066.23</v>
      </c>
    </row>
    <row r="210" spans="1:25" ht="60.75" x14ac:dyDescent="0.25">
      <c r="A210" s="3" t="s">
        <v>26</v>
      </c>
      <c r="B210" s="3" t="s">
        <v>27</v>
      </c>
      <c r="C210" s="3" t="s">
        <v>28</v>
      </c>
      <c r="D210" s="3" t="s">
        <v>62</v>
      </c>
      <c r="E210" s="3" t="s">
        <v>63</v>
      </c>
      <c r="F210" s="3" t="s">
        <v>64</v>
      </c>
      <c r="G210" s="3" t="s">
        <v>63</v>
      </c>
      <c r="H210" s="3" t="s">
        <v>51</v>
      </c>
      <c r="I210" s="3">
        <v>2025</v>
      </c>
      <c r="J210" s="3" t="str">
        <f>CONCATENATE("54820031083")</f>
        <v>54820031083</v>
      </c>
      <c r="K210" s="3" t="s">
        <v>34</v>
      </c>
      <c r="L210" s="3"/>
      <c r="M210" s="3" t="s">
        <v>35</v>
      </c>
      <c r="N210" s="3" t="str">
        <f>CONCATENATE("GMBGRL67S12L500N")</f>
        <v>GMBGRL67S12L500N</v>
      </c>
      <c r="O210" s="3" t="s">
        <v>304</v>
      </c>
      <c r="P210" s="3" t="s">
        <v>37</v>
      </c>
      <c r="Q210" s="3"/>
      <c r="R210" s="4">
        <v>46058</v>
      </c>
      <c r="S210" s="3" t="s">
        <v>38</v>
      </c>
      <c r="T210" s="3" t="s">
        <v>39</v>
      </c>
      <c r="U210" s="3" t="s">
        <v>40</v>
      </c>
      <c r="V210" s="5">
        <v>2148.94</v>
      </c>
      <c r="W210" s="3">
        <v>913.3</v>
      </c>
      <c r="X210" s="3">
        <v>864.95</v>
      </c>
      <c r="Y210" s="3">
        <v>370.69</v>
      </c>
    </row>
    <row r="211" spans="1:25" ht="60.75" x14ac:dyDescent="0.25">
      <c r="A211" s="3" t="s">
        <v>26</v>
      </c>
      <c r="B211" s="3" t="s">
        <v>27</v>
      </c>
      <c r="C211" s="3" t="s">
        <v>28</v>
      </c>
      <c r="D211" s="3" t="s">
        <v>41</v>
      </c>
      <c r="E211" s="3" t="s">
        <v>53</v>
      </c>
      <c r="F211" s="3" t="s">
        <v>31</v>
      </c>
      <c r="G211" s="3" t="s">
        <v>53</v>
      </c>
      <c r="H211" s="3" t="s">
        <v>51</v>
      </c>
      <c r="I211" s="3">
        <v>2025</v>
      </c>
      <c r="J211" s="3" t="str">
        <f>CONCATENATE("54820024765")</f>
        <v>54820024765</v>
      </c>
      <c r="K211" s="3" t="s">
        <v>34</v>
      </c>
      <c r="L211" s="3"/>
      <c r="M211" s="3" t="s">
        <v>35</v>
      </c>
      <c r="N211" s="3" t="str">
        <f>CONCATENATE("CMDGRG68B25D749X")</f>
        <v>CMDGRG68B25D749X</v>
      </c>
      <c r="O211" s="3" t="s">
        <v>305</v>
      </c>
      <c r="P211" s="3" t="s">
        <v>37</v>
      </c>
      <c r="Q211" s="3"/>
      <c r="R211" s="4">
        <v>46058</v>
      </c>
      <c r="S211" s="3" t="s">
        <v>38</v>
      </c>
      <c r="T211" s="3" t="s">
        <v>39</v>
      </c>
      <c r="U211" s="3" t="s">
        <v>40</v>
      </c>
      <c r="V211" s="5">
        <v>1082.4000000000001</v>
      </c>
      <c r="W211" s="3">
        <v>460.02</v>
      </c>
      <c r="X211" s="3">
        <v>435.67</v>
      </c>
      <c r="Y211" s="3">
        <v>186.71</v>
      </c>
    </row>
    <row r="212" spans="1:25" ht="60.75" x14ac:dyDescent="0.25">
      <c r="A212" s="3" t="s">
        <v>26</v>
      </c>
      <c r="B212" s="3" t="s">
        <v>27</v>
      </c>
      <c r="C212" s="3" t="s">
        <v>28</v>
      </c>
      <c r="D212" s="3" t="s">
        <v>41</v>
      </c>
      <c r="E212" s="3" t="s">
        <v>154</v>
      </c>
      <c r="F212" s="3" t="s">
        <v>31</v>
      </c>
      <c r="G212" s="3" t="s">
        <v>154</v>
      </c>
      <c r="H212" s="3" t="s">
        <v>51</v>
      </c>
      <c r="I212" s="3">
        <v>2025</v>
      </c>
      <c r="J212" s="3" t="str">
        <f>CONCATENATE("54820046776")</f>
        <v>54820046776</v>
      </c>
      <c r="K212" s="3" t="s">
        <v>34</v>
      </c>
      <c r="L212" s="3"/>
      <c r="M212" s="3" t="s">
        <v>35</v>
      </c>
      <c r="N212" s="3" t="str">
        <f>CONCATENATE("GBLGRL36S26B026C")</f>
        <v>GBLGRL36S26B026C</v>
      </c>
      <c r="O212" s="3" t="s">
        <v>306</v>
      </c>
      <c r="P212" s="3" t="s">
        <v>37</v>
      </c>
      <c r="Q212" s="3"/>
      <c r="R212" s="4">
        <v>46058</v>
      </c>
      <c r="S212" s="3" t="s">
        <v>38</v>
      </c>
      <c r="T212" s="3" t="s">
        <v>39</v>
      </c>
      <c r="U212" s="3" t="s">
        <v>40</v>
      </c>
      <c r="V212" s="3">
        <v>725.28</v>
      </c>
      <c r="W212" s="3">
        <v>308.24</v>
      </c>
      <c r="X212" s="3">
        <v>291.93</v>
      </c>
      <c r="Y212" s="3">
        <v>125.11</v>
      </c>
    </row>
    <row r="213" spans="1:25" ht="36.75" x14ac:dyDescent="0.25">
      <c r="A213" s="3" t="s">
        <v>26</v>
      </c>
      <c r="B213" s="3" t="s">
        <v>27</v>
      </c>
      <c r="C213" s="3" t="s">
        <v>28</v>
      </c>
      <c r="D213" s="3" t="s">
        <v>41</v>
      </c>
      <c r="E213" s="3" t="s">
        <v>53</v>
      </c>
      <c r="F213" s="3" t="s">
        <v>31</v>
      </c>
      <c r="G213" s="3" t="s">
        <v>53</v>
      </c>
      <c r="H213" s="3" t="s">
        <v>51</v>
      </c>
      <c r="I213" s="3">
        <v>2025</v>
      </c>
      <c r="J213" s="3" t="str">
        <f>CONCATENATE("54820064142")</f>
        <v>54820064142</v>
      </c>
      <c r="K213" s="3" t="s">
        <v>34</v>
      </c>
      <c r="L213" s="3"/>
      <c r="M213" s="3" t="s">
        <v>35</v>
      </c>
      <c r="N213" s="3" t="str">
        <f>CONCATENATE("02577080415")</f>
        <v>02577080415</v>
      </c>
      <c r="O213" s="3" t="s">
        <v>307</v>
      </c>
      <c r="P213" s="3" t="s">
        <v>37</v>
      </c>
      <c r="Q213" s="3"/>
      <c r="R213" s="4">
        <v>46058</v>
      </c>
      <c r="S213" s="3" t="s">
        <v>38</v>
      </c>
      <c r="T213" s="3" t="s">
        <v>39</v>
      </c>
      <c r="U213" s="3" t="s">
        <v>40</v>
      </c>
      <c r="V213" s="3">
        <v>608.9</v>
      </c>
      <c r="W213" s="3">
        <v>258.77999999999997</v>
      </c>
      <c r="X213" s="3">
        <v>245.08</v>
      </c>
      <c r="Y213" s="3">
        <v>105.04</v>
      </c>
    </row>
    <row r="214" spans="1:25" ht="60.75" x14ac:dyDescent="0.25">
      <c r="A214" s="3" t="s">
        <v>26</v>
      </c>
      <c r="B214" s="3" t="s">
        <v>27</v>
      </c>
      <c r="C214" s="3" t="s">
        <v>28</v>
      </c>
      <c r="D214" s="3" t="s">
        <v>41</v>
      </c>
      <c r="E214" s="3" t="s">
        <v>140</v>
      </c>
      <c r="F214" s="3" t="s">
        <v>31</v>
      </c>
      <c r="G214" s="3" t="s">
        <v>140</v>
      </c>
      <c r="H214" s="3" t="s">
        <v>43</v>
      </c>
      <c r="I214" s="3">
        <v>2025</v>
      </c>
      <c r="J214" s="3" t="str">
        <f>CONCATENATE("54820026596")</f>
        <v>54820026596</v>
      </c>
      <c r="K214" s="3" t="s">
        <v>34</v>
      </c>
      <c r="L214" s="3"/>
      <c r="M214" s="3" t="s">
        <v>35</v>
      </c>
      <c r="N214" s="3" t="str">
        <f>CONCATENATE("NSVLCU73D11B474I")</f>
        <v>NSVLCU73D11B474I</v>
      </c>
      <c r="O214" s="3" t="s">
        <v>308</v>
      </c>
      <c r="P214" s="3" t="s">
        <v>37</v>
      </c>
      <c r="Q214" s="3"/>
      <c r="R214" s="4">
        <v>46058</v>
      </c>
      <c r="S214" s="3" t="s">
        <v>38</v>
      </c>
      <c r="T214" s="3" t="s">
        <v>39</v>
      </c>
      <c r="U214" s="3" t="s">
        <v>40</v>
      </c>
      <c r="V214" s="3">
        <v>597.62</v>
      </c>
      <c r="W214" s="3">
        <v>253.99</v>
      </c>
      <c r="X214" s="3">
        <v>240.54</v>
      </c>
      <c r="Y214" s="3">
        <v>103.09</v>
      </c>
    </row>
    <row r="215" spans="1:25" ht="36.75" x14ac:dyDescent="0.25">
      <c r="A215" s="3" t="s">
        <v>26</v>
      </c>
      <c r="B215" s="3" t="s">
        <v>27</v>
      </c>
      <c r="C215" s="3" t="s">
        <v>28</v>
      </c>
      <c r="D215" s="3" t="s">
        <v>128</v>
      </c>
      <c r="E215" s="3" t="s">
        <v>129</v>
      </c>
      <c r="F215" s="3" t="s">
        <v>130</v>
      </c>
      <c r="G215" s="3" t="s">
        <v>129</v>
      </c>
      <c r="H215" s="3" t="s">
        <v>68</v>
      </c>
      <c r="I215" s="3">
        <v>2025</v>
      </c>
      <c r="J215" s="3" t="str">
        <f>CONCATENATE("54820187216")</f>
        <v>54820187216</v>
      </c>
      <c r="K215" s="3" t="s">
        <v>34</v>
      </c>
      <c r="L215" s="3"/>
      <c r="M215" s="3" t="s">
        <v>35</v>
      </c>
      <c r="N215" s="3" t="str">
        <f>CONCATENATE("01824040438")</f>
        <v>01824040438</v>
      </c>
      <c r="O215" s="3" t="s">
        <v>309</v>
      </c>
      <c r="P215" s="3" t="s">
        <v>37</v>
      </c>
      <c r="Q215" s="3"/>
      <c r="R215" s="4">
        <v>46058</v>
      </c>
      <c r="S215" s="3" t="s">
        <v>38</v>
      </c>
      <c r="T215" s="3" t="s">
        <v>39</v>
      </c>
      <c r="U215" s="3" t="s">
        <v>40</v>
      </c>
      <c r="V215" s="3">
        <v>252.47</v>
      </c>
      <c r="W215" s="3">
        <v>107.3</v>
      </c>
      <c r="X215" s="3">
        <v>101.62</v>
      </c>
      <c r="Y215" s="3">
        <v>43.55</v>
      </c>
    </row>
    <row r="216" spans="1:25" ht="36.75" x14ac:dyDescent="0.25">
      <c r="A216" s="3" t="s">
        <v>26</v>
      </c>
      <c r="B216" s="3" t="s">
        <v>27</v>
      </c>
      <c r="C216" s="3" t="s">
        <v>28</v>
      </c>
      <c r="D216" s="3" t="s">
        <v>128</v>
      </c>
      <c r="E216" s="3" t="s">
        <v>179</v>
      </c>
      <c r="F216" s="3" t="s">
        <v>130</v>
      </c>
      <c r="G216" s="3" t="s">
        <v>179</v>
      </c>
      <c r="H216" s="3" t="s">
        <v>43</v>
      </c>
      <c r="I216" s="3">
        <v>2025</v>
      </c>
      <c r="J216" s="3" t="str">
        <f>CONCATENATE("54820110432")</f>
        <v>54820110432</v>
      </c>
      <c r="K216" s="3" t="s">
        <v>34</v>
      </c>
      <c r="L216" s="3"/>
      <c r="M216" s="3" t="s">
        <v>35</v>
      </c>
      <c r="N216" s="3" t="str">
        <f>CONCATENATE("02573780034")</f>
        <v>02573780034</v>
      </c>
      <c r="O216" s="3" t="s">
        <v>310</v>
      </c>
      <c r="P216" s="3" t="s">
        <v>37</v>
      </c>
      <c r="Q216" s="3"/>
      <c r="R216" s="4">
        <v>46058</v>
      </c>
      <c r="S216" s="3" t="s">
        <v>38</v>
      </c>
      <c r="T216" s="3" t="s">
        <v>39</v>
      </c>
      <c r="U216" s="3" t="s">
        <v>40</v>
      </c>
      <c r="V216" s="3">
        <v>125.32</v>
      </c>
      <c r="W216" s="3">
        <v>53.26</v>
      </c>
      <c r="X216" s="3">
        <v>50.44</v>
      </c>
      <c r="Y216" s="3">
        <v>21.62</v>
      </c>
    </row>
    <row r="217" spans="1:25" ht="36.75" x14ac:dyDescent="0.25">
      <c r="A217" s="3" t="s">
        <v>26</v>
      </c>
      <c r="B217" s="3" t="s">
        <v>27</v>
      </c>
      <c r="C217" s="3" t="s">
        <v>28</v>
      </c>
      <c r="D217" s="3" t="s">
        <v>41</v>
      </c>
      <c r="E217" s="3" t="s">
        <v>57</v>
      </c>
      <c r="F217" s="3" t="s">
        <v>31</v>
      </c>
      <c r="G217" s="3" t="s">
        <v>57</v>
      </c>
      <c r="H217" s="3" t="s">
        <v>51</v>
      </c>
      <c r="I217" s="3">
        <v>2025</v>
      </c>
      <c r="J217" s="3" t="str">
        <f>CONCATENATE("54820212857")</f>
        <v>54820212857</v>
      </c>
      <c r="K217" s="3" t="s">
        <v>34</v>
      </c>
      <c r="L217" s="3"/>
      <c r="M217" s="3" t="s">
        <v>35</v>
      </c>
      <c r="N217" s="3" t="str">
        <f>CONCATENATE("02000320388")</f>
        <v>02000320388</v>
      </c>
      <c r="O217" s="3" t="s">
        <v>311</v>
      </c>
      <c r="P217" s="3" t="s">
        <v>37</v>
      </c>
      <c r="Q217" s="3"/>
      <c r="R217" s="4">
        <v>46058</v>
      </c>
      <c r="S217" s="3" t="s">
        <v>38</v>
      </c>
      <c r="T217" s="3" t="s">
        <v>39</v>
      </c>
      <c r="U217" s="3" t="s">
        <v>40</v>
      </c>
      <c r="V217" s="5">
        <v>6682.95</v>
      </c>
      <c r="W217" s="5">
        <v>2840.25</v>
      </c>
      <c r="X217" s="5">
        <v>2689.89</v>
      </c>
      <c r="Y217" s="5">
        <v>1152.81</v>
      </c>
    </row>
    <row r="218" spans="1:25" ht="60.75" x14ac:dyDescent="0.25">
      <c r="A218" s="3" t="s">
        <v>26</v>
      </c>
      <c r="B218" s="3" t="s">
        <v>27</v>
      </c>
      <c r="C218" s="3" t="s">
        <v>28</v>
      </c>
      <c r="D218" s="3" t="s">
        <v>41</v>
      </c>
      <c r="E218" s="3" t="s">
        <v>32</v>
      </c>
      <c r="F218" s="3" t="s">
        <v>31</v>
      </c>
      <c r="G218" s="3" t="s">
        <v>32</v>
      </c>
      <c r="H218" s="3" t="s">
        <v>33</v>
      </c>
      <c r="I218" s="3">
        <v>2025</v>
      </c>
      <c r="J218" s="3" t="str">
        <f>CONCATENATE("54820209770")</f>
        <v>54820209770</v>
      </c>
      <c r="K218" s="3" t="s">
        <v>34</v>
      </c>
      <c r="L218" s="3"/>
      <c r="M218" s="3" t="s">
        <v>35</v>
      </c>
      <c r="N218" s="3" t="str">
        <f>CONCATENATE("PCGRNT71C29D451J")</f>
        <v>PCGRNT71C29D451J</v>
      </c>
      <c r="O218" s="3" t="s">
        <v>312</v>
      </c>
      <c r="P218" s="3" t="s">
        <v>37</v>
      </c>
      <c r="Q218" s="3"/>
      <c r="R218" s="4">
        <v>46058</v>
      </c>
      <c r="S218" s="3" t="s">
        <v>38</v>
      </c>
      <c r="T218" s="3" t="s">
        <v>39</v>
      </c>
      <c r="U218" s="3" t="s">
        <v>40</v>
      </c>
      <c r="V218" s="5">
        <v>8412.43</v>
      </c>
      <c r="W218" s="5">
        <v>3575.28</v>
      </c>
      <c r="X218" s="5">
        <v>3386</v>
      </c>
      <c r="Y218" s="5">
        <v>1451.15</v>
      </c>
    </row>
    <row r="219" spans="1:25" ht="36.75" x14ac:dyDescent="0.25">
      <c r="A219" s="3" t="s">
        <v>26</v>
      </c>
      <c r="B219" s="3" t="s">
        <v>27</v>
      </c>
      <c r="C219" s="3" t="s">
        <v>28</v>
      </c>
      <c r="D219" s="3" t="s">
        <v>41</v>
      </c>
      <c r="E219" s="3" t="s">
        <v>57</v>
      </c>
      <c r="F219" s="3" t="s">
        <v>31</v>
      </c>
      <c r="G219" s="3" t="s">
        <v>57</v>
      </c>
      <c r="H219" s="3" t="s">
        <v>51</v>
      </c>
      <c r="I219" s="3">
        <v>2025</v>
      </c>
      <c r="J219" s="3" t="str">
        <f>CONCATENATE("54820215579")</f>
        <v>54820215579</v>
      </c>
      <c r="K219" s="3" t="s">
        <v>34</v>
      </c>
      <c r="L219" s="3"/>
      <c r="M219" s="3" t="s">
        <v>35</v>
      </c>
      <c r="N219" s="3" t="str">
        <f>CONCATENATE("02055070417")</f>
        <v>02055070417</v>
      </c>
      <c r="O219" s="3" t="s">
        <v>313</v>
      </c>
      <c r="P219" s="3" t="s">
        <v>37</v>
      </c>
      <c r="Q219" s="3"/>
      <c r="R219" s="4">
        <v>46058</v>
      </c>
      <c r="S219" s="3" t="s">
        <v>38</v>
      </c>
      <c r="T219" s="3" t="s">
        <v>39</v>
      </c>
      <c r="U219" s="3" t="s">
        <v>40</v>
      </c>
      <c r="V219" s="3">
        <v>986.16</v>
      </c>
      <c r="W219" s="3">
        <v>419.12</v>
      </c>
      <c r="X219" s="3">
        <v>396.93</v>
      </c>
      <c r="Y219" s="3">
        <v>170.11</v>
      </c>
    </row>
    <row r="220" spans="1:25" ht="60.75" x14ac:dyDescent="0.25">
      <c r="A220" s="3" t="s">
        <v>26</v>
      </c>
      <c r="B220" s="3" t="s">
        <v>27</v>
      </c>
      <c r="C220" s="3" t="s">
        <v>28</v>
      </c>
      <c r="D220" s="3" t="s">
        <v>171</v>
      </c>
      <c r="E220" s="3" t="s">
        <v>298</v>
      </c>
      <c r="F220" s="3" t="s">
        <v>171</v>
      </c>
      <c r="G220" s="3" t="s">
        <v>298</v>
      </c>
      <c r="H220" s="3" t="s">
        <v>68</v>
      </c>
      <c r="I220" s="3">
        <v>2025</v>
      </c>
      <c r="J220" s="3" t="str">
        <f>CONCATENATE("54820283601")</f>
        <v>54820283601</v>
      </c>
      <c r="K220" s="3" t="s">
        <v>34</v>
      </c>
      <c r="L220" s="3"/>
      <c r="M220" s="3" t="s">
        <v>35</v>
      </c>
      <c r="N220" s="3" t="str">
        <f>CONCATENATE("FBBDVD50E12F570G")</f>
        <v>FBBDVD50E12F570G</v>
      </c>
      <c r="O220" s="3" t="s">
        <v>314</v>
      </c>
      <c r="P220" s="3" t="s">
        <v>37</v>
      </c>
      <c r="Q220" s="3"/>
      <c r="R220" s="4">
        <v>46058</v>
      </c>
      <c r="S220" s="3" t="s">
        <v>38</v>
      </c>
      <c r="T220" s="3" t="s">
        <v>39</v>
      </c>
      <c r="U220" s="3" t="s">
        <v>40</v>
      </c>
      <c r="V220" s="5">
        <v>2586.5700000000002</v>
      </c>
      <c r="W220" s="5">
        <v>1099.29</v>
      </c>
      <c r="X220" s="5">
        <v>1041.0899999999999</v>
      </c>
      <c r="Y220" s="3">
        <v>446.19</v>
      </c>
    </row>
    <row r="221" spans="1:25" ht="36.75" x14ac:dyDescent="0.25">
      <c r="A221" s="3" t="s">
        <v>26</v>
      </c>
      <c r="B221" s="3" t="s">
        <v>27</v>
      </c>
      <c r="C221" s="3" t="s">
        <v>28</v>
      </c>
      <c r="D221" s="3" t="s">
        <v>171</v>
      </c>
      <c r="E221" s="3" t="s">
        <v>172</v>
      </c>
      <c r="F221" s="3" t="s">
        <v>171</v>
      </c>
      <c r="G221" s="3" t="s">
        <v>172</v>
      </c>
      <c r="H221" s="3" t="s">
        <v>68</v>
      </c>
      <c r="I221" s="3">
        <v>2025</v>
      </c>
      <c r="J221" s="3" t="str">
        <f>CONCATENATE("54820282645")</f>
        <v>54820282645</v>
      </c>
      <c r="K221" s="3" t="s">
        <v>34</v>
      </c>
      <c r="L221" s="3"/>
      <c r="M221" s="3" t="s">
        <v>35</v>
      </c>
      <c r="N221" s="3" t="str">
        <f>CONCATENATE("02512350444")</f>
        <v>02512350444</v>
      </c>
      <c r="O221" s="3" t="s">
        <v>315</v>
      </c>
      <c r="P221" s="3" t="s">
        <v>37</v>
      </c>
      <c r="Q221" s="3"/>
      <c r="R221" s="4">
        <v>46058</v>
      </c>
      <c r="S221" s="3" t="s">
        <v>38</v>
      </c>
      <c r="T221" s="3" t="s">
        <v>39</v>
      </c>
      <c r="U221" s="3" t="s">
        <v>40</v>
      </c>
      <c r="V221" s="5">
        <v>7798.9</v>
      </c>
      <c r="W221" s="5">
        <v>3314.53</v>
      </c>
      <c r="X221" s="5">
        <v>3139.06</v>
      </c>
      <c r="Y221" s="5">
        <v>1345.31</v>
      </c>
    </row>
    <row r="222" spans="1:25" ht="72.75" x14ac:dyDescent="0.25">
      <c r="A222" s="3" t="s">
        <v>26</v>
      </c>
      <c r="B222" s="3" t="s">
        <v>27</v>
      </c>
      <c r="C222" s="3" t="s">
        <v>28</v>
      </c>
      <c r="D222" s="3" t="s">
        <v>62</v>
      </c>
      <c r="E222" s="3" t="s">
        <v>126</v>
      </c>
      <c r="F222" s="3" t="s">
        <v>64</v>
      </c>
      <c r="G222" s="3" t="s">
        <v>126</v>
      </c>
      <c r="H222" s="3" t="s">
        <v>43</v>
      </c>
      <c r="I222" s="3">
        <v>2025</v>
      </c>
      <c r="J222" s="3" t="str">
        <f>CONCATENATE("54820017934")</f>
        <v>54820017934</v>
      </c>
      <c r="K222" s="3" t="s">
        <v>34</v>
      </c>
      <c r="L222" s="3"/>
      <c r="M222" s="3" t="s">
        <v>35</v>
      </c>
      <c r="N222" s="3" t="str">
        <f>CONCATENATE("TRNFMS58A31M078A")</f>
        <v>TRNFMS58A31M078A</v>
      </c>
      <c r="O222" s="3" t="s">
        <v>316</v>
      </c>
      <c r="P222" s="3" t="s">
        <v>37</v>
      </c>
      <c r="Q222" s="3"/>
      <c r="R222" s="4">
        <v>46058</v>
      </c>
      <c r="S222" s="3" t="s">
        <v>38</v>
      </c>
      <c r="T222" s="3" t="s">
        <v>39</v>
      </c>
      <c r="U222" s="3" t="s">
        <v>40</v>
      </c>
      <c r="V222" s="5">
        <v>8437.36</v>
      </c>
      <c r="W222" s="5">
        <v>3585.88</v>
      </c>
      <c r="X222" s="5">
        <v>3396.04</v>
      </c>
      <c r="Y222" s="5">
        <v>1455.44</v>
      </c>
    </row>
    <row r="223" spans="1:25" ht="60.75" x14ac:dyDescent="0.25">
      <c r="A223" s="3" t="s">
        <v>26</v>
      </c>
      <c r="B223" s="3" t="s">
        <v>27</v>
      </c>
      <c r="C223" s="3" t="s">
        <v>28</v>
      </c>
      <c r="D223" s="3" t="s">
        <v>45</v>
      </c>
      <c r="E223" s="3" t="s">
        <v>214</v>
      </c>
      <c r="F223" s="3" t="s">
        <v>47</v>
      </c>
      <c r="G223" s="3" t="s">
        <v>214</v>
      </c>
      <c r="H223" s="3" t="s">
        <v>68</v>
      </c>
      <c r="I223" s="3">
        <v>2025</v>
      </c>
      <c r="J223" s="3" t="str">
        <f>CONCATENATE("54820067764")</f>
        <v>54820067764</v>
      </c>
      <c r="K223" s="3" t="s">
        <v>34</v>
      </c>
      <c r="L223" s="3"/>
      <c r="M223" s="3" t="s">
        <v>35</v>
      </c>
      <c r="N223" s="3" t="str">
        <f>CONCATENATE("DGSNNT57H45A044P")</f>
        <v>DGSNNT57H45A044P</v>
      </c>
      <c r="O223" s="3" t="s">
        <v>317</v>
      </c>
      <c r="P223" s="3" t="s">
        <v>37</v>
      </c>
      <c r="Q223" s="3"/>
      <c r="R223" s="4">
        <v>46058</v>
      </c>
      <c r="S223" s="3" t="s">
        <v>38</v>
      </c>
      <c r="T223" s="3" t="s">
        <v>39</v>
      </c>
      <c r="U223" s="3" t="s">
        <v>40</v>
      </c>
      <c r="V223" s="3">
        <v>30.94</v>
      </c>
      <c r="W223" s="3">
        <v>13.15</v>
      </c>
      <c r="X223" s="3">
        <v>12.45</v>
      </c>
      <c r="Y223" s="3">
        <v>5.34</v>
      </c>
    </row>
    <row r="224" spans="1:25" ht="60.75" x14ac:dyDescent="0.25">
      <c r="A224" s="3" t="s">
        <v>26</v>
      </c>
      <c r="B224" s="3" t="s">
        <v>27</v>
      </c>
      <c r="C224" s="3" t="s">
        <v>28</v>
      </c>
      <c r="D224" s="3" t="s">
        <v>41</v>
      </c>
      <c r="E224" s="3" t="s">
        <v>32</v>
      </c>
      <c r="F224" s="3" t="s">
        <v>31</v>
      </c>
      <c r="G224" s="3" t="s">
        <v>32</v>
      </c>
      <c r="H224" s="3" t="s">
        <v>33</v>
      </c>
      <c r="I224" s="3">
        <v>2025</v>
      </c>
      <c r="J224" s="3" t="str">
        <f>CONCATENATE("54820041926")</f>
        <v>54820041926</v>
      </c>
      <c r="K224" s="3" t="s">
        <v>34</v>
      </c>
      <c r="L224" s="3"/>
      <c r="M224" s="3" t="s">
        <v>35</v>
      </c>
      <c r="N224" s="3" t="str">
        <f>CONCATENATE("BLDSMN88L09D451G")</f>
        <v>BLDSMN88L09D451G</v>
      </c>
      <c r="O224" s="3" t="s">
        <v>318</v>
      </c>
      <c r="P224" s="3" t="s">
        <v>37</v>
      </c>
      <c r="Q224" s="3"/>
      <c r="R224" s="4">
        <v>46058</v>
      </c>
      <c r="S224" s="3" t="s">
        <v>38</v>
      </c>
      <c r="T224" s="3" t="s">
        <v>39</v>
      </c>
      <c r="U224" s="3" t="s">
        <v>40</v>
      </c>
      <c r="V224" s="5">
        <v>3864.8</v>
      </c>
      <c r="W224" s="5">
        <v>1642.54</v>
      </c>
      <c r="X224" s="5">
        <v>1555.58</v>
      </c>
      <c r="Y224" s="3">
        <v>666.68</v>
      </c>
    </row>
    <row r="225" spans="1:25" ht="60.75" x14ac:dyDescent="0.25">
      <c r="A225" s="3" t="s">
        <v>26</v>
      </c>
      <c r="B225" s="3" t="s">
        <v>27</v>
      </c>
      <c r="C225" s="3" t="s">
        <v>28</v>
      </c>
      <c r="D225" s="3" t="s">
        <v>45</v>
      </c>
      <c r="E225" s="3" t="s">
        <v>319</v>
      </c>
      <c r="F225" s="3" t="s">
        <v>47</v>
      </c>
      <c r="G225" s="3" t="s">
        <v>319</v>
      </c>
      <c r="H225" s="3" t="s">
        <v>43</v>
      </c>
      <c r="I225" s="3">
        <v>2025</v>
      </c>
      <c r="J225" s="3" t="str">
        <f>CONCATENATE("54820047204")</f>
        <v>54820047204</v>
      </c>
      <c r="K225" s="3" t="s">
        <v>34</v>
      </c>
      <c r="L225" s="3"/>
      <c r="M225" s="3" t="s">
        <v>35</v>
      </c>
      <c r="N225" s="3" t="str">
        <f>CONCATENATE("QCQLFR48P16I651P")</f>
        <v>QCQLFR48P16I651P</v>
      </c>
      <c r="O225" s="3" t="s">
        <v>320</v>
      </c>
      <c r="P225" s="3" t="s">
        <v>37</v>
      </c>
      <c r="Q225" s="3"/>
      <c r="R225" s="4">
        <v>46058</v>
      </c>
      <c r="S225" s="3" t="s">
        <v>38</v>
      </c>
      <c r="T225" s="3" t="s">
        <v>39</v>
      </c>
      <c r="U225" s="3" t="s">
        <v>40</v>
      </c>
      <c r="V225" s="5">
        <v>3626.12</v>
      </c>
      <c r="W225" s="5">
        <v>1541.1</v>
      </c>
      <c r="X225" s="5">
        <v>1459.51</v>
      </c>
      <c r="Y225" s="3">
        <v>625.51</v>
      </c>
    </row>
    <row r="226" spans="1:25" ht="60.75" x14ac:dyDescent="0.25">
      <c r="A226" s="3" t="s">
        <v>26</v>
      </c>
      <c r="B226" s="3" t="s">
        <v>27</v>
      </c>
      <c r="C226" s="3" t="s">
        <v>28</v>
      </c>
      <c r="D226" s="3" t="s">
        <v>41</v>
      </c>
      <c r="E226" s="3" t="s">
        <v>74</v>
      </c>
      <c r="F226" s="3" t="s">
        <v>31</v>
      </c>
      <c r="G226" s="3" t="s">
        <v>74</v>
      </c>
      <c r="H226" s="3" t="s">
        <v>33</v>
      </c>
      <c r="I226" s="3">
        <v>2025</v>
      </c>
      <c r="J226" s="3" t="str">
        <f>CONCATENATE("54820067806")</f>
        <v>54820067806</v>
      </c>
      <c r="K226" s="3" t="s">
        <v>34</v>
      </c>
      <c r="L226" s="3"/>
      <c r="M226" s="3" t="s">
        <v>35</v>
      </c>
      <c r="N226" s="3" t="str">
        <f>CONCATENATE("FNCGUO40D08I461V")</f>
        <v>FNCGUO40D08I461V</v>
      </c>
      <c r="O226" s="3" t="s">
        <v>321</v>
      </c>
      <c r="P226" s="3" t="s">
        <v>37</v>
      </c>
      <c r="Q226" s="3"/>
      <c r="R226" s="4">
        <v>46058</v>
      </c>
      <c r="S226" s="3" t="s">
        <v>38</v>
      </c>
      <c r="T226" s="3" t="s">
        <v>39</v>
      </c>
      <c r="U226" s="3" t="s">
        <v>40</v>
      </c>
      <c r="V226" s="3">
        <v>151.72999999999999</v>
      </c>
      <c r="W226" s="3">
        <v>64.489999999999995</v>
      </c>
      <c r="X226" s="3">
        <v>61.07</v>
      </c>
      <c r="Y226" s="3">
        <v>26.17</v>
      </c>
    </row>
    <row r="227" spans="1:25" ht="72.75" x14ac:dyDescent="0.25">
      <c r="A227" s="3" t="s">
        <v>26</v>
      </c>
      <c r="B227" s="3" t="s">
        <v>27</v>
      </c>
      <c r="C227" s="3" t="s">
        <v>28</v>
      </c>
      <c r="D227" s="3" t="s">
        <v>41</v>
      </c>
      <c r="E227" s="3" t="s">
        <v>53</v>
      </c>
      <c r="F227" s="3" t="s">
        <v>31</v>
      </c>
      <c r="G227" s="3" t="s">
        <v>53</v>
      </c>
      <c r="H227" s="3" t="s">
        <v>51</v>
      </c>
      <c r="I227" s="3">
        <v>2025</v>
      </c>
      <c r="J227" s="3" t="str">
        <f>CONCATENATE("54820033998")</f>
        <v>54820033998</v>
      </c>
      <c r="K227" s="3" t="s">
        <v>34</v>
      </c>
      <c r="L227" s="3"/>
      <c r="M227" s="3" t="s">
        <v>35</v>
      </c>
      <c r="N227" s="3" t="str">
        <f>CONCATENATE("CRBNNL68A57D749B")</f>
        <v>CRBNNL68A57D749B</v>
      </c>
      <c r="O227" s="3" t="s">
        <v>322</v>
      </c>
      <c r="P227" s="3" t="s">
        <v>37</v>
      </c>
      <c r="Q227" s="3"/>
      <c r="R227" s="4">
        <v>46058</v>
      </c>
      <c r="S227" s="3" t="s">
        <v>38</v>
      </c>
      <c r="T227" s="3" t="s">
        <v>39</v>
      </c>
      <c r="U227" s="3" t="s">
        <v>40</v>
      </c>
      <c r="V227" s="5">
        <v>2412.23</v>
      </c>
      <c r="W227" s="5">
        <v>1025.2</v>
      </c>
      <c r="X227" s="3">
        <v>970.92</v>
      </c>
      <c r="Y227" s="3">
        <v>416.11</v>
      </c>
    </row>
    <row r="228" spans="1:25" ht="60.75" x14ac:dyDescent="0.25">
      <c r="A228" s="3" t="s">
        <v>26</v>
      </c>
      <c r="B228" s="3" t="s">
        <v>27</v>
      </c>
      <c r="C228" s="3" t="s">
        <v>28</v>
      </c>
      <c r="D228" s="3" t="s">
        <v>41</v>
      </c>
      <c r="E228" s="3" t="s">
        <v>53</v>
      </c>
      <c r="F228" s="3" t="s">
        <v>31</v>
      </c>
      <c r="G228" s="3" t="s">
        <v>53</v>
      </c>
      <c r="H228" s="3" t="s">
        <v>51</v>
      </c>
      <c r="I228" s="3">
        <v>2025</v>
      </c>
      <c r="J228" s="3" t="str">
        <f>CONCATENATE("54820105770")</f>
        <v>54820105770</v>
      </c>
      <c r="K228" s="3" t="s">
        <v>34</v>
      </c>
      <c r="L228" s="3"/>
      <c r="M228" s="3" t="s">
        <v>35</v>
      </c>
      <c r="N228" s="3" t="str">
        <f>CONCATENATE("CMSTNN53P02D749U")</f>
        <v>CMSTNN53P02D749U</v>
      </c>
      <c r="O228" s="3" t="s">
        <v>323</v>
      </c>
      <c r="P228" s="3" t="s">
        <v>37</v>
      </c>
      <c r="Q228" s="3"/>
      <c r="R228" s="4">
        <v>46058</v>
      </c>
      <c r="S228" s="3" t="s">
        <v>38</v>
      </c>
      <c r="T228" s="3" t="s">
        <v>39</v>
      </c>
      <c r="U228" s="3" t="s">
        <v>40</v>
      </c>
      <c r="V228" s="3">
        <v>327.26</v>
      </c>
      <c r="W228" s="3">
        <v>139.09</v>
      </c>
      <c r="X228" s="3">
        <v>131.72</v>
      </c>
      <c r="Y228" s="3">
        <v>56.45</v>
      </c>
    </row>
    <row r="229" spans="1:25" ht="72.75" x14ac:dyDescent="0.25">
      <c r="A229" s="3" t="s">
        <v>26</v>
      </c>
      <c r="B229" s="3" t="s">
        <v>27</v>
      </c>
      <c r="C229" s="3" t="s">
        <v>28</v>
      </c>
      <c r="D229" s="3" t="s">
        <v>41</v>
      </c>
      <c r="E229" s="3" t="s">
        <v>49</v>
      </c>
      <c r="F229" s="3" t="s">
        <v>31</v>
      </c>
      <c r="G229" s="3" t="s">
        <v>49</v>
      </c>
      <c r="H229" s="3" t="s">
        <v>51</v>
      </c>
      <c r="I229" s="3">
        <v>2025</v>
      </c>
      <c r="J229" s="3" t="str">
        <f>CONCATENATE("54820082813")</f>
        <v>54820082813</v>
      </c>
      <c r="K229" s="3" t="s">
        <v>34</v>
      </c>
      <c r="L229" s="3"/>
      <c r="M229" s="3" t="s">
        <v>35</v>
      </c>
      <c r="N229" s="3" t="str">
        <f>CONCATENATE("DLRRRT51B06G479M")</f>
        <v>DLRRRT51B06G479M</v>
      </c>
      <c r="O229" s="3" t="s">
        <v>324</v>
      </c>
      <c r="P229" s="3" t="s">
        <v>37</v>
      </c>
      <c r="Q229" s="3"/>
      <c r="R229" s="4">
        <v>46058</v>
      </c>
      <c r="S229" s="3" t="s">
        <v>38</v>
      </c>
      <c r="T229" s="3" t="s">
        <v>39</v>
      </c>
      <c r="U229" s="3" t="s">
        <v>40</v>
      </c>
      <c r="V229" s="5">
        <v>1105.54</v>
      </c>
      <c r="W229" s="3">
        <v>469.85</v>
      </c>
      <c r="X229" s="3">
        <v>444.98</v>
      </c>
      <c r="Y229" s="3">
        <v>190.71</v>
      </c>
    </row>
    <row r="230" spans="1:25" ht="72.75" x14ac:dyDescent="0.25">
      <c r="A230" s="3" t="s">
        <v>26</v>
      </c>
      <c r="B230" s="3" t="s">
        <v>27</v>
      </c>
      <c r="C230" s="3" t="s">
        <v>28</v>
      </c>
      <c r="D230" s="3" t="s">
        <v>45</v>
      </c>
      <c r="E230" s="3" t="s">
        <v>214</v>
      </c>
      <c r="F230" s="3" t="s">
        <v>47</v>
      </c>
      <c r="G230" s="3" t="s">
        <v>214</v>
      </c>
      <c r="H230" s="3" t="s">
        <v>68</v>
      </c>
      <c r="I230" s="3">
        <v>2025</v>
      </c>
      <c r="J230" s="3" t="str">
        <f>CONCATENATE("54820068549")</f>
        <v>54820068549</v>
      </c>
      <c r="K230" s="3" t="s">
        <v>34</v>
      </c>
      <c r="L230" s="3"/>
      <c r="M230" s="3" t="s">
        <v>35</v>
      </c>
      <c r="N230" s="3" t="str">
        <f>CONCATENATE("GDESRG75A23A462H")</f>
        <v>GDESRG75A23A462H</v>
      </c>
      <c r="O230" s="3" t="s">
        <v>325</v>
      </c>
      <c r="P230" s="3" t="s">
        <v>37</v>
      </c>
      <c r="Q230" s="3"/>
      <c r="R230" s="4">
        <v>46058</v>
      </c>
      <c r="S230" s="3" t="s">
        <v>38</v>
      </c>
      <c r="T230" s="3" t="s">
        <v>39</v>
      </c>
      <c r="U230" s="3" t="s">
        <v>40</v>
      </c>
      <c r="V230" s="5">
        <v>4971.8999999999996</v>
      </c>
      <c r="W230" s="5">
        <v>2113.06</v>
      </c>
      <c r="X230" s="5">
        <v>2001.19</v>
      </c>
      <c r="Y230" s="3">
        <v>857.65</v>
      </c>
    </row>
    <row r="231" spans="1:25" ht="60.75" x14ac:dyDescent="0.25">
      <c r="A231" s="3" t="s">
        <v>26</v>
      </c>
      <c r="B231" s="3" t="s">
        <v>27</v>
      </c>
      <c r="C231" s="3" t="s">
        <v>28</v>
      </c>
      <c r="D231" s="3" t="s">
        <v>41</v>
      </c>
      <c r="E231" s="3" t="s">
        <v>57</v>
      </c>
      <c r="F231" s="3" t="s">
        <v>31</v>
      </c>
      <c r="G231" s="3" t="s">
        <v>57</v>
      </c>
      <c r="H231" s="3" t="s">
        <v>51</v>
      </c>
      <c r="I231" s="3">
        <v>2025</v>
      </c>
      <c r="J231" s="3" t="str">
        <f>CONCATENATE("54820114012")</f>
        <v>54820114012</v>
      </c>
      <c r="K231" s="3" t="s">
        <v>34</v>
      </c>
      <c r="L231" s="3"/>
      <c r="M231" s="3" t="s">
        <v>35</v>
      </c>
      <c r="N231" s="3" t="str">
        <f>CONCATENATE("FLCMHL74A30E785H")</f>
        <v>FLCMHL74A30E785H</v>
      </c>
      <c r="O231" s="3" t="s">
        <v>326</v>
      </c>
      <c r="P231" s="3" t="s">
        <v>37</v>
      </c>
      <c r="Q231" s="3"/>
      <c r="R231" s="4">
        <v>46058</v>
      </c>
      <c r="S231" s="3" t="s">
        <v>38</v>
      </c>
      <c r="T231" s="3" t="s">
        <v>39</v>
      </c>
      <c r="U231" s="3" t="s">
        <v>40</v>
      </c>
      <c r="V231" s="5">
        <v>1117.31</v>
      </c>
      <c r="W231" s="3">
        <v>474.86</v>
      </c>
      <c r="X231" s="3">
        <v>449.72</v>
      </c>
      <c r="Y231" s="3">
        <v>192.73</v>
      </c>
    </row>
    <row r="232" spans="1:25" ht="60.75" x14ac:dyDescent="0.25">
      <c r="A232" s="3" t="s">
        <v>26</v>
      </c>
      <c r="B232" s="3" t="s">
        <v>27</v>
      </c>
      <c r="C232" s="3" t="s">
        <v>28</v>
      </c>
      <c r="D232" s="3" t="s">
        <v>41</v>
      </c>
      <c r="E232" s="3" t="s">
        <v>32</v>
      </c>
      <c r="F232" s="3" t="s">
        <v>31</v>
      </c>
      <c r="G232" s="3" t="s">
        <v>32</v>
      </c>
      <c r="H232" s="3" t="s">
        <v>33</v>
      </c>
      <c r="I232" s="3">
        <v>2025</v>
      </c>
      <c r="J232" s="3" t="str">
        <f>CONCATENATE("54820117569")</f>
        <v>54820117569</v>
      </c>
      <c r="K232" s="3" t="s">
        <v>34</v>
      </c>
      <c r="L232" s="3"/>
      <c r="M232" s="3" t="s">
        <v>35</v>
      </c>
      <c r="N232" s="3" t="str">
        <f>CONCATENATE("TMPFNC60P18D451H")</f>
        <v>TMPFNC60P18D451H</v>
      </c>
      <c r="O232" s="3" t="s">
        <v>327</v>
      </c>
      <c r="P232" s="3" t="s">
        <v>37</v>
      </c>
      <c r="Q232" s="3"/>
      <c r="R232" s="4">
        <v>46058</v>
      </c>
      <c r="S232" s="3" t="s">
        <v>38</v>
      </c>
      <c r="T232" s="3" t="s">
        <v>39</v>
      </c>
      <c r="U232" s="3" t="s">
        <v>40</v>
      </c>
      <c r="V232" s="3">
        <v>713.96</v>
      </c>
      <c r="W232" s="3">
        <v>303.43</v>
      </c>
      <c r="X232" s="3">
        <v>287.37</v>
      </c>
      <c r="Y232" s="3">
        <v>123.16</v>
      </c>
    </row>
    <row r="233" spans="1:25" ht="36.75" x14ac:dyDescent="0.25">
      <c r="A233" s="3" t="s">
        <v>26</v>
      </c>
      <c r="B233" s="3" t="s">
        <v>27</v>
      </c>
      <c r="C233" s="3" t="s">
        <v>28</v>
      </c>
      <c r="D233" s="3" t="s">
        <v>45</v>
      </c>
      <c r="E233" s="3" t="s">
        <v>86</v>
      </c>
      <c r="F233" s="3" t="s">
        <v>47</v>
      </c>
      <c r="G233" s="3" t="s">
        <v>86</v>
      </c>
      <c r="H233" s="3" t="s">
        <v>51</v>
      </c>
      <c r="I233" s="3">
        <v>2025</v>
      </c>
      <c r="J233" s="3" t="str">
        <f>CONCATENATE("54820178314")</f>
        <v>54820178314</v>
      </c>
      <c r="K233" s="3" t="s">
        <v>34</v>
      </c>
      <c r="L233" s="3"/>
      <c r="M233" s="3" t="s">
        <v>35</v>
      </c>
      <c r="N233" s="3" t="str">
        <f>CONCATENATE("02393300419")</f>
        <v>02393300419</v>
      </c>
      <c r="O233" s="3" t="s">
        <v>328</v>
      </c>
      <c r="P233" s="3" t="s">
        <v>37</v>
      </c>
      <c r="Q233" s="3"/>
      <c r="R233" s="4">
        <v>46058</v>
      </c>
      <c r="S233" s="3" t="s">
        <v>38</v>
      </c>
      <c r="T233" s="3" t="s">
        <v>39</v>
      </c>
      <c r="U233" s="3" t="s">
        <v>40</v>
      </c>
      <c r="V233" s="5">
        <v>8435.2000000000007</v>
      </c>
      <c r="W233" s="5">
        <v>3584.96</v>
      </c>
      <c r="X233" s="5">
        <v>3395.17</v>
      </c>
      <c r="Y233" s="5">
        <v>1455.07</v>
      </c>
    </row>
    <row r="234" spans="1:25" ht="60.75" x14ac:dyDescent="0.25">
      <c r="A234" s="3" t="s">
        <v>26</v>
      </c>
      <c r="B234" s="3" t="s">
        <v>27</v>
      </c>
      <c r="C234" s="3" t="s">
        <v>28</v>
      </c>
      <c r="D234" s="3" t="s">
        <v>41</v>
      </c>
      <c r="E234" s="3" t="s">
        <v>49</v>
      </c>
      <c r="F234" s="3" t="s">
        <v>31</v>
      </c>
      <c r="G234" s="3" t="s">
        <v>49</v>
      </c>
      <c r="H234" s="3" t="s">
        <v>51</v>
      </c>
      <c r="I234" s="3">
        <v>2025</v>
      </c>
      <c r="J234" s="3" t="str">
        <f>CONCATENATE("54820185384")</f>
        <v>54820185384</v>
      </c>
      <c r="K234" s="3" t="s">
        <v>34</v>
      </c>
      <c r="L234" s="3"/>
      <c r="M234" s="3" t="s">
        <v>35</v>
      </c>
      <c r="N234" s="3" t="str">
        <f>CONCATENATE("TRVGPP74L22E256W")</f>
        <v>TRVGPP74L22E256W</v>
      </c>
      <c r="O234" s="3" t="s">
        <v>329</v>
      </c>
      <c r="P234" s="3" t="s">
        <v>37</v>
      </c>
      <c r="Q234" s="3"/>
      <c r="R234" s="4">
        <v>46058</v>
      </c>
      <c r="S234" s="3" t="s">
        <v>38</v>
      </c>
      <c r="T234" s="3" t="s">
        <v>39</v>
      </c>
      <c r="U234" s="3" t="s">
        <v>40</v>
      </c>
      <c r="V234" s="3">
        <v>22.85</v>
      </c>
      <c r="W234" s="3">
        <v>9.7100000000000009</v>
      </c>
      <c r="X234" s="3">
        <v>9.1999999999999993</v>
      </c>
      <c r="Y234" s="3">
        <v>3.94</v>
      </c>
    </row>
    <row r="235" spans="1:25" ht="36.75" x14ac:dyDescent="0.25">
      <c r="A235" s="3" t="s">
        <v>26</v>
      </c>
      <c r="B235" s="3" t="s">
        <v>27</v>
      </c>
      <c r="C235" s="3" t="s">
        <v>28</v>
      </c>
      <c r="D235" s="3" t="s">
        <v>128</v>
      </c>
      <c r="E235" s="3" t="s">
        <v>129</v>
      </c>
      <c r="F235" s="3" t="s">
        <v>130</v>
      </c>
      <c r="G235" s="3" t="s">
        <v>129</v>
      </c>
      <c r="H235" s="3" t="s">
        <v>68</v>
      </c>
      <c r="I235" s="3">
        <v>2025</v>
      </c>
      <c r="J235" s="3" t="str">
        <f>CONCATENATE("54820132204")</f>
        <v>54820132204</v>
      </c>
      <c r="K235" s="3" t="s">
        <v>34</v>
      </c>
      <c r="L235" s="3"/>
      <c r="M235" s="3" t="s">
        <v>35</v>
      </c>
      <c r="N235" s="3" t="str">
        <f>CONCATENATE("00486650443")</f>
        <v>00486650443</v>
      </c>
      <c r="O235" s="3" t="s">
        <v>330</v>
      </c>
      <c r="P235" s="3" t="s">
        <v>37</v>
      </c>
      <c r="Q235" s="3"/>
      <c r="R235" s="4">
        <v>46058</v>
      </c>
      <c r="S235" s="3" t="s">
        <v>38</v>
      </c>
      <c r="T235" s="3" t="s">
        <v>39</v>
      </c>
      <c r="U235" s="3" t="s">
        <v>40</v>
      </c>
      <c r="V235" s="5">
        <v>6793.03</v>
      </c>
      <c r="W235" s="5">
        <v>2887.04</v>
      </c>
      <c r="X235" s="5">
        <v>2734.19</v>
      </c>
      <c r="Y235" s="5">
        <v>1171.8</v>
      </c>
    </row>
    <row r="236" spans="1:25" ht="60.75" x14ac:dyDescent="0.25">
      <c r="A236" s="3" t="s">
        <v>26</v>
      </c>
      <c r="B236" s="3" t="s">
        <v>27</v>
      </c>
      <c r="C236" s="3" t="s">
        <v>28</v>
      </c>
      <c r="D236" s="3" t="s">
        <v>45</v>
      </c>
      <c r="E236" s="3" t="s">
        <v>91</v>
      </c>
      <c r="F236" s="3" t="s">
        <v>47</v>
      </c>
      <c r="G236" s="3" t="s">
        <v>91</v>
      </c>
      <c r="H236" s="3" t="s">
        <v>51</v>
      </c>
      <c r="I236" s="3">
        <v>2025</v>
      </c>
      <c r="J236" s="3" t="str">
        <f>CONCATENATE("54820369699")</f>
        <v>54820369699</v>
      </c>
      <c r="K236" s="3" t="s">
        <v>34</v>
      </c>
      <c r="L236" s="3"/>
      <c r="M236" s="3" t="s">
        <v>35</v>
      </c>
      <c r="N236" s="3" t="str">
        <f>CONCATENATE("NCCDVD83H10I459X")</f>
        <v>NCCDVD83H10I459X</v>
      </c>
      <c r="O236" s="3" t="s">
        <v>331</v>
      </c>
      <c r="P236" s="3" t="s">
        <v>37</v>
      </c>
      <c r="Q236" s="3"/>
      <c r="R236" s="4">
        <v>46058</v>
      </c>
      <c r="S236" s="3" t="s">
        <v>38</v>
      </c>
      <c r="T236" s="3" t="s">
        <v>39</v>
      </c>
      <c r="U236" s="3" t="s">
        <v>40</v>
      </c>
      <c r="V236" s="5">
        <v>3309.01</v>
      </c>
      <c r="W236" s="5">
        <v>1406.33</v>
      </c>
      <c r="X236" s="5">
        <v>1331.88</v>
      </c>
      <c r="Y236" s="3">
        <v>570.79999999999995</v>
      </c>
    </row>
    <row r="237" spans="1:25" ht="36.75" x14ac:dyDescent="0.25">
      <c r="A237" s="3" t="s">
        <v>26</v>
      </c>
      <c r="B237" s="3" t="s">
        <v>27</v>
      </c>
      <c r="C237" s="3" t="s">
        <v>28</v>
      </c>
      <c r="D237" s="3" t="s">
        <v>62</v>
      </c>
      <c r="E237" s="3" t="s">
        <v>126</v>
      </c>
      <c r="F237" s="3" t="s">
        <v>64</v>
      </c>
      <c r="G237" s="3" t="s">
        <v>126</v>
      </c>
      <c r="H237" s="3" t="s">
        <v>51</v>
      </c>
      <c r="I237" s="3">
        <v>2025</v>
      </c>
      <c r="J237" s="3" t="str">
        <f>CONCATENATE("54820130588")</f>
        <v>54820130588</v>
      </c>
      <c r="K237" s="3" t="s">
        <v>34</v>
      </c>
      <c r="L237" s="3"/>
      <c r="M237" s="3" t="s">
        <v>35</v>
      </c>
      <c r="N237" s="3" t="str">
        <f>CONCATENATE("02629240413")</f>
        <v>02629240413</v>
      </c>
      <c r="O237" s="3" t="s">
        <v>332</v>
      </c>
      <c r="P237" s="3" t="s">
        <v>37</v>
      </c>
      <c r="Q237" s="3"/>
      <c r="R237" s="4">
        <v>46058</v>
      </c>
      <c r="S237" s="3" t="s">
        <v>38</v>
      </c>
      <c r="T237" s="3" t="s">
        <v>39</v>
      </c>
      <c r="U237" s="3" t="s">
        <v>40</v>
      </c>
      <c r="V237" s="3">
        <v>16.260000000000002</v>
      </c>
      <c r="W237" s="3">
        <v>6.91</v>
      </c>
      <c r="X237" s="3">
        <v>6.54</v>
      </c>
      <c r="Y237" s="3">
        <v>2.81</v>
      </c>
    </row>
    <row r="238" spans="1:25" ht="72.75" x14ac:dyDescent="0.25">
      <c r="A238" s="3" t="s">
        <v>26</v>
      </c>
      <c r="B238" s="3" t="s">
        <v>27</v>
      </c>
      <c r="C238" s="3" t="s">
        <v>28</v>
      </c>
      <c r="D238" s="3" t="s">
        <v>62</v>
      </c>
      <c r="E238" s="3" t="s">
        <v>79</v>
      </c>
      <c r="F238" s="3" t="s">
        <v>64</v>
      </c>
      <c r="G238" s="3" t="s">
        <v>79</v>
      </c>
      <c r="H238" s="3" t="s">
        <v>43</v>
      </c>
      <c r="I238" s="3">
        <v>2025</v>
      </c>
      <c r="J238" s="3" t="str">
        <f>CONCATENATE("54820061510")</f>
        <v>54820061510</v>
      </c>
      <c r="K238" s="3" t="s">
        <v>34</v>
      </c>
      <c r="L238" s="3"/>
      <c r="M238" s="3" t="s">
        <v>35</v>
      </c>
      <c r="N238" s="3" t="str">
        <f>CONCATENATE("MGGNZR49E24I661D")</f>
        <v>MGGNZR49E24I661D</v>
      </c>
      <c r="O238" s="3" t="s">
        <v>333</v>
      </c>
      <c r="P238" s="3" t="s">
        <v>37</v>
      </c>
      <c r="Q238" s="3"/>
      <c r="R238" s="4">
        <v>46058</v>
      </c>
      <c r="S238" s="3" t="s">
        <v>38</v>
      </c>
      <c r="T238" s="3" t="s">
        <v>39</v>
      </c>
      <c r="U238" s="3" t="s">
        <v>40</v>
      </c>
      <c r="V238" s="5">
        <v>8385.09</v>
      </c>
      <c r="W238" s="5">
        <v>3563.66</v>
      </c>
      <c r="X238" s="5">
        <v>3375</v>
      </c>
      <c r="Y238" s="5">
        <v>1446.43</v>
      </c>
    </row>
    <row r="239" spans="1:25" ht="60.75" x14ac:dyDescent="0.25">
      <c r="A239" s="3" t="s">
        <v>26</v>
      </c>
      <c r="B239" s="3" t="s">
        <v>27</v>
      </c>
      <c r="C239" s="3" t="s">
        <v>28</v>
      </c>
      <c r="D239" s="3" t="s">
        <v>41</v>
      </c>
      <c r="E239" s="3" t="s">
        <v>74</v>
      </c>
      <c r="F239" s="3" t="s">
        <v>31</v>
      </c>
      <c r="G239" s="3" t="s">
        <v>74</v>
      </c>
      <c r="H239" s="3" t="s">
        <v>33</v>
      </c>
      <c r="I239" s="3">
        <v>2025</v>
      </c>
      <c r="J239" s="3" t="str">
        <f>CONCATENATE("54820096318")</f>
        <v>54820096318</v>
      </c>
      <c r="K239" s="3" t="s">
        <v>34</v>
      </c>
      <c r="L239" s="3"/>
      <c r="M239" s="3" t="s">
        <v>35</v>
      </c>
      <c r="N239" s="3" t="str">
        <f>CONCATENATE("CRLMCL53P05A366K")</f>
        <v>CRLMCL53P05A366K</v>
      </c>
      <c r="O239" s="3" t="s">
        <v>334</v>
      </c>
      <c r="P239" s="3" t="s">
        <v>37</v>
      </c>
      <c r="Q239" s="3"/>
      <c r="R239" s="4">
        <v>46058</v>
      </c>
      <c r="S239" s="3" t="s">
        <v>38</v>
      </c>
      <c r="T239" s="3" t="s">
        <v>39</v>
      </c>
      <c r="U239" s="3" t="s">
        <v>40</v>
      </c>
      <c r="V239" s="5">
        <v>1220.45</v>
      </c>
      <c r="W239" s="3">
        <v>518.69000000000005</v>
      </c>
      <c r="X239" s="3">
        <v>491.23</v>
      </c>
      <c r="Y239" s="3">
        <v>210.53</v>
      </c>
    </row>
    <row r="240" spans="1:25" ht="72.75" x14ac:dyDescent="0.25">
      <c r="A240" s="3" t="s">
        <v>26</v>
      </c>
      <c r="B240" s="3" t="s">
        <v>27</v>
      </c>
      <c r="C240" s="3" t="s">
        <v>28</v>
      </c>
      <c r="D240" s="3" t="s">
        <v>41</v>
      </c>
      <c r="E240" s="3" t="s">
        <v>74</v>
      </c>
      <c r="F240" s="3" t="s">
        <v>31</v>
      </c>
      <c r="G240" s="3" t="s">
        <v>74</v>
      </c>
      <c r="H240" s="3" t="s">
        <v>33</v>
      </c>
      <c r="I240" s="3">
        <v>2025</v>
      </c>
      <c r="J240" s="3" t="str">
        <f>CONCATENATE("54820068432")</f>
        <v>54820068432</v>
      </c>
      <c r="K240" s="3" t="s">
        <v>34</v>
      </c>
      <c r="L240" s="3"/>
      <c r="M240" s="3" t="s">
        <v>35</v>
      </c>
      <c r="N240" s="3" t="str">
        <f>CONCATENATE("FRNLGU39M02D965W")</f>
        <v>FRNLGU39M02D965W</v>
      </c>
      <c r="O240" s="3" t="s">
        <v>335</v>
      </c>
      <c r="P240" s="3" t="s">
        <v>37</v>
      </c>
      <c r="Q240" s="3"/>
      <c r="R240" s="4">
        <v>46058</v>
      </c>
      <c r="S240" s="3" t="s">
        <v>38</v>
      </c>
      <c r="T240" s="3" t="s">
        <v>39</v>
      </c>
      <c r="U240" s="3" t="s">
        <v>40</v>
      </c>
      <c r="V240" s="3">
        <v>167.59</v>
      </c>
      <c r="W240" s="3">
        <v>71.23</v>
      </c>
      <c r="X240" s="3">
        <v>67.45</v>
      </c>
      <c r="Y240" s="3">
        <v>28.91</v>
      </c>
    </row>
    <row r="241" spans="1:25" ht="60.75" x14ac:dyDescent="0.25">
      <c r="A241" s="3" t="s">
        <v>26</v>
      </c>
      <c r="B241" s="3" t="s">
        <v>27</v>
      </c>
      <c r="C241" s="3" t="s">
        <v>28</v>
      </c>
      <c r="D241" s="3" t="s">
        <v>41</v>
      </c>
      <c r="E241" s="3" t="s">
        <v>57</v>
      </c>
      <c r="F241" s="3" t="s">
        <v>31</v>
      </c>
      <c r="G241" s="3" t="s">
        <v>57</v>
      </c>
      <c r="H241" s="3" t="s">
        <v>51</v>
      </c>
      <c r="I241" s="3">
        <v>2025</v>
      </c>
      <c r="J241" s="3" t="str">
        <f>CONCATENATE("54820088935")</f>
        <v>54820088935</v>
      </c>
      <c r="K241" s="3" t="s">
        <v>34</v>
      </c>
      <c r="L241" s="3"/>
      <c r="M241" s="3" t="s">
        <v>35</v>
      </c>
      <c r="N241" s="3" t="str">
        <f>CONCATENATE("BTTMRZ66B21L500W")</f>
        <v>BTTMRZ66B21L500W</v>
      </c>
      <c r="O241" s="3" t="s">
        <v>336</v>
      </c>
      <c r="P241" s="3" t="s">
        <v>37</v>
      </c>
      <c r="Q241" s="3"/>
      <c r="R241" s="4">
        <v>46058</v>
      </c>
      <c r="S241" s="3" t="s">
        <v>38</v>
      </c>
      <c r="T241" s="3" t="s">
        <v>39</v>
      </c>
      <c r="U241" s="3" t="s">
        <v>40</v>
      </c>
      <c r="V241" s="5">
        <v>3670.01</v>
      </c>
      <c r="W241" s="5">
        <v>1559.75</v>
      </c>
      <c r="X241" s="5">
        <v>1477.18</v>
      </c>
      <c r="Y241" s="3">
        <v>633.08000000000004</v>
      </c>
    </row>
    <row r="242" spans="1:25" ht="36.75" x14ac:dyDescent="0.25">
      <c r="A242" s="3" t="s">
        <v>26</v>
      </c>
      <c r="B242" s="3" t="s">
        <v>27</v>
      </c>
      <c r="C242" s="3" t="s">
        <v>28</v>
      </c>
      <c r="D242" s="3" t="s">
        <v>128</v>
      </c>
      <c r="E242" s="3" t="s">
        <v>179</v>
      </c>
      <c r="F242" s="3" t="s">
        <v>130</v>
      </c>
      <c r="G242" s="3" t="s">
        <v>179</v>
      </c>
      <c r="H242" s="3" t="s">
        <v>68</v>
      </c>
      <c r="I242" s="3">
        <v>2025</v>
      </c>
      <c r="J242" s="3" t="str">
        <f>CONCATENATE("54820106943")</f>
        <v>54820106943</v>
      </c>
      <c r="K242" s="3" t="s">
        <v>34</v>
      </c>
      <c r="L242" s="3"/>
      <c r="M242" s="3" t="s">
        <v>35</v>
      </c>
      <c r="N242" s="3" t="str">
        <f>CONCATENATE("01201270442")</f>
        <v>01201270442</v>
      </c>
      <c r="O242" s="3" t="s">
        <v>337</v>
      </c>
      <c r="P242" s="3" t="s">
        <v>37</v>
      </c>
      <c r="Q242" s="3"/>
      <c r="R242" s="4">
        <v>46058</v>
      </c>
      <c r="S242" s="3" t="s">
        <v>38</v>
      </c>
      <c r="T242" s="3" t="s">
        <v>39</v>
      </c>
      <c r="U242" s="3" t="s">
        <v>40</v>
      </c>
      <c r="V242" s="3">
        <v>14.75</v>
      </c>
      <c r="W242" s="3">
        <v>6.27</v>
      </c>
      <c r="X242" s="3">
        <v>5.94</v>
      </c>
      <c r="Y242" s="3">
        <v>2.54</v>
      </c>
    </row>
    <row r="243" spans="1:25" ht="60.75" x14ac:dyDescent="0.25">
      <c r="A243" s="3" t="s">
        <v>26</v>
      </c>
      <c r="B243" s="3" t="s">
        <v>27</v>
      </c>
      <c r="C243" s="3" t="s">
        <v>28</v>
      </c>
      <c r="D243" s="3" t="s">
        <v>41</v>
      </c>
      <c r="E243" s="3" t="s">
        <v>338</v>
      </c>
      <c r="F243" s="3" t="s">
        <v>31</v>
      </c>
      <c r="G243" s="3" t="s">
        <v>338</v>
      </c>
      <c r="H243" s="3" t="s">
        <v>33</v>
      </c>
      <c r="I243" s="3">
        <v>2025</v>
      </c>
      <c r="J243" s="3" t="str">
        <f>CONCATENATE("54820059530")</f>
        <v>54820059530</v>
      </c>
      <c r="K243" s="3" t="s">
        <v>34</v>
      </c>
      <c r="L243" s="3"/>
      <c r="M243" s="3" t="s">
        <v>35</v>
      </c>
      <c r="N243" s="3" t="str">
        <f>CONCATENATE("RGGMKI94T15D451R")</f>
        <v>RGGMKI94T15D451R</v>
      </c>
      <c r="O243" s="3" t="s">
        <v>339</v>
      </c>
      <c r="P243" s="3" t="s">
        <v>37</v>
      </c>
      <c r="Q243" s="3"/>
      <c r="R243" s="4">
        <v>46058</v>
      </c>
      <c r="S243" s="3" t="s">
        <v>38</v>
      </c>
      <c r="T243" s="3" t="s">
        <v>39</v>
      </c>
      <c r="U243" s="3" t="s">
        <v>40</v>
      </c>
      <c r="V243" s="5">
        <v>1705.74</v>
      </c>
      <c r="W243" s="3">
        <v>724.94</v>
      </c>
      <c r="X243" s="3">
        <v>686.56</v>
      </c>
      <c r="Y243" s="3">
        <v>294.24</v>
      </c>
    </row>
    <row r="244" spans="1:25" ht="36.75" x14ac:dyDescent="0.25">
      <c r="A244" s="3" t="s">
        <v>26</v>
      </c>
      <c r="B244" s="3" t="s">
        <v>27</v>
      </c>
      <c r="C244" s="3" t="s">
        <v>28</v>
      </c>
      <c r="D244" s="3" t="s">
        <v>41</v>
      </c>
      <c r="E244" s="3" t="s">
        <v>53</v>
      </c>
      <c r="F244" s="3" t="s">
        <v>31</v>
      </c>
      <c r="G244" s="3" t="s">
        <v>53</v>
      </c>
      <c r="H244" s="3" t="s">
        <v>51</v>
      </c>
      <c r="I244" s="3">
        <v>2025</v>
      </c>
      <c r="J244" s="3" t="str">
        <f>CONCATENATE("54820056320")</f>
        <v>54820056320</v>
      </c>
      <c r="K244" s="3" t="s">
        <v>34</v>
      </c>
      <c r="L244" s="3"/>
      <c r="M244" s="3" t="s">
        <v>35</v>
      </c>
      <c r="N244" s="3" t="str">
        <f>CONCATENATE("16667111005")</f>
        <v>16667111005</v>
      </c>
      <c r="O244" s="3" t="s">
        <v>340</v>
      </c>
      <c r="P244" s="3" t="s">
        <v>37</v>
      </c>
      <c r="Q244" s="3"/>
      <c r="R244" s="4">
        <v>46058</v>
      </c>
      <c r="S244" s="3" t="s">
        <v>38</v>
      </c>
      <c r="T244" s="3" t="s">
        <v>39</v>
      </c>
      <c r="U244" s="3" t="s">
        <v>40</v>
      </c>
      <c r="V244" s="5">
        <v>6166.47</v>
      </c>
      <c r="W244" s="5">
        <v>2620.75</v>
      </c>
      <c r="X244" s="5">
        <v>2482</v>
      </c>
      <c r="Y244" s="5">
        <v>1063.72</v>
      </c>
    </row>
    <row r="245" spans="1:25" ht="60.75" x14ac:dyDescent="0.25">
      <c r="A245" s="3" t="s">
        <v>26</v>
      </c>
      <c r="B245" s="3" t="s">
        <v>27</v>
      </c>
      <c r="C245" s="3" t="s">
        <v>28</v>
      </c>
      <c r="D245" s="3" t="s">
        <v>62</v>
      </c>
      <c r="E245" s="3" t="s">
        <v>79</v>
      </c>
      <c r="F245" s="3" t="s">
        <v>64</v>
      </c>
      <c r="G245" s="3" t="s">
        <v>79</v>
      </c>
      <c r="H245" s="3" t="s">
        <v>43</v>
      </c>
      <c r="I245" s="3">
        <v>2025</v>
      </c>
      <c r="J245" s="3" t="str">
        <f>CONCATENATE("54820041892")</f>
        <v>54820041892</v>
      </c>
      <c r="K245" s="3" t="s">
        <v>34</v>
      </c>
      <c r="L245" s="3"/>
      <c r="M245" s="3" t="s">
        <v>35</v>
      </c>
      <c r="N245" s="3" t="str">
        <f>CONCATENATE("MNCFBA89A04I156D")</f>
        <v>MNCFBA89A04I156D</v>
      </c>
      <c r="O245" s="3" t="s">
        <v>341</v>
      </c>
      <c r="P245" s="3" t="s">
        <v>37</v>
      </c>
      <c r="Q245" s="3"/>
      <c r="R245" s="4">
        <v>46058</v>
      </c>
      <c r="S245" s="3" t="s">
        <v>38</v>
      </c>
      <c r="T245" s="3" t="s">
        <v>39</v>
      </c>
      <c r="U245" s="3" t="s">
        <v>40</v>
      </c>
      <c r="V245" s="5">
        <v>1662.54</v>
      </c>
      <c r="W245" s="3">
        <v>706.58</v>
      </c>
      <c r="X245" s="3">
        <v>669.17</v>
      </c>
      <c r="Y245" s="3">
        <v>286.79000000000002</v>
      </c>
    </row>
    <row r="246" spans="1:25" ht="72.75" x14ac:dyDescent="0.25">
      <c r="A246" s="3" t="s">
        <v>26</v>
      </c>
      <c r="B246" s="3" t="s">
        <v>27</v>
      </c>
      <c r="C246" s="3" t="s">
        <v>28</v>
      </c>
      <c r="D246" s="3" t="s">
        <v>41</v>
      </c>
      <c r="E246" s="3" t="s">
        <v>74</v>
      </c>
      <c r="F246" s="3" t="s">
        <v>31</v>
      </c>
      <c r="G246" s="3" t="s">
        <v>74</v>
      </c>
      <c r="H246" s="3" t="s">
        <v>33</v>
      </c>
      <c r="I246" s="3">
        <v>2025</v>
      </c>
      <c r="J246" s="3" t="str">
        <f>CONCATENATE("54820017868")</f>
        <v>54820017868</v>
      </c>
      <c r="K246" s="3" t="s">
        <v>34</v>
      </c>
      <c r="L246" s="3"/>
      <c r="M246" s="3" t="s">
        <v>35</v>
      </c>
      <c r="N246" s="3" t="str">
        <f>CONCATENATE("BRNMRC91H10D451N")</f>
        <v>BRNMRC91H10D451N</v>
      </c>
      <c r="O246" s="3" t="s">
        <v>342</v>
      </c>
      <c r="P246" s="3" t="s">
        <v>37</v>
      </c>
      <c r="Q246" s="3"/>
      <c r="R246" s="4">
        <v>46058</v>
      </c>
      <c r="S246" s="3" t="s">
        <v>38</v>
      </c>
      <c r="T246" s="3" t="s">
        <v>39</v>
      </c>
      <c r="U246" s="3" t="s">
        <v>40</v>
      </c>
      <c r="V246" s="5">
        <v>1015.67</v>
      </c>
      <c r="W246" s="3">
        <v>431.66</v>
      </c>
      <c r="X246" s="3">
        <v>408.81</v>
      </c>
      <c r="Y246" s="3">
        <v>175.2</v>
      </c>
    </row>
    <row r="247" spans="1:25" ht="60.75" x14ac:dyDescent="0.25">
      <c r="A247" s="3" t="s">
        <v>26</v>
      </c>
      <c r="B247" s="3" t="s">
        <v>27</v>
      </c>
      <c r="C247" s="3" t="s">
        <v>28</v>
      </c>
      <c r="D247" s="3" t="s">
        <v>41</v>
      </c>
      <c r="E247" s="3" t="s">
        <v>74</v>
      </c>
      <c r="F247" s="3" t="s">
        <v>31</v>
      </c>
      <c r="G247" s="3" t="s">
        <v>74</v>
      </c>
      <c r="H247" s="3" t="s">
        <v>33</v>
      </c>
      <c r="I247" s="3">
        <v>2025</v>
      </c>
      <c r="J247" s="3" t="str">
        <f>CONCATENATE("54820027966")</f>
        <v>54820027966</v>
      </c>
      <c r="K247" s="3" t="s">
        <v>34</v>
      </c>
      <c r="L247" s="3"/>
      <c r="M247" s="3" t="s">
        <v>35</v>
      </c>
      <c r="N247" s="3" t="str">
        <f>CONCATENATE("RCCSDR52B26I461I")</f>
        <v>RCCSDR52B26I461I</v>
      </c>
      <c r="O247" s="3" t="s">
        <v>343</v>
      </c>
      <c r="P247" s="3" t="s">
        <v>37</v>
      </c>
      <c r="Q247" s="3"/>
      <c r="R247" s="4">
        <v>46058</v>
      </c>
      <c r="S247" s="3" t="s">
        <v>38</v>
      </c>
      <c r="T247" s="3" t="s">
        <v>39</v>
      </c>
      <c r="U247" s="3" t="s">
        <v>40</v>
      </c>
      <c r="V247" s="3">
        <v>551.61</v>
      </c>
      <c r="W247" s="3">
        <v>234.43</v>
      </c>
      <c r="X247" s="3">
        <v>222.02</v>
      </c>
      <c r="Y247" s="3">
        <v>95.16</v>
      </c>
    </row>
    <row r="248" spans="1:25" ht="60.75" x14ac:dyDescent="0.25">
      <c r="A248" s="3" t="s">
        <v>26</v>
      </c>
      <c r="B248" s="3" t="s">
        <v>27</v>
      </c>
      <c r="C248" s="3" t="s">
        <v>28</v>
      </c>
      <c r="D248" s="3" t="s">
        <v>41</v>
      </c>
      <c r="E248" s="3" t="s">
        <v>53</v>
      </c>
      <c r="F248" s="3" t="s">
        <v>31</v>
      </c>
      <c r="G248" s="3" t="s">
        <v>53</v>
      </c>
      <c r="H248" s="3" t="s">
        <v>51</v>
      </c>
      <c r="I248" s="3">
        <v>2025</v>
      </c>
      <c r="J248" s="3" t="str">
        <f>CONCATENATE("54820084900")</f>
        <v>54820084900</v>
      </c>
      <c r="K248" s="3" t="s">
        <v>34</v>
      </c>
      <c r="L248" s="3"/>
      <c r="M248" s="3" t="s">
        <v>35</v>
      </c>
      <c r="N248" s="3" t="str">
        <f>CONCATENATE("GMPFBA79S13D488Q")</f>
        <v>GMPFBA79S13D488Q</v>
      </c>
      <c r="O248" s="3" t="s">
        <v>344</v>
      </c>
      <c r="P248" s="3" t="s">
        <v>37</v>
      </c>
      <c r="Q248" s="3"/>
      <c r="R248" s="4">
        <v>46058</v>
      </c>
      <c r="S248" s="3" t="s">
        <v>38</v>
      </c>
      <c r="T248" s="3" t="s">
        <v>39</v>
      </c>
      <c r="U248" s="3" t="s">
        <v>40</v>
      </c>
      <c r="V248" s="3">
        <v>472.36</v>
      </c>
      <c r="W248" s="3">
        <v>200.75</v>
      </c>
      <c r="X248" s="3">
        <v>190.12</v>
      </c>
      <c r="Y248" s="3">
        <v>81.489999999999995</v>
      </c>
    </row>
    <row r="249" spans="1:25" ht="36.75" x14ac:dyDescent="0.25">
      <c r="A249" s="3" t="s">
        <v>26</v>
      </c>
      <c r="B249" s="3" t="s">
        <v>27</v>
      </c>
      <c r="C249" s="3" t="s">
        <v>28</v>
      </c>
      <c r="D249" s="3" t="s">
        <v>62</v>
      </c>
      <c r="E249" s="3" t="s">
        <v>181</v>
      </c>
      <c r="F249" s="3" t="s">
        <v>64</v>
      </c>
      <c r="G249" s="3" t="s">
        <v>181</v>
      </c>
      <c r="H249" s="3" t="s">
        <v>51</v>
      </c>
      <c r="I249" s="3">
        <v>2025</v>
      </c>
      <c r="J249" s="3" t="str">
        <f>CONCATENATE("54820088224")</f>
        <v>54820088224</v>
      </c>
      <c r="K249" s="3" t="s">
        <v>34</v>
      </c>
      <c r="L249" s="3"/>
      <c r="M249" s="3" t="s">
        <v>35</v>
      </c>
      <c r="N249" s="3" t="str">
        <f>CONCATENATE("02461390391")</f>
        <v>02461390391</v>
      </c>
      <c r="O249" s="3" t="s">
        <v>345</v>
      </c>
      <c r="P249" s="3" t="s">
        <v>37</v>
      </c>
      <c r="Q249" s="3"/>
      <c r="R249" s="4">
        <v>46058</v>
      </c>
      <c r="S249" s="3" t="s">
        <v>38</v>
      </c>
      <c r="T249" s="3" t="s">
        <v>39</v>
      </c>
      <c r="U249" s="3" t="s">
        <v>40</v>
      </c>
      <c r="V249" s="5">
        <v>6713.24</v>
      </c>
      <c r="W249" s="5">
        <v>2853.13</v>
      </c>
      <c r="X249" s="5">
        <v>2702.08</v>
      </c>
      <c r="Y249" s="5">
        <v>1158.03</v>
      </c>
    </row>
    <row r="250" spans="1:25" ht="72.75" x14ac:dyDescent="0.25">
      <c r="A250" s="3" t="s">
        <v>26</v>
      </c>
      <c r="B250" s="3" t="s">
        <v>27</v>
      </c>
      <c r="C250" s="3" t="s">
        <v>28</v>
      </c>
      <c r="D250" s="3" t="s">
        <v>41</v>
      </c>
      <c r="E250" s="3" t="s">
        <v>53</v>
      </c>
      <c r="F250" s="3" t="s">
        <v>31</v>
      </c>
      <c r="G250" s="3" t="s">
        <v>53</v>
      </c>
      <c r="H250" s="3" t="s">
        <v>51</v>
      </c>
      <c r="I250" s="3">
        <v>2025</v>
      </c>
      <c r="J250" s="3" t="str">
        <f>CONCATENATE("54820056536")</f>
        <v>54820056536</v>
      </c>
      <c r="K250" s="3" t="s">
        <v>34</v>
      </c>
      <c r="L250" s="3"/>
      <c r="M250" s="3" t="s">
        <v>35</v>
      </c>
      <c r="N250" s="3" t="str">
        <f>CONCATENATE("SGUDNL65H03D749B")</f>
        <v>SGUDNL65H03D749B</v>
      </c>
      <c r="O250" s="3" t="s">
        <v>346</v>
      </c>
      <c r="P250" s="3" t="s">
        <v>37</v>
      </c>
      <c r="Q250" s="3"/>
      <c r="R250" s="4">
        <v>46058</v>
      </c>
      <c r="S250" s="3" t="s">
        <v>38</v>
      </c>
      <c r="T250" s="3" t="s">
        <v>39</v>
      </c>
      <c r="U250" s="3" t="s">
        <v>40</v>
      </c>
      <c r="V250" s="5">
        <v>1043.54</v>
      </c>
      <c r="W250" s="3">
        <v>443.5</v>
      </c>
      <c r="X250" s="3">
        <v>420.02</v>
      </c>
      <c r="Y250" s="3">
        <v>180.02</v>
      </c>
    </row>
    <row r="251" spans="1:25" ht="72.75" x14ac:dyDescent="0.25">
      <c r="A251" s="3" t="s">
        <v>26</v>
      </c>
      <c r="B251" s="3" t="s">
        <v>27</v>
      </c>
      <c r="C251" s="3" t="s">
        <v>28</v>
      </c>
      <c r="D251" s="3" t="s">
        <v>62</v>
      </c>
      <c r="E251" s="3" t="s">
        <v>81</v>
      </c>
      <c r="F251" s="3" t="s">
        <v>64</v>
      </c>
      <c r="G251" s="3" t="s">
        <v>81</v>
      </c>
      <c r="H251" s="3" t="s">
        <v>43</v>
      </c>
      <c r="I251" s="3">
        <v>2025</v>
      </c>
      <c r="J251" s="3" t="str">
        <f>CONCATENATE("54820288261")</f>
        <v>54820288261</v>
      </c>
      <c r="K251" s="3" t="s">
        <v>34</v>
      </c>
      <c r="L251" s="3"/>
      <c r="M251" s="3" t="s">
        <v>35</v>
      </c>
      <c r="N251" s="3" t="str">
        <f>CONCATENATE("MDRSRG59A03M078A")</f>
        <v>MDRSRG59A03M078A</v>
      </c>
      <c r="O251" s="3" t="s">
        <v>347</v>
      </c>
      <c r="P251" s="3" t="s">
        <v>37</v>
      </c>
      <c r="Q251" s="3"/>
      <c r="R251" s="4">
        <v>46058</v>
      </c>
      <c r="S251" s="3" t="s">
        <v>38</v>
      </c>
      <c r="T251" s="3" t="s">
        <v>39</v>
      </c>
      <c r="U251" s="3" t="s">
        <v>40</v>
      </c>
      <c r="V251" s="3">
        <v>37.78</v>
      </c>
      <c r="W251" s="3">
        <v>16.059999999999999</v>
      </c>
      <c r="X251" s="3">
        <v>15.21</v>
      </c>
      <c r="Y251" s="3">
        <v>6.51</v>
      </c>
    </row>
    <row r="252" spans="1:25" ht="60.75" x14ac:dyDescent="0.25">
      <c r="A252" s="3" t="s">
        <v>26</v>
      </c>
      <c r="B252" s="3" t="s">
        <v>27</v>
      </c>
      <c r="C252" s="3" t="s">
        <v>28</v>
      </c>
      <c r="D252" s="3" t="s">
        <v>62</v>
      </c>
      <c r="E252" s="3" t="s">
        <v>96</v>
      </c>
      <c r="F252" s="3" t="s">
        <v>64</v>
      </c>
      <c r="G252" s="3" t="s">
        <v>96</v>
      </c>
      <c r="H252" s="3" t="s">
        <v>43</v>
      </c>
      <c r="I252" s="3">
        <v>2025</v>
      </c>
      <c r="J252" s="3" t="str">
        <f>CONCATENATE("54820416086")</f>
        <v>54820416086</v>
      </c>
      <c r="K252" s="3" t="s">
        <v>34</v>
      </c>
      <c r="L252" s="3"/>
      <c r="M252" s="3" t="s">
        <v>35</v>
      </c>
      <c r="N252" s="3" t="str">
        <f>CONCATENATE("NGLMRK78A11B474J")</f>
        <v>NGLMRK78A11B474J</v>
      </c>
      <c r="O252" s="3" t="s">
        <v>348</v>
      </c>
      <c r="P252" s="3" t="s">
        <v>37</v>
      </c>
      <c r="Q252" s="3"/>
      <c r="R252" s="4">
        <v>46058</v>
      </c>
      <c r="S252" s="3" t="s">
        <v>38</v>
      </c>
      <c r="T252" s="3" t="s">
        <v>39</v>
      </c>
      <c r="U252" s="3" t="s">
        <v>40</v>
      </c>
      <c r="V252" s="3">
        <v>961.69</v>
      </c>
      <c r="W252" s="3">
        <v>408.72</v>
      </c>
      <c r="X252" s="3">
        <v>387.08</v>
      </c>
      <c r="Y252" s="3">
        <v>165.89</v>
      </c>
    </row>
    <row r="253" spans="1:25" ht="36.75" x14ac:dyDescent="0.25">
      <c r="A253" s="3" t="s">
        <v>26</v>
      </c>
      <c r="B253" s="3" t="s">
        <v>27</v>
      </c>
      <c r="C253" s="3" t="s">
        <v>28</v>
      </c>
      <c r="D253" s="3" t="s">
        <v>62</v>
      </c>
      <c r="E253" s="3" t="s">
        <v>96</v>
      </c>
      <c r="F253" s="3" t="s">
        <v>64</v>
      </c>
      <c r="G253" s="3" t="s">
        <v>96</v>
      </c>
      <c r="H253" s="3" t="s">
        <v>43</v>
      </c>
      <c r="I253" s="3">
        <v>2025</v>
      </c>
      <c r="J253" s="3" t="str">
        <f>CONCATENATE("54820416789")</f>
        <v>54820416789</v>
      </c>
      <c r="K253" s="3" t="s">
        <v>34</v>
      </c>
      <c r="L253" s="3"/>
      <c r="M253" s="3" t="s">
        <v>35</v>
      </c>
      <c r="N253" s="3" t="str">
        <f>CONCATENATE("01761610433")</f>
        <v>01761610433</v>
      </c>
      <c r="O253" s="3" t="s">
        <v>349</v>
      </c>
      <c r="P253" s="3" t="s">
        <v>37</v>
      </c>
      <c r="Q253" s="3"/>
      <c r="R253" s="4">
        <v>46058</v>
      </c>
      <c r="S253" s="3" t="s">
        <v>38</v>
      </c>
      <c r="T253" s="3" t="s">
        <v>39</v>
      </c>
      <c r="U253" s="3" t="s">
        <v>40</v>
      </c>
      <c r="V253" s="3">
        <v>60.82</v>
      </c>
      <c r="W253" s="3">
        <v>25.85</v>
      </c>
      <c r="X253" s="3">
        <v>24.48</v>
      </c>
      <c r="Y253" s="3">
        <v>10.49</v>
      </c>
    </row>
    <row r="254" spans="1:25" ht="72.75" x14ac:dyDescent="0.25">
      <c r="A254" s="3" t="s">
        <v>26</v>
      </c>
      <c r="B254" s="3" t="s">
        <v>27</v>
      </c>
      <c r="C254" s="3" t="s">
        <v>28</v>
      </c>
      <c r="D254" s="3" t="s">
        <v>41</v>
      </c>
      <c r="E254" s="3" t="s">
        <v>72</v>
      </c>
      <c r="F254" s="3" t="s">
        <v>31</v>
      </c>
      <c r="G254" s="3" t="s">
        <v>72</v>
      </c>
      <c r="H254" s="3" t="s">
        <v>51</v>
      </c>
      <c r="I254" s="3">
        <v>2025</v>
      </c>
      <c r="J254" s="3" t="str">
        <f>CONCATENATE("54820142146")</f>
        <v>54820142146</v>
      </c>
      <c r="K254" s="3" t="s">
        <v>34</v>
      </c>
      <c r="L254" s="3"/>
      <c r="M254" s="3" t="s">
        <v>35</v>
      </c>
      <c r="N254" s="3" t="str">
        <f>CONCATENATE("MRNMRT60B64A740Q")</f>
        <v>MRNMRT60B64A740Q</v>
      </c>
      <c r="O254" s="3" t="s">
        <v>350</v>
      </c>
      <c r="P254" s="3" t="s">
        <v>37</v>
      </c>
      <c r="Q254" s="3"/>
      <c r="R254" s="4">
        <v>46058</v>
      </c>
      <c r="S254" s="3" t="s">
        <v>38</v>
      </c>
      <c r="T254" s="3" t="s">
        <v>39</v>
      </c>
      <c r="U254" s="3" t="s">
        <v>40</v>
      </c>
      <c r="V254" s="3">
        <v>147.43</v>
      </c>
      <c r="W254" s="3">
        <v>62.66</v>
      </c>
      <c r="X254" s="3">
        <v>59.34</v>
      </c>
      <c r="Y254" s="3">
        <v>25.43</v>
      </c>
    </row>
    <row r="255" spans="1:25" ht="36.75" x14ac:dyDescent="0.25">
      <c r="A255" s="3" t="s">
        <v>26</v>
      </c>
      <c r="B255" s="3" t="s">
        <v>27</v>
      </c>
      <c r="C255" s="3" t="s">
        <v>28</v>
      </c>
      <c r="D255" s="3" t="s">
        <v>41</v>
      </c>
      <c r="E255" s="3" t="s">
        <v>49</v>
      </c>
      <c r="F255" s="3" t="s">
        <v>31</v>
      </c>
      <c r="G255" s="3" t="s">
        <v>49</v>
      </c>
      <c r="H255" s="3" t="s">
        <v>51</v>
      </c>
      <c r="I255" s="3">
        <v>2025</v>
      </c>
      <c r="J255" s="3" t="str">
        <f>CONCATENATE("54820114293")</f>
        <v>54820114293</v>
      </c>
      <c r="K255" s="3" t="s">
        <v>34</v>
      </c>
      <c r="L255" s="3"/>
      <c r="M255" s="3" t="s">
        <v>35</v>
      </c>
      <c r="N255" s="3" t="str">
        <f>CONCATENATE("02737800413")</f>
        <v>02737800413</v>
      </c>
      <c r="O255" s="3" t="s">
        <v>351</v>
      </c>
      <c r="P255" s="3" t="s">
        <v>37</v>
      </c>
      <c r="Q255" s="3"/>
      <c r="R255" s="4">
        <v>46058</v>
      </c>
      <c r="S255" s="3" t="s">
        <v>38</v>
      </c>
      <c r="T255" s="3" t="s">
        <v>39</v>
      </c>
      <c r="U255" s="3" t="s">
        <v>40</v>
      </c>
      <c r="V255" s="5">
        <v>6185.72</v>
      </c>
      <c r="W255" s="5">
        <v>2628.93</v>
      </c>
      <c r="X255" s="5">
        <v>2489.75</v>
      </c>
      <c r="Y255" s="5">
        <v>1067.04</v>
      </c>
    </row>
    <row r="256" spans="1:25" ht="60.75" x14ac:dyDescent="0.25">
      <c r="A256" s="3" t="s">
        <v>26</v>
      </c>
      <c r="B256" s="3" t="s">
        <v>27</v>
      </c>
      <c r="C256" s="3" t="s">
        <v>28</v>
      </c>
      <c r="D256" s="3" t="s">
        <v>45</v>
      </c>
      <c r="E256" s="3" t="s">
        <v>46</v>
      </c>
      <c r="F256" s="3" t="s">
        <v>47</v>
      </c>
      <c r="G256" s="3" t="s">
        <v>46</v>
      </c>
      <c r="H256" s="3" t="s">
        <v>33</v>
      </c>
      <c r="I256" s="3">
        <v>2025</v>
      </c>
      <c r="J256" s="3" t="str">
        <f>CONCATENATE("54820197769")</f>
        <v>54820197769</v>
      </c>
      <c r="K256" s="3" t="s">
        <v>34</v>
      </c>
      <c r="L256" s="3"/>
      <c r="M256" s="3" t="s">
        <v>35</v>
      </c>
      <c r="N256" s="3" t="str">
        <f>CONCATENATE("GRSNGL50P52D451W")</f>
        <v>GRSNGL50P52D451W</v>
      </c>
      <c r="O256" s="3" t="s">
        <v>352</v>
      </c>
      <c r="P256" s="3" t="s">
        <v>37</v>
      </c>
      <c r="Q256" s="3"/>
      <c r="R256" s="4">
        <v>46058</v>
      </c>
      <c r="S256" s="3" t="s">
        <v>38</v>
      </c>
      <c r="T256" s="3" t="s">
        <v>39</v>
      </c>
      <c r="U256" s="3" t="s">
        <v>40</v>
      </c>
      <c r="V256" s="3">
        <v>200.17</v>
      </c>
      <c r="W256" s="3">
        <v>85.07</v>
      </c>
      <c r="X256" s="3">
        <v>80.569999999999993</v>
      </c>
      <c r="Y256" s="3">
        <v>34.53</v>
      </c>
    </row>
    <row r="257" spans="1:25" ht="36.75" x14ac:dyDescent="0.25">
      <c r="A257" s="3" t="s">
        <v>26</v>
      </c>
      <c r="B257" s="3" t="s">
        <v>27</v>
      </c>
      <c r="C257" s="3" t="s">
        <v>28</v>
      </c>
      <c r="D257" s="3" t="s">
        <v>45</v>
      </c>
      <c r="E257" s="3" t="s">
        <v>46</v>
      </c>
      <c r="F257" s="3" t="s">
        <v>47</v>
      </c>
      <c r="G257" s="3" t="s">
        <v>46</v>
      </c>
      <c r="H257" s="3" t="s">
        <v>33</v>
      </c>
      <c r="I257" s="3">
        <v>2025</v>
      </c>
      <c r="J257" s="3" t="str">
        <f>CONCATENATE("54820182274")</f>
        <v>54820182274</v>
      </c>
      <c r="K257" s="3" t="s">
        <v>34</v>
      </c>
      <c r="L257" s="3"/>
      <c r="M257" s="3" t="s">
        <v>35</v>
      </c>
      <c r="N257" s="3" t="str">
        <f>CONCATENATE("13698851006")</f>
        <v>13698851006</v>
      </c>
      <c r="O257" s="3" t="s">
        <v>353</v>
      </c>
      <c r="P257" s="3" t="s">
        <v>37</v>
      </c>
      <c r="Q257" s="3"/>
      <c r="R257" s="4">
        <v>46058</v>
      </c>
      <c r="S257" s="3" t="s">
        <v>38</v>
      </c>
      <c r="T257" s="3" t="s">
        <v>39</v>
      </c>
      <c r="U257" s="3" t="s">
        <v>40</v>
      </c>
      <c r="V257" s="5">
        <v>1018.08</v>
      </c>
      <c r="W257" s="3">
        <v>432.68</v>
      </c>
      <c r="X257" s="3">
        <v>409.78</v>
      </c>
      <c r="Y257" s="3">
        <v>175.62</v>
      </c>
    </row>
    <row r="258" spans="1:25" ht="72.75" x14ac:dyDescent="0.25">
      <c r="A258" s="3" t="s">
        <v>26</v>
      </c>
      <c r="B258" s="3" t="s">
        <v>27</v>
      </c>
      <c r="C258" s="3" t="s">
        <v>28</v>
      </c>
      <c r="D258" s="3" t="s">
        <v>41</v>
      </c>
      <c r="E258" s="3" t="s">
        <v>74</v>
      </c>
      <c r="F258" s="3" t="s">
        <v>31</v>
      </c>
      <c r="G258" s="3" t="s">
        <v>74</v>
      </c>
      <c r="H258" s="3" t="s">
        <v>33</v>
      </c>
      <c r="I258" s="3">
        <v>2025</v>
      </c>
      <c r="J258" s="3" t="str">
        <f>CONCATENATE("54820232962")</f>
        <v>54820232962</v>
      </c>
      <c r="K258" s="3" t="s">
        <v>34</v>
      </c>
      <c r="L258" s="3"/>
      <c r="M258" s="3" t="s">
        <v>35</v>
      </c>
      <c r="N258" s="3" t="str">
        <f>CONCATENATE("MNGFTN38L24I461B")</f>
        <v>MNGFTN38L24I461B</v>
      </c>
      <c r="O258" s="3" t="s">
        <v>354</v>
      </c>
      <c r="P258" s="3" t="s">
        <v>37</v>
      </c>
      <c r="Q258" s="3"/>
      <c r="R258" s="4">
        <v>46058</v>
      </c>
      <c r="S258" s="3" t="s">
        <v>38</v>
      </c>
      <c r="T258" s="3" t="s">
        <v>39</v>
      </c>
      <c r="U258" s="3" t="s">
        <v>40</v>
      </c>
      <c r="V258" s="5">
        <v>1515.15</v>
      </c>
      <c r="W258" s="3">
        <v>643.94000000000005</v>
      </c>
      <c r="X258" s="3">
        <v>609.85</v>
      </c>
      <c r="Y258" s="3">
        <v>261.36</v>
      </c>
    </row>
    <row r="259" spans="1:25" ht="60.75" x14ac:dyDescent="0.25">
      <c r="A259" s="3" t="s">
        <v>26</v>
      </c>
      <c r="B259" s="3" t="s">
        <v>27</v>
      </c>
      <c r="C259" s="3" t="s">
        <v>28</v>
      </c>
      <c r="D259" s="3" t="s">
        <v>45</v>
      </c>
      <c r="E259" s="3" t="s">
        <v>46</v>
      </c>
      <c r="F259" s="3" t="s">
        <v>47</v>
      </c>
      <c r="G259" s="3" t="s">
        <v>46</v>
      </c>
      <c r="H259" s="3" t="s">
        <v>33</v>
      </c>
      <c r="I259" s="3">
        <v>2025</v>
      </c>
      <c r="J259" s="3" t="str">
        <f>CONCATENATE("54820209515")</f>
        <v>54820209515</v>
      </c>
      <c r="K259" s="3" t="s">
        <v>34</v>
      </c>
      <c r="L259" s="3"/>
      <c r="M259" s="3" t="s">
        <v>35</v>
      </c>
      <c r="N259" s="3" t="str">
        <f>CONCATENATE("BRNSRN95A66G479L")</f>
        <v>BRNSRN95A66G479L</v>
      </c>
      <c r="O259" s="3" t="s">
        <v>355</v>
      </c>
      <c r="P259" s="3" t="s">
        <v>37</v>
      </c>
      <c r="Q259" s="3"/>
      <c r="R259" s="4">
        <v>46058</v>
      </c>
      <c r="S259" s="3" t="s">
        <v>38</v>
      </c>
      <c r="T259" s="3" t="s">
        <v>39</v>
      </c>
      <c r="U259" s="3" t="s">
        <v>40</v>
      </c>
      <c r="V259" s="5">
        <v>1999.81</v>
      </c>
      <c r="W259" s="3">
        <v>849.92</v>
      </c>
      <c r="X259" s="3">
        <v>804.92</v>
      </c>
      <c r="Y259" s="3">
        <v>344.97</v>
      </c>
    </row>
    <row r="260" spans="1:25" ht="60.75" x14ac:dyDescent="0.25">
      <c r="A260" s="3" t="s">
        <v>26</v>
      </c>
      <c r="B260" s="3" t="s">
        <v>27</v>
      </c>
      <c r="C260" s="3" t="s">
        <v>28</v>
      </c>
      <c r="D260" s="3" t="s">
        <v>41</v>
      </c>
      <c r="E260" s="3" t="s">
        <v>57</v>
      </c>
      <c r="F260" s="3" t="s">
        <v>31</v>
      </c>
      <c r="G260" s="3" t="s">
        <v>57</v>
      </c>
      <c r="H260" s="3" t="s">
        <v>51</v>
      </c>
      <c r="I260" s="3">
        <v>2025</v>
      </c>
      <c r="J260" s="3" t="str">
        <f>CONCATENATE("54820152285")</f>
        <v>54820152285</v>
      </c>
      <c r="K260" s="3" t="s">
        <v>34</v>
      </c>
      <c r="L260" s="3"/>
      <c r="M260" s="3" t="s">
        <v>35</v>
      </c>
      <c r="N260" s="3" t="str">
        <f>CONCATENATE("PGNRNZ67B15L500W")</f>
        <v>PGNRNZ67B15L500W</v>
      </c>
      <c r="O260" s="3" t="s">
        <v>356</v>
      </c>
      <c r="P260" s="3" t="s">
        <v>37</v>
      </c>
      <c r="Q260" s="3"/>
      <c r="R260" s="4">
        <v>46058</v>
      </c>
      <c r="S260" s="3" t="s">
        <v>38</v>
      </c>
      <c r="T260" s="3" t="s">
        <v>39</v>
      </c>
      <c r="U260" s="3" t="s">
        <v>40</v>
      </c>
      <c r="V260" s="3">
        <v>496.03</v>
      </c>
      <c r="W260" s="3">
        <v>210.81</v>
      </c>
      <c r="X260" s="3">
        <v>199.65</v>
      </c>
      <c r="Y260" s="3">
        <v>85.57</v>
      </c>
    </row>
    <row r="261" spans="1:25" ht="72.75" x14ac:dyDescent="0.25">
      <c r="A261" s="3" t="s">
        <v>26</v>
      </c>
      <c r="B261" s="3" t="s">
        <v>27</v>
      </c>
      <c r="C261" s="3" t="s">
        <v>28</v>
      </c>
      <c r="D261" s="3" t="s">
        <v>41</v>
      </c>
      <c r="E261" s="3" t="s">
        <v>49</v>
      </c>
      <c r="F261" s="3" t="s">
        <v>31</v>
      </c>
      <c r="G261" s="3" t="s">
        <v>49</v>
      </c>
      <c r="H261" s="3" t="s">
        <v>51</v>
      </c>
      <c r="I261" s="3">
        <v>2025</v>
      </c>
      <c r="J261" s="3" t="str">
        <f>CONCATENATE("54820025838")</f>
        <v>54820025838</v>
      </c>
      <c r="K261" s="3" t="s">
        <v>34</v>
      </c>
      <c r="L261" s="3"/>
      <c r="M261" s="3" t="s">
        <v>35</v>
      </c>
      <c r="N261" s="3" t="str">
        <f>CONCATENATE("BRZGRG51H23B352O")</f>
        <v>BRZGRG51H23B352O</v>
      </c>
      <c r="O261" s="3" t="s">
        <v>357</v>
      </c>
      <c r="P261" s="3" t="s">
        <v>37</v>
      </c>
      <c r="Q261" s="3"/>
      <c r="R261" s="4">
        <v>46058</v>
      </c>
      <c r="S261" s="3" t="s">
        <v>38</v>
      </c>
      <c r="T261" s="3" t="s">
        <v>39</v>
      </c>
      <c r="U261" s="3" t="s">
        <v>40</v>
      </c>
      <c r="V261" s="3">
        <v>121.13</v>
      </c>
      <c r="W261" s="3">
        <v>51.48</v>
      </c>
      <c r="X261" s="3">
        <v>48.75</v>
      </c>
      <c r="Y261" s="3">
        <v>20.9</v>
      </c>
    </row>
    <row r="262" spans="1:25" ht="60.75" x14ac:dyDescent="0.25">
      <c r="A262" s="3" t="s">
        <v>26</v>
      </c>
      <c r="B262" s="3" t="s">
        <v>27</v>
      </c>
      <c r="C262" s="3" t="s">
        <v>28</v>
      </c>
      <c r="D262" s="3" t="s">
        <v>41</v>
      </c>
      <c r="E262" s="3" t="s">
        <v>57</v>
      </c>
      <c r="F262" s="3" t="s">
        <v>31</v>
      </c>
      <c r="G262" s="3" t="s">
        <v>57</v>
      </c>
      <c r="H262" s="3" t="s">
        <v>51</v>
      </c>
      <c r="I262" s="3">
        <v>2025</v>
      </c>
      <c r="J262" s="3" t="str">
        <f>CONCATENATE("54820236559")</f>
        <v>54820236559</v>
      </c>
      <c r="K262" s="3" t="s">
        <v>34</v>
      </c>
      <c r="L262" s="3"/>
      <c r="M262" s="3" t="s">
        <v>35</v>
      </c>
      <c r="N262" s="3" t="str">
        <f>CONCATENATE("FGLFPP84B26L500H")</f>
        <v>FGLFPP84B26L500H</v>
      </c>
      <c r="O262" s="3" t="s">
        <v>358</v>
      </c>
      <c r="P262" s="3" t="s">
        <v>37</v>
      </c>
      <c r="Q262" s="3"/>
      <c r="R262" s="4">
        <v>46058</v>
      </c>
      <c r="S262" s="3" t="s">
        <v>38</v>
      </c>
      <c r="T262" s="3" t="s">
        <v>39</v>
      </c>
      <c r="U262" s="3" t="s">
        <v>40</v>
      </c>
      <c r="V262" s="5">
        <v>2290.7199999999998</v>
      </c>
      <c r="W262" s="3">
        <v>973.56</v>
      </c>
      <c r="X262" s="3">
        <v>922.01</v>
      </c>
      <c r="Y262" s="3">
        <v>395.15</v>
      </c>
    </row>
    <row r="263" spans="1:25" ht="60.75" x14ac:dyDescent="0.25">
      <c r="A263" s="3" t="s">
        <v>26</v>
      </c>
      <c r="B263" s="3" t="s">
        <v>27</v>
      </c>
      <c r="C263" s="3" t="s">
        <v>28</v>
      </c>
      <c r="D263" s="3" t="s">
        <v>171</v>
      </c>
      <c r="E263" s="3" t="s">
        <v>172</v>
      </c>
      <c r="F263" s="3" t="s">
        <v>171</v>
      </c>
      <c r="G263" s="3" t="s">
        <v>172</v>
      </c>
      <c r="H263" s="3" t="s">
        <v>68</v>
      </c>
      <c r="I263" s="3">
        <v>2025</v>
      </c>
      <c r="J263" s="3" t="str">
        <f>CONCATENATE("54820277413")</f>
        <v>54820277413</v>
      </c>
      <c r="K263" s="3" t="s">
        <v>34</v>
      </c>
      <c r="L263" s="3"/>
      <c r="M263" s="3" t="s">
        <v>35</v>
      </c>
      <c r="N263" s="3" t="str">
        <f>CONCATENATE("NNZMRS74E59C935H")</f>
        <v>NNZMRS74E59C935H</v>
      </c>
      <c r="O263" s="3" t="s">
        <v>359</v>
      </c>
      <c r="P263" s="3" t="s">
        <v>37</v>
      </c>
      <c r="Q263" s="3"/>
      <c r="R263" s="4">
        <v>46058</v>
      </c>
      <c r="S263" s="3" t="s">
        <v>38</v>
      </c>
      <c r="T263" s="3" t="s">
        <v>39</v>
      </c>
      <c r="U263" s="3" t="s">
        <v>40</v>
      </c>
      <c r="V263" s="3">
        <v>471.01</v>
      </c>
      <c r="W263" s="3">
        <v>200.18</v>
      </c>
      <c r="X263" s="3">
        <v>189.58</v>
      </c>
      <c r="Y263" s="3">
        <v>81.25</v>
      </c>
    </row>
    <row r="264" spans="1:25" ht="36.75" x14ac:dyDescent="0.25">
      <c r="A264" s="3" t="s">
        <v>26</v>
      </c>
      <c r="B264" s="3" t="s">
        <v>27</v>
      </c>
      <c r="C264" s="3" t="s">
        <v>28</v>
      </c>
      <c r="D264" s="3" t="s">
        <v>128</v>
      </c>
      <c r="E264" s="3" t="s">
        <v>152</v>
      </c>
      <c r="F264" s="3" t="s">
        <v>130</v>
      </c>
      <c r="G264" s="3" t="s">
        <v>152</v>
      </c>
      <c r="H264" s="3" t="s">
        <v>51</v>
      </c>
      <c r="I264" s="3">
        <v>2025</v>
      </c>
      <c r="J264" s="3" t="str">
        <f>CONCATENATE("54820081195")</f>
        <v>54820081195</v>
      </c>
      <c r="K264" s="3" t="s">
        <v>34</v>
      </c>
      <c r="L264" s="3"/>
      <c r="M264" s="3" t="s">
        <v>35</v>
      </c>
      <c r="N264" s="3" t="str">
        <f>CONCATENATE("00199680547")</f>
        <v>00199680547</v>
      </c>
      <c r="O264" s="3" t="s">
        <v>360</v>
      </c>
      <c r="P264" s="3" t="s">
        <v>37</v>
      </c>
      <c r="Q264" s="3"/>
      <c r="R264" s="4">
        <v>46058</v>
      </c>
      <c r="S264" s="3" t="s">
        <v>38</v>
      </c>
      <c r="T264" s="3" t="s">
        <v>39</v>
      </c>
      <c r="U264" s="3" t="s">
        <v>40</v>
      </c>
      <c r="V264" s="5">
        <v>8443.4699999999993</v>
      </c>
      <c r="W264" s="5">
        <v>3588.47</v>
      </c>
      <c r="X264" s="5">
        <v>3398.5</v>
      </c>
      <c r="Y264" s="5">
        <v>1456.5</v>
      </c>
    </row>
    <row r="265" spans="1:25" ht="72.75" x14ac:dyDescent="0.25">
      <c r="A265" s="3" t="s">
        <v>26</v>
      </c>
      <c r="B265" s="3" t="s">
        <v>27</v>
      </c>
      <c r="C265" s="3" t="s">
        <v>28</v>
      </c>
      <c r="D265" s="3" t="s">
        <v>41</v>
      </c>
      <c r="E265" s="3" t="s">
        <v>53</v>
      </c>
      <c r="F265" s="3" t="s">
        <v>31</v>
      </c>
      <c r="G265" s="3" t="s">
        <v>53</v>
      </c>
      <c r="H265" s="3" t="s">
        <v>51</v>
      </c>
      <c r="I265" s="3">
        <v>2025</v>
      </c>
      <c r="J265" s="3" t="str">
        <f>CONCATENATE("54820051818")</f>
        <v>54820051818</v>
      </c>
      <c r="K265" s="3" t="s">
        <v>34</v>
      </c>
      <c r="L265" s="3"/>
      <c r="M265" s="3" t="s">
        <v>35</v>
      </c>
      <c r="N265" s="3" t="str">
        <f>CONCATENATE("PGNMEO56R08G453H")</f>
        <v>PGNMEO56R08G453H</v>
      </c>
      <c r="O265" s="3" t="s">
        <v>361</v>
      </c>
      <c r="P265" s="3" t="s">
        <v>37</v>
      </c>
      <c r="Q265" s="3"/>
      <c r="R265" s="4">
        <v>46058</v>
      </c>
      <c r="S265" s="3" t="s">
        <v>38</v>
      </c>
      <c r="T265" s="3" t="s">
        <v>39</v>
      </c>
      <c r="U265" s="3" t="s">
        <v>40</v>
      </c>
      <c r="V265" s="3">
        <v>748.77</v>
      </c>
      <c r="W265" s="3">
        <v>318.23</v>
      </c>
      <c r="X265" s="3">
        <v>301.38</v>
      </c>
      <c r="Y265" s="3">
        <v>129.16</v>
      </c>
    </row>
    <row r="266" spans="1:25" ht="60.75" x14ac:dyDescent="0.25">
      <c r="A266" s="3" t="s">
        <v>26</v>
      </c>
      <c r="B266" s="3" t="s">
        <v>27</v>
      </c>
      <c r="C266" s="3" t="s">
        <v>28</v>
      </c>
      <c r="D266" s="3" t="s">
        <v>62</v>
      </c>
      <c r="E266" s="3" t="s">
        <v>181</v>
      </c>
      <c r="F266" s="3" t="s">
        <v>64</v>
      </c>
      <c r="G266" s="3" t="s">
        <v>181</v>
      </c>
      <c r="H266" s="3" t="s">
        <v>51</v>
      </c>
      <c r="I266" s="3">
        <v>2025</v>
      </c>
      <c r="J266" s="3" t="str">
        <f>CONCATENATE("54820059399")</f>
        <v>54820059399</v>
      </c>
      <c r="K266" s="3" t="s">
        <v>34</v>
      </c>
      <c r="L266" s="3"/>
      <c r="M266" s="3" t="s">
        <v>35</v>
      </c>
      <c r="N266" s="3" t="str">
        <f>CONCATENATE("BCCGRL70E28I459S")</f>
        <v>BCCGRL70E28I459S</v>
      </c>
      <c r="O266" s="3" t="s">
        <v>362</v>
      </c>
      <c r="P266" s="3" t="s">
        <v>37</v>
      </c>
      <c r="Q266" s="3"/>
      <c r="R266" s="4">
        <v>46058</v>
      </c>
      <c r="S266" s="3" t="s">
        <v>38</v>
      </c>
      <c r="T266" s="3" t="s">
        <v>39</v>
      </c>
      <c r="U266" s="3" t="s">
        <v>40</v>
      </c>
      <c r="V266" s="3">
        <v>521.08000000000004</v>
      </c>
      <c r="W266" s="3">
        <v>221.46</v>
      </c>
      <c r="X266" s="3">
        <v>209.73</v>
      </c>
      <c r="Y266" s="3">
        <v>89.89</v>
      </c>
    </row>
    <row r="267" spans="1:25" ht="60.75" x14ac:dyDescent="0.25">
      <c r="A267" s="3" t="s">
        <v>26</v>
      </c>
      <c r="B267" s="3" t="s">
        <v>27</v>
      </c>
      <c r="C267" s="3" t="s">
        <v>28</v>
      </c>
      <c r="D267" s="3" t="s">
        <v>233</v>
      </c>
      <c r="E267" s="3" t="s">
        <v>234</v>
      </c>
      <c r="F267" s="3" t="s">
        <v>235</v>
      </c>
      <c r="G267" s="3" t="s">
        <v>234</v>
      </c>
      <c r="H267" s="3" t="s">
        <v>51</v>
      </c>
      <c r="I267" s="3">
        <v>2025</v>
      </c>
      <c r="J267" s="3" t="str">
        <f>CONCATENATE("54820115712")</f>
        <v>54820115712</v>
      </c>
      <c r="K267" s="3" t="s">
        <v>34</v>
      </c>
      <c r="L267" s="3"/>
      <c r="M267" s="3" t="s">
        <v>35</v>
      </c>
      <c r="N267" s="3" t="str">
        <f>CONCATENATE("NGLFBA63B20I681J")</f>
        <v>NGLFBA63B20I681J</v>
      </c>
      <c r="O267" s="3" t="s">
        <v>363</v>
      </c>
      <c r="P267" s="3" t="s">
        <v>37</v>
      </c>
      <c r="Q267" s="3"/>
      <c r="R267" s="4">
        <v>46058</v>
      </c>
      <c r="S267" s="3" t="s">
        <v>38</v>
      </c>
      <c r="T267" s="3" t="s">
        <v>39</v>
      </c>
      <c r="U267" s="3" t="s">
        <v>40</v>
      </c>
      <c r="V267" s="3">
        <v>905.83</v>
      </c>
      <c r="W267" s="3">
        <v>384.98</v>
      </c>
      <c r="X267" s="3">
        <v>364.6</v>
      </c>
      <c r="Y267" s="3">
        <v>156.25</v>
      </c>
    </row>
    <row r="268" spans="1:25" ht="36.75" x14ac:dyDescent="0.25">
      <c r="A268" s="3" t="s">
        <v>26</v>
      </c>
      <c r="B268" s="3" t="s">
        <v>27</v>
      </c>
      <c r="C268" s="3" t="s">
        <v>28</v>
      </c>
      <c r="D268" s="3" t="s">
        <v>45</v>
      </c>
      <c r="E268" s="3" t="s">
        <v>214</v>
      </c>
      <c r="F268" s="3" t="s">
        <v>47</v>
      </c>
      <c r="G268" s="3" t="s">
        <v>214</v>
      </c>
      <c r="H268" s="3" t="s">
        <v>68</v>
      </c>
      <c r="I268" s="3">
        <v>2025</v>
      </c>
      <c r="J268" s="3" t="str">
        <f>CONCATENATE("54820182803")</f>
        <v>54820182803</v>
      </c>
      <c r="K268" s="3" t="s">
        <v>34</v>
      </c>
      <c r="L268" s="3"/>
      <c r="M268" s="3" t="s">
        <v>35</v>
      </c>
      <c r="N268" s="3" t="str">
        <f>CONCATENATE("02448820445")</f>
        <v>02448820445</v>
      </c>
      <c r="O268" s="3" t="s">
        <v>364</v>
      </c>
      <c r="P268" s="3" t="s">
        <v>37</v>
      </c>
      <c r="Q268" s="3"/>
      <c r="R268" s="4">
        <v>46058</v>
      </c>
      <c r="S268" s="3" t="s">
        <v>38</v>
      </c>
      <c r="T268" s="3" t="s">
        <v>39</v>
      </c>
      <c r="U268" s="3" t="s">
        <v>40</v>
      </c>
      <c r="V268" s="3">
        <v>53.86</v>
      </c>
      <c r="W268" s="3">
        <v>22.89</v>
      </c>
      <c r="X268" s="3">
        <v>21.68</v>
      </c>
      <c r="Y268" s="3">
        <v>9.2899999999999991</v>
      </c>
    </row>
    <row r="269" spans="1:25" ht="60.75" x14ac:dyDescent="0.25">
      <c r="A269" s="3" t="s">
        <v>26</v>
      </c>
      <c r="B269" s="3" t="s">
        <v>27</v>
      </c>
      <c r="C269" s="3" t="s">
        <v>28</v>
      </c>
      <c r="D269" s="3" t="s">
        <v>62</v>
      </c>
      <c r="E269" s="3" t="s">
        <v>63</v>
      </c>
      <c r="F269" s="3" t="s">
        <v>64</v>
      </c>
      <c r="G269" s="3" t="s">
        <v>63</v>
      </c>
      <c r="H269" s="3" t="s">
        <v>51</v>
      </c>
      <c r="I269" s="3">
        <v>2025</v>
      </c>
      <c r="J269" s="3" t="str">
        <f>CONCATENATE("54820068945")</f>
        <v>54820068945</v>
      </c>
      <c r="K269" s="3" t="s">
        <v>34</v>
      </c>
      <c r="L269" s="3"/>
      <c r="M269" s="3" t="s">
        <v>35</v>
      </c>
      <c r="N269" s="3" t="str">
        <f>CONCATENATE("FTTFNC83S29L500Z")</f>
        <v>FTTFNC83S29L500Z</v>
      </c>
      <c r="O269" s="3" t="s">
        <v>365</v>
      </c>
      <c r="P269" s="3" t="s">
        <v>37</v>
      </c>
      <c r="Q269" s="3"/>
      <c r="R269" s="4">
        <v>46058</v>
      </c>
      <c r="S269" s="3" t="s">
        <v>38</v>
      </c>
      <c r="T269" s="3" t="s">
        <v>39</v>
      </c>
      <c r="U269" s="3" t="s">
        <v>40</v>
      </c>
      <c r="V269" s="3">
        <v>306.47000000000003</v>
      </c>
      <c r="W269" s="3">
        <v>130.25</v>
      </c>
      <c r="X269" s="3">
        <v>123.35</v>
      </c>
      <c r="Y269" s="3">
        <v>52.87</v>
      </c>
    </row>
    <row r="270" spans="1:25" ht="60.75" x14ac:dyDescent="0.25">
      <c r="A270" s="3" t="s">
        <v>26</v>
      </c>
      <c r="B270" s="3" t="s">
        <v>27</v>
      </c>
      <c r="C270" s="3" t="s">
        <v>28</v>
      </c>
      <c r="D270" s="3" t="s">
        <v>45</v>
      </c>
      <c r="E270" s="3" t="s">
        <v>91</v>
      </c>
      <c r="F270" s="3" t="s">
        <v>47</v>
      </c>
      <c r="G270" s="3" t="s">
        <v>91</v>
      </c>
      <c r="H270" s="3" t="s">
        <v>51</v>
      </c>
      <c r="I270" s="3">
        <v>2025</v>
      </c>
      <c r="J270" s="3" t="str">
        <f>CONCATENATE("54820286125")</f>
        <v>54820286125</v>
      </c>
      <c r="K270" s="3" t="s">
        <v>34</v>
      </c>
      <c r="L270" s="3"/>
      <c r="M270" s="3" t="s">
        <v>35</v>
      </c>
      <c r="N270" s="3" t="str">
        <f>CONCATENATE("FRLMLV64C49C357V")</f>
        <v>FRLMLV64C49C357V</v>
      </c>
      <c r="O270" s="3" t="s">
        <v>366</v>
      </c>
      <c r="P270" s="3" t="s">
        <v>37</v>
      </c>
      <c r="Q270" s="3"/>
      <c r="R270" s="4">
        <v>46058</v>
      </c>
      <c r="S270" s="3" t="s">
        <v>38</v>
      </c>
      <c r="T270" s="3" t="s">
        <v>39</v>
      </c>
      <c r="U270" s="3" t="s">
        <v>40</v>
      </c>
      <c r="V270" s="3">
        <v>477.37</v>
      </c>
      <c r="W270" s="3">
        <v>202.88</v>
      </c>
      <c r="X270" s="3">
        <v>192.14</v>
      </c>
      <c r="Y270" s="3">
        <v>82.35</v>
      </c>
    </row>
    <row r="271" spans="1:25" ht="60.75" x14ac:dyDescent="0.25">
      <c r="A271" s="3" t="s">
        <v>26</v>
      </c>
      <c r="B271" s="3" t="s">
        <v>27</v>
      </c>
      <c r="C271" s="3" t="s">
        <v>28</v>
      </c>
      <c r="D271" s="3" t="s">
        <v>41</v>
      </c>
      <c r="E271" s="3" t="s">
        <v>338</v>
      </c>
      <c r="F271" s="3" t="s">
        <v>31</v>
      </c>
      <c r="G271" s="3" t="s">
        <v>338</v>
      </c>
      <c r="H271" s="3" t="s">
        <v>33</v>
      </c>
      <c r="I271" s="3">
        <v>2025</v>
      </c>
      <c r="J271" s="3" t="str">
        <f>CONCATENATE("54820045653")</f>
        <v>54820045653</v>
      </c>
      <c r="K271" s="3" t="s">
        <v>34</v>
      </c>
      <c r="L271" s="3"/>
      <c r="M271" s="3" t="s">
        <v>35</v>
      </c>
      <c r="N271" s="3" t="str">
        <f>CONCATENATE("FCLFNC70E05A329L")</f>
        <v>FCLFNC70E05A329L</v>
      </c>
      <c r="O271" s="3" t="s">
        <v>367</v>
      </c>
      <c r="P271" s="3" t="s">
        <v>37</v>
      </c>
      <c r="Q271" s="3"/>
      <c r="R271" s="4">
        <v>46058</v>
      </c>
      <c r="S271" s="3" t="s">
        <v>38</v>
      </c>
      <c r="T271" s="3" t="s">
        <v>39</v>
      </c>
      <c r="U271" s="3" t="s">
        <v>40</v>
      </c>
      <c r="V271" s="3">
        <v>979.95</v>
      </c>
      <c r="W271" s="3">
        <v>416.48</v>
      </c>
      <c r="X271" s="3">
        <v>394.43</v>
      </c>
      <c r="Y271" s="3">
        <v>169.04</v>
      </c>
    </row>
    <row r="272" spans="1:25" ht="60.75" x14ac:dyDescent="0.25">
      <c r="A272" s="3" t="s">
        <v>26</v>
      </c>
      <c r="B272" s="3" t="s">
        <v>27</v>
      </c>
      <c r="C272" s="3" t="s">
        <v>28</v>
      </c>
      <c r="D272" s="3" t="s">
        <v>41</v>
      </c>
      <c r="E272" s="3" t="s">
        <v>74</v>
      </c>
      <c r="F272" s="3" t="s">
        <v>31</v>
      </c>
      <c r="G272" s="3" t="s">
        <v>74</v>
      </c>
      <c r="H272" s="3" t="s">
        <v>33</v>
      </c>
      <c r="I272" s="3">
        <v>2025</v>
      </c>
      <c r="J272" s="3" t="str">
        <f>CONCATENATE("54820122627")</f>
        <v>54820122627</v>
      </c>
      <c r="K272" s="3" t="s">
        <v>34</v>
      </c>
      <c r="L272" s="3"/>
      <c r="M272" s="3" t="s">
        <v>35</v>
      </c>
      <c r="N272" s="3" t="str">
        <f>CONCATENATE("BDCNDR73T03A366K")</f>
        <v>BDCNDR73T03A366K</v>
      </c>
      <c r="O272" s="3" t="s">
        <v>368</v>
      </c>
      <c r="P272" s="3" t="s">
        <v>37</v>
      </c>
      <c r="Q272" s="3"/>
      <c r="R272" s="4">
        <v>46058</v>
      </c>
      <c r="S272" s="3" t="s">
        <v>38</v>
      </c>
      <c r="T272" s="3" t="s">
        <v>39</v>
      </c>
      <c r="U272" s="3" t="s">
        <v>40</v>
      </c>
      <c r="V272" s="5">
        <v>1889.27</v>
      </c>
      <c r="W272" s="3">
        <v>802.94</v>
      </c>
      <c r="X272" s="3">
        <v>760.43</v>
      </c>
      <c r="Y272" s="3">
        <v>325.89999999999998</v>
      </c>
    </row>
    <row r="273" spans="1:25" ht="60.75" x14ac:dyDescent="0.25">
      <c r="A273" s="3" t="s">
        <v>26</v>
      </c>
      <c r="B273" s="3" t="s">
        <v>27</v>
      </c>
      <c r="C273" s="3" t="s">
        <v>28</v>
      </c>
      <c r="D273" s="3" t="s">
        <v>62</v>
      </c>
      <c r="E273" s="3" t="s">
        <v>81</v>
      </c>
      <c r="F273" s="3" t="s">
        <v>64</v>
      </c>
      <c r="G273" s="3" t="s">
        <v>81</v>
      </c>
      <c r="H273" s="3" t="s">
        <v>43</v>
      </c>
      <c r="I273" s="3">
        <v>2025</v>
      </c>
      <c r="J273" s="3" t="str">
        <f>CONCATENATE("54820097076")</f>
        <v>54820097076</v>
      </c>
      <c r="K273" s="3" t="s">
        <v>34</v>
      </c>
      <c r="L273" s="3"/>
      <c r="M273" s="3" t="s">
        <v>35</v>
      </c>
      <c r="N273" s="3" t="str">
        <f>CONCATENATE("LPSVLM98A15Z155Z")</f>
        <v>LPSVLM98A15Z155Z</v>
      </c>
      <c r="O273" s="3" t="s">
        <v>369</v>
      </c>
      <c r="P273" s="3" t="s">
        <v>37</v>
      </c>
      <c r="Q273" s="3"/>
      <c r="R273" s="4">
        <v>46058</v>
      </c>
      <c r="S273" s="3" t="s">
        <v>38</v>
      </c>
      <c r="T273" s="3" t="s">
        <v>39</v>
      </c>
      <c r="U273" s="3" t="s">
        <v>40</v>
      </c>
      <c r="V273" s="3">
        <v>26.86</v>
      </c>
      <c r="W273" s="3">
        <v>11.42</v>
      </c>
      <c r="X273" s="3">
        <v>10.81</v>
      </c>
      <c r="Y273" s="3">
        <v>4.63</v>
      </c>
    </row>
    <row r="274" spans="1:25" ht="60.75" x14ac:dyDescent="0.25">
      <c r="A274" s="3" t="s">
        <v>26</v>
      </c>
      <c r="B274" s="3" t="s">
        <v>27</v>
      </c>
      <c r="C274" s="3" t="s">
        <v>28</v>
      </c>
      <c r="D274" s="3" t="s">
        <v>45</v>
      </c>
      <c r="E274" s="3" t="s">
        <v>46</v>
      </c>
      <c r="F274" s="3" t="s">
        <v>47</v>
      </c>
      <c r="G274" s="3" t="s">
        <v>46</v>
      </c>
      <c r="H274" s="3" t="s">
        <v>33</v>
      </c>
      <c r="I274" s="3">
        <v>2025</v>
      </c>
      <c r="J274" s="3" t="str">
        <f>CONCATENATE("54820121538")</f>
        <v>54820121538</v>
      </c>
      <c r="K274" s="3" t="s">
        <v>34</v>
      </c>
      <c r="L274" s="3"/>
      <c r="M274" s="3" t="s">
        <v>35</v>
      </c>
      <c r="N274" s="3" t="str">
        <f>CONCATENATE("BLDDTL62P56A366K")</f>
        <v>BLDDTL62P56A366K</v>
      </c>
      <c r="O274" s="3" t="s">
        <v>370</v>
      </c>
      <c r="P274" s="3" t="s">
        <v>37</v>
      </c>
      <c r="Q274" s="3"/>
      <c r="R274" s="4">
        <v>46058</v>
      </c>
      <c r="S274" s="3" t="s">
        <v>38</v>
      </c>
      <c r="T274" s="3" t="s">
        <v>39</v>
      </c>
      <c r="U274" s="3" t="s">
        <v>40</v>
      </c>
      <c r="V274" s="3">
        <v>95.04</v>
      </c>
      <c r="W274" s="3">
        <v>40.39</v>
      </c>
      <c r="X274" s="3">
        <v>38.25</v>
      </c>
      <c r="Y274" s="3">
        <v>16.399999999999999</v>
      </c>
    </row>
    <row r="275" spans="1:25" ht="60.75" x14ac:dyDescent="0.25">
      <c r="A275" s="3" t="s">
        <v>26</v>
      </c>
      <c r="B275" s="3" t="s">
        <v>27</v>
      </c>
      <c r="C275" s="3" t="s">
        <v>28</v>
      </c>
      <c r="D275" s="3" t="s">
        <v>41</v>
      </c>
      <c r="E275" s="3" t="s">
        <v>72</v>
      </c>
      <c r="F275" s="3" t="s">
        <v>31</v>
      </c>
      <c r="G275" s="3" t="s">
        <v>72</v>
      </c>
      <c r="H275" s="3" t="s">
        <v>51</v>
      </c>
      <c r="I275" s="3">
        <v>2025</v>
      </c>
      <c r="J275" s="3" t="str">
        <f>CONCATENATE("54820158589")</f>
        <v>54820158589</v>
      </c>
      <c r="K275" s="3" t="s">
        <v>34</v>
      </c>
      <c r="L275" s="3"/>
      <c r="M275" s="3" t="s">
        <v>35</v>
      </c>
      <c r="N275" s="3" t="str">
        <f>CONCATENATE("MTTSMN70S19I459M")</f>
        <v>MTTSMN70S19I459M</v>
      </c>
      <c r="O275" s="3" t="s">
        <v>371</v>
      </c>
      <c r="P275" s="3" t="s">
        <v>37</v>
      </c>
      <c r="Q275" s="3"/>
      <c r="R275" s="4">
        <v>46058</v>
      </c>
      <c r="S275" s="3" t="s">
        <v>38</v>
      </c>
      <c r="T275" s="3" t="s">
        <v>39</v>
      </c>
      <c r="U275" s="3" t="s">
        <v>40</v>
      </c>
      <c r="V275" s="3">
        <v>895.59</v>
      </c>
      <c r="W275" s="3">
        <v>380.63</v>
      </c>
      <c r="X275" s="3">
        <v>360.47</v>
      </c>
      <c r="Y275" s="3">
        <v>154.49</v>
      </c>
    </row>
    <row r="276" spans="1:25" ht="60.75" x14ac:dyDescent="0.25">
      <c r="A276" s="3" t="s">
        <v>26</v>
      </c>
      <c r="B276" s="3" t="s">
        <v>27</v>
      </c>
      <c r="C276" s="3" t="s">
        <v>28</v>
      </c>
      <c r="D276" s="3" t="s">
        <v>41</v>
      </c>
      <c r="E276" s="3" t="s">
        <v>42</v>
      </c>
      <c r="F276" s="3" t="s">
        <v>31</v>
      </c>
      <c r="G276" s="3" t="s">
        <v>42</v>
      </c>
      <c r="H276" s="3" t="s">
        <v>43</v>
      </c>
      <c r="I276" s="3">
        <v>2025</v>
      </c>
      <c r="J276" s="3" t="str">
        <f>CONCATENATE("54820149539")</f>
        <v>54820149539</v>
      </c>
      <c r="K276" s="3" t="s">
        <v>34</v>
      </c>
      <c r="L276" s="3"/>
      <c r="M276" s="3" t="s">
        <v>35</v>
      </c>
      <c r="N276" s="3" t="str">
        <f>CONCATENATE("STFNCL55C28B474N")</f>
        <v>STFNCL55C28B474N</v>
      </c>
      <c r="O276" s="3" t="s">
        <v>372</v>
      </c>
      <c r="P276" s="3" t="s">
        <v>37</v>
      </c>
      <c r="Q276" s="3"/>
      <c r="R276" s="4">
        <v>46058</v>
      </c>
      <c r="S276" s="3" t="s">
        <v>38</v>
      </c>
      <c r="T276" s="3" t="s">
        <v>39</v>
      </c>
      <c r="U276" s="3" t="s">
        <v>40</v>
      </c>
      <c r="V276" s="3">
        <v>929.05</v>
      </c>
      <c r="W276" s="3">
        <v>394.85</v>
      </c>
      <c r="X276" s="3">
        <v>373.94</v>
      </c>
      <c r="Y276" s="3">
        <v>160.26</v>
      </c>
    </row>
    <row r="277" spans="1:25" ht="60.75" x14ac:dyDescent="0.25">
      <c r="A277" s="3" t="s">
        <v>26</v>
      </c>
      <c r="B277" s="3" t="s">
        <v>27</v>
      </c>
      <c r="C277" s="3" t="s">
        <v>28</v>
      </c>
      <c r="D277" s="3" t="s">
        <v>41</v>
      </c>
      <c r="E277" s="3" t="s">
        <v>119</v>
      </c>
      <c r="F277" s="3" t="s">
        <v>31</v>
      </c>
      <c r="G277" s="3" t="s">
        <v>119</v>
      </c>
      <c r="H277" s="3" t="s">
        <v>51</v>
      </c>
      <c r="I277" s="3">
        <v>2025</v>
      </c>
      <c r="J277" s="3" t="str">
        <f>CONCATENATE("54820133038")</f>
        <v>54820133038</v>
      </c>
      <c r="K277" s="3" t="s">
        <v>34</v>
      </c>
      <c r="L277" s="3"/>
      <c r="M277" s="3" t="s">
        <v>35</v>
      </c>
      <c r="N277" s="3" t="str">
        <f>CONCATENATE("RSLNNL64L05H501A")</f>
        <v>RSLNNL64L05H501A</v>
      </c>
      <c r="O277" s="3" t="s">
        <v>373</v>
      </c>
      <c r="P277" s="3" t="s">
        <v>37</v>
      </c>
      <c r="Q277" s="3"/>
      <c r="R277" s="4">
        <v>46058</v>
      </c>
      <c r="S277" s="3" t="s">
        <v>38</v>
      </c>
      <c r="T277" s="3" t="s">
        <v>39</v>
      </c>
      <c r="U277" s="3" t="s">
        <v>40</v>
      </c>
      <c r="V277" s="5">
        <v>3650.6</v>
      </c>
      <c r="W277" s="5">
        <v>1551.51</v>
      </c>
      <c r="X277" s="5">
        <v>1469.37</v>
      </c>
      <c r="Y277" s="3">
        <v>629.72</v>
      </c>
    </row>
    <row r="278" spans="1:25" ht="60.75" x14ac:dyDescent="0.25">
      <c r="A278" s="3" t="s">
        <v>26</v>
      </c>
      <c r="B278" s="3" t="s">
        <v>27</v>
      </c>
      <c r="C278" s="3" t="s">
        <v>28</v>
      </c>
      <c r="D278" s="3" t="s">
        <v>45</v>
      </c>
      <c r="E278" s="3" t="s">
        <v>50</v>
      </c>
      <c r="F278" s="3" t="s">
        <v>47</v>
      </c>
      <c r="G278" s="3" t="s">
        <v>50</v>
      </c>
      <c r="H278" s="3" t="s">
        <v>51</v>
      </c>
      <c r="I278" s="3">
        <v>2025</v>
      </c>
      <c r="J278" s="3" t="str">
        <f>CONCATENATE("54820234299")</f>
        <v>54820234299</v>
      </c>
      <c r="K278" s="3" t="s">
        <v>34</v>
      </c>
      <c r="L278" s="3"/>
      <c r="M278" s="3" t="s">
        <v>35</v>
      </c>
      <c r="N278" s="3" t="str">
        <f>CONCATENATE("TRNDNL94R03I608L")</f>
        <v>TRNDNL94R03I608L</v>
      </c>
      <c r="O278" s="3" t="s">
        <v>374</v>
      </c>
      <c r="P278" s="3" t="s">
        <v>37</v>
      </c>
      <c r="Q278" s="3"/>
      <c r="R278" s="4">
        <v>46058</v>
      </c>
      <c r="S278" s="3" t="s">
        <v>38</v>
      </c>
      <c r="T278" s="3" t="s">
        <v>39</v>
      </c>
      <c r="U278" s="3" t="s">
        <v>40</v>
      </c>
      <c r="V278" s="3">
        <v>207.85</v>
      </c>
      <c r="W278" s="3">
        <v>88.34</v>
      </c>
      <c r="X278" s="3">
        <v>83.66</v>
      </c>
      <c r="Y278" s="3">
        <v>35.85</v>
      </c>
    </row>
    <row r="279" spans="1:25" ht="36.75" x14ac:dyDescent="0.25">
      <c r="A279" s="3" t="s">
        <v>26</v>
      </c>
      <c r="B279" s="3" t="s">
        <v>27</v>
      </c>
      <c r="C279" s="3" t="s">
        <v>28</v>
      </c>
      <c r="D279" s="3" t="s">
        <v>128</v>
      </c>
      <c r="E279" s="3" t="s">
        <v>375</v>
      </c>
      <c r="F279" s="3" t="s">
        <v>130</v>
      </c>
      <c r="G279" s="3" t="s">
        <v>375</v>
      </c>
      <c r="H279" s="3" t="s">
        <v>33</v>
      </c>
      <c r="I279" s="3">
        <v>2025</v>
      </c>
      <c r="J279" s="3" t="str">
        <f>CONCATENATE("54820168240")</f>
        <v>54820168240</v>
      </c>
      <c r="K279" s="3" t="s">
        <v>34</v>
      </c>
      <c r="L279" s="3"/>
      <c r="M279" s="3" t="s">
        <v>35</v>
      </c>
      <c r="N279" s="3" t="str">
        <f>CONCATENATE("02277590424")</f>
        <v>02277590424</v>
      </c>
      <c r="O279" s="3" t="s">
        <v>376</v>
      </c>
      <c r="P279" s="3" t="s">
        <v>37</v>
      </c>
      <c r="Q279" s="3"/>
      <c r="R279" s="4">
        <v>46058</v>
      </c>
      <c r="S279" s="3" t="s">
        <v>38</v>
      </c>
      <c r="T279" s="3" t="s">
        <v>39</v>
      </c>
      <c r="U279" s="3" t="s">
        <v>40</v>
      </c>
      <c r="V279" s="5">
        <v>4214.1899999999996</v>
      </c>
      <c r="W279" s="5">
        <v>1791.03</v>
      </c>
      <c r="X279" s="5">
        <v>1696.21</v>
      </c>
      <c r="Y279" s="3">
        <v>726.95</v>
      </c>
    </row>
    <row r="280" spans="1:25" ht="60.75" x14ac:dyDescent="0.25">
      <c r="A280" s="3" t="s">
        <v>26</v>
      </c>
      <c r="B280" s="3" t="s">
        <v>27</v>
      </c>
      <c r="C280" s="3" t="s">
        <v>28</v>
      </c>
      <c r="D280" s="3" t="s">
        <v>45</v>
      </c>
      <c r="E280" s="3" t="s">
        <v>214</v>
      </c>
      <c r="F280" s="3" t="s">
        <v>47</v>
      </c>
      <c r="G280" s="3" t="s">
        <v>214</v>
      </c>
      <c r="H280" s="3" t="s">
        <v>68</v>
      </c>
      <c r="I280" s="3">
        <v>2025</v>
      </c>
      <c r="J280" s="3" t="str">
        <f>CONCATENATE("54820212998")</f>
        <v>54820212998</v>
      </c>
      <c r="K280" s="3" t="s">
        <v>34</v>
      </c>
      <c r="L280" s="3"/>
      <c r="M280" s="3" t="s">
        <v>35</v>
      </c>
      <c r="N280" s="3" t="str">
        <f>CONCATENATE("LRAFBA87T03A462Q")</f>
        <v>LRAFBA87T03A462Q</v>
      </c>
      <c r="O280" s="3" t="s">
        <v>377</v>
      </c>
      <c r="P280" s="3" t="s">
        <v>37</v>
      </c>
      <c r="Q280" s="3"/>
      <c r="R280" s="4">
        <v>46058</v>
      </c>
      <c r="S280" s="3" t="s">
        <v>38</v>
      </c>
      <c r="T280" s="3" t="s">
        <v>39</v>
      </c>
      <c r="U280" s="3" t="s">
        <v>40</v>
      </c>
      <c r="V280" s="5">
        <v>1361.94</v>
      </c>
      <c r="W280" s="3">
        <v>578.82000000000005</v>
      </c>
      <c r="X280" s="3">
        <v>548.17999999999995</v>
      </c>
      <c r="Y280" s="3">
        <v>234.94</v>
      </c>
    </row>
    <row r="281" spans="1:25" ht="60.75" x14ac:dyDescent="0.25">
      <c r="A281" s="3" t="s">
        <v>26</v>
      </c>
      <c r="B281" s="3" t="s">
        <v>27</v>
      </c>
      <c r="C281" s="3" t="s">
        <v>28</v>
      </c>
      <c r="D281" s="3" t="s">
        <v>45</v>
      </c>
      <c r="E281" s="3" t="s">
        <v>50</v>
      </c>
      <c r="F281" s="3" t="s">
        <v>47</v>
      </c>
      <c r="G281" s="3" t="s">
        <v>50</v>
      </c>
      <c r="H281" s="3" t="s">
        <v>51</v>
      </c>
      <c r="I281" s="3">
        <v>2025</v>
      </c>
      <c r="J281" s="3" t="str">
        <f>CONCATENATE("54820243860")</f>
        <v>54820243860</v>
      </c>
      <c r="K281" s="3" t="s">
        <v>34</v>
      </c>
      <c r="L281" s="3"/>
      <c r="M281" s="3" t="s">
        <v>35</v>
      </c>
      <c r="N281" s="3" t="str">
        <f>CONCATENATE("MSNPLA75R18G453W")</f>
        <v>MSNPLA75R18G453W</v>
      </c>
      <c r="O281" s="3" t="s">
        <v>378</v>
      </c>
      <c r="P281" s="3" t="s">
        <v>37</v>
      </c>
      <c r="Q281" s="3"/>
      <c r="R281" s="4">
        <v>46058</v>
      </c>
      <c r="S281" s="3" t="s">
        <v>38</v>
      </c>
      <c r="T281" s="3" t="s">
        <v>39</v>
      </c>
      <c r="U281" s="3" t="s">
        <v>40</v>
      </c>
      <c r="V281" s="3">
        <v>384.77</v>
      </c>
      <c r="W281" s="3">
        <v>163.53</v>
      </c>
      <c r="X281" s="3">
        <v>154.87</v>
      </c>
      <c r="Y281" s="3">
        <v>66.37</v>
      </c>
    </row>
    <row r="282" spans="1:25" ht="60.75" x14ac:dyDescent="0.25">
      <c r="A282" s="3" t="s">
        <v>26</v>
      </c>
      <c r="B282" s="3" t="s">
        <v>27</v>
      </c>
      <c r="C282" s="3" t="s">
        <v>28</v>
      </c>
      <c r="D282" s="3" t="s">
        <v>171</v>
      </c>
      <c r="E282" s="3" t="s">
        <v>172</v>
      </c>
      <c r="F282" s="3" t="s">
        <v>171</v>
      </c>
      <c r="G282" s="3" t="s">
        <v>172</v>
      </c>
      <c r="H282" s="3" t="s">
        <v>68</v>
      </c>
      <c r="I282" s="3">
        <v>2025</v>
      </c>
      <c r="J282" s="3" t="str">
        <f>CONCATENATE("54820282801")</f>
        <v>54820282801</v>
      </c>
      <c r="K282" s="3" t="s">
        <v>34</v>
      </c>
      <c r="L282" s="3"/>
      <c r="M282" s="3" t="s">
        <v>35</v>
      </c>
      <c r="N282" s="3" t="str">
        <f>CONCATENATE("GNNLRD70R07A252X")</f>
        <v>GNNLRD70R07A252X</v>
      </c>
      <c r="O282" s="3" t="s">
        <v>379</v>
      </c>
      <c r="P282" s="3" t="s">
        <v>37</v>
      </c>
      <c r="Q282" s="3"/>
      <c r="R282" s="4">
        <v>46058</v>
      </c>
      <c r="S282" s="3" t="s">
        <v>38</v>
      </c>
      <c r="T282" s="3" t="s">
        <v>39</v>
      </c>
      <c r="U282" s="3" t="s">
        <v>40</v>
      </c>
      <c r="V282" s="5">
        <v>5447.86</v>
      </c>
      <c r="W282" s="5">
        <v>2315.34</v>
      </c>
      <c r="X282" s="5">
        <v>2192.7600000000002</v>
      </c>
      <c r="Y282" s="3">
        <v>939.76</v>
      </c>
    </row>
    <row r="283" spans="1:25" ht="60.75" x14ac:dyDescent="0.25">
      <c r="A283" s="3" t="s">
        <v>26</v>
      </c>
      <c r="B283" s="3" t="s">
        <v>27</v>
      </c>
      <c r="C283" s="3" t="s">
        <v>28</v>
      </c>
      <c r="D283" s="3" t="s">
        <v>45</v>
      </c>
      <c r="E283" s="3" t="s">
        <v>93</v>
      </c>
      <c r="F283" s="3" t="s">
        <v>47</v>
      </c>
      <c r="G283" s="3" t="s">
        <v>93</v>
      </c>
      <c r="H283" s="3" t="s">
        <v>51</v>
      </c>
      <c r="I283" s="3">
        <v>2025</v>
      </c>
      <c r="J283" s="3" t="str">
        <f>CONCATENATE("54820182514")</f>
        <v>54820182514</v>
      </c>
      <c r="K283" s="3" t="s">
        <v>34</v>
      </c>
      <c r="L283" s="3"/>
      <c r="M283" s="3" t="s">
        <v>35</v>
      </c>
      <c r="N283" s="3" t="str">
        <f>CONCATENATE("NCCMRS66P65G479V")</f>
        <v>NCCMRS66P65G479V</v>
      </c>
      <c r="O283" s="3" t="s">
        <v>380</v>
      </c>
      <c r="P283" s="3" t="s">
        <v>37</v>
      </c>
      <c r="Q283" s="3"/>
      <c r="R283" s="4">
        <v>46058</v>
      </c>
      <c r="S283" s="3" t="s">
        <v>38</v>
      </c>
      <c r="T283" s="3" t="s">
        <v>39</v>
      </c>
      <c r="U283" s="3" t="s">
        <v>40</v>
      </c>
      <c r="V283" s="5">
        <v>2637.36</v>
      </c>
      <c r="W283" s="5">
        <v>1120.8800000000001</v>
      </c>
      <c r="X283" s="5">
        <v>1061.54</v>
      </c>
      <c r="Y283" s="3">
        <v>454.94</v>
      </c>
    </row>
    <row r="284" spans="1:25" ht="36.75" x14ac:dyDescent="0.25">
      <c r="A284" s="3" t="s">
        <v>26</v>
      </c>
      <c r="B284" s="3" t="s">
        <v>27</v>
      </c>
      <c r="C284" s="3" t="s">
        <v>28</v>
      </c>
      <c r="D284" s="3" t="s">
        <v>171</v>
      </c>
      <c r="E284" s="3" t="s">
        <v>172</v>
      </c>
      <c r="F284" s="3" t="s">
        <v>171</v>
      </c>
      <c r="G284" s="3" t="s">
        <v>172</v>
      </c>
      <c r="H284" s="3" t="s">
        <v>68</v>
      </c>
      <c r="I284" s="3">
        <v>2025</v>
      </c>
      <c r="J284" s="3" t="str">
        <f>CONCATENATE("54820281654")</f>
        <v>54820281654</v>
      </c>
      <c r="K284" s="3" t="s">
        <v>34</v>
      </c>
      <c r="L284" s="3"/>
      <c r="M284" s="3" t="s">
        <v>35</v>
      </c>
      <c r="N284" s="3" t="str">
        <f>CONCATENATE("02547200440")</f>
        <v>02547200440</v>
      </c>
      <c r="O284" s="3" t="s">
        <v>381</v>
      </c>
      <c r="P284" s="3" t="s">
        <v>37</v>
      </c>
      <c r="Q284" s="3"/>
      <c r="R284" s="4">
        <v>46058</v>
      </c>
      <c r="S284" s="3" t="s">
        <v>38</v>
      </c>
      <c r="T284" s="3" t="s">
        <v>39</v>
      </c>
      <c r="U284" s="3" t="s">
        <v>40</v>
      </c>
      <c r="V284" s="5">
        <v>1503.72</v>
      </c>
      <c r="W284" s="3">
        <v>639.08000000000004</v>
      </c>
      <c r="X284" s="3">
        <v>605.25</v>
      </c>
      <c r="Y284" s="3">
        <v>259.39</v>
      </c>
    </row>
    <row r="285" spans="1:25" ht="36.75" x14ac:dyDescent="0.25">
      <c r="A285" s="3" t="s">
        <v>26</v>
      </c>
      <c r="B285" s="3" t="s">
        <v>27</v>
      </c>
      <c r="C285" s="3" t="s">
        <v>28</v>
      </c>
      <c r="D285" s="3" t="s">
        <v>41</v>
      </c>
      <c r="E285" s="3" t="s">
        <v>49</v>
      </c>
      <c r="F285" s="3" t="s">
        <v>31</v>
      </c>
      <c r="G285" s="3" t="s">
        <v>49</v>
      </c>
      <c r="H285" s="3" t="s">
        <v>51</v>
      </c>
      <c r="I285" s="3">
        <v>2025</v>
      </c>
      <c r="J285" s="3" t="str">
        <f>CONCATENATE("54820376298")</f>
        <v>54820376298</v>
      </c>
      <c r="K285" s="3" t="s">
        <v>34</v>
      </c>
      <c r="L285" s="3"/>
      <c r="M285" s="3" t="s">
        <v>35</v>
      </c>
      <c r="N285" s="3" t="str">
        <f>CONCATENATE("01407060415")</f>
        <v>01407060415</v>
      </c>
      <c r="O285" s="3" t="s">
        <v>382</v>
      </c>
      <c r="P285" s="3" t="s">
        <v>37</v>
      </c>
      <c r="Q285" s="3"/>
      <c r="R285" s="4">
        <v>46058</v>
      </c>
      <c r="S285" s="3" t="s">
        <v>38</v>
      </c>
      <c r="T285" s="3" t="s">
        <v>39</v>
      </c>
      <c r="U285" s="3" t="s">
        <v>40</v>
      </c>
      <c r="V285" s="5">
        <v>5343.04</v>
      </c>
      <c r="W285" s="5">
        <v>2270.79</v>
      </c>
      <c r="X285" s="5">
        <v>2150.5700000000002</v>
      </c>
      <c r="Y285" s="3">
        <v>921.68</v>
      </c>
    </row>
    <row r="286" spans="1:25" ht="60.75" x14ac:dyDescent="0.25">
      <c r="A286" s="3" t="s">
        <v>26</v>
      </c>
      <c r="B286" s="3" t="s">
        <v>27</v>
      </c>
      <c r="C286" s="3" t="s">
        <v>28</v>
      </c>
      <c r="D286" s="3" t="s">
        <v>45</v>
      </c>
      <c r="E286" s="3" t="s">
        <v>46</v>
      </c>
      <c r="F286" s="3" t="s">
        <v>47</v>
      </c>
      <c r="G286" s="3" t="s">
        <v>46</v>
      </c>
      <c r="H286" s="3" t="s">
        <v>33</v>
      </c>
      <c r="I286" s="3">
        <v>2025</v>
      </c>
      <c r="J286" s="3" t="str">
        <f>CONCATENATE("54820363007")</f>
        <v>54820363007</v>
      </c>
      <c r="K286" s="3" t="s">
        <v>34</v>
      </c>
      <c r="L286" s="3"/>
      <c r="M286" s="3" t="s">
        <v>35</v>
      </c>
      <c r="N286" s="3" t="str">
        <f>CONCATENATE("CNTGPP42C69I653E")</f>
        <v>CNTGPP42C69I653E</v>
      </c>
      <c r="O286" s="3" t="s">
        <v>383</v>
      </c>
      <c r="P286" s="3" t="s">
        <v>37</v>
      </c>
      <c r="Q286" s="3"/>
      <c r="R286" s="4">
        <v>46058</v>
      </c>
      <c r="S286" s="3" t="s">
        <v>38</v>
      </c>
      <c r="T286" s="3" t="s">
        <v>39</v>
      </c>
      <c r="U286" s="3" t="s">
        <v>40</v>
      </c>
      <c r="V286" s="3">
        <v>401.06</v>
      </c>
      <c r="W286" s="3">
        <v>170.45</v>
      </c>
      <c r="X286" s="3">
        <v>161.43</v>
      </c>
      <c r="Y286" s="3">
        <v>69.180000000000007</v>
      </c>
    </row>
    <row r="287" spans="1:25" ht="60.75" x14ac:dyDescent="0.25">
      <c r="A287" s="3" t="s">
        <v>26</v>
      </c>
      <c r="B287" s="3" t="s">
        <v>27</v>
      </c>
      <c r="C287" s="3" t="s">
        <v>28</v>
      </c>
      <c r="D287" s="3" t="s">
        <v>41</v>
      </c>
      <c r="E287" s="3" t="s">
        <v>53</v>
      </c>
      <c r="F287" s="3" t="s">
        <v>31</v>
      </c>
      <c r="G287" s="3" t="s">
        <v>53</v>
      </c>
      <c r="H287" s="3" t="s">
        <v>51</v>
      </c>
      <c r="I287" s="3">
        <v>2025</v>
      </c>
      <c r="J287" s="3" t="str">
        <f>CONCATENATE("54820020342")</f>
        <v>54820020342</v>
      </c>
      <c r="K287" s="3" t="s">
        <v>34</v>
      </c>
      <c r="L287" s="3"/>
      <c r="M287" s="3" t="s">
        <v>35</v>
      </c>
      <c r="N287" s="3" t="str">
        <f>CONCATENATE("BRTMDL62R56G479T")</f>
        <v>BRTMDL62R56G479T</v>
      </c>
      <c r="O287" s="3" t="s">
        <v>384</v>
      </c>
      <c r="P287" s="3" t="s">
        <v>37</v>
      </c>
      <c r="Q287" s="3"/>
      <c r="R287" s="4">
        <v>46058</v>
      </c>
      <c r="S287" s="3" t="s">
        <v>38</v>
      </c>
      <c r="T287" s="3" t="s">
        <v>39</v>
      </c>
      <c r="U287" s="3" t="s">
        <v>40</v>
      </c>
      <c r="V287" s="5">
        <v>1146.3</v>
      </c>
      <c r="W287" s="3">
        <v>487.18</v>
      </c>
      <c r="X287" s="3">
        <v>461.39</v>
      </c>
      <c r="Y287" s="3">
        <v>197.73</v>
      </c>
    </row>
    <row r="288" spans="1:25" ht="72.75" x14ac:dyDescent="0.25">
      <c r="A288" s="3" t="s">
        <v>26</v>
      </c>
      <c r="B288" s="3" t="s">
        <v>27</v>
      </c>
      <c r="C288" s="3" t="s">
        <v>28</v>
      </c>
      <c r="D288" s="3" t="s">
        <v>41</v>
      </c>
      <c r="E288" s="3" t="s">
        <v>53</v>
      </c>
      <c r="F288" s="3" t="s">
        <v>31</v>
      </c>
      <c r="G288" s="3" t="s">
        <v>53</v>
      </c>
      <c r="H288" s="3" t="s">
        <v>51</v>
      </c>
      <c r="I288" s="3">
        <v>2025</v>
      </c>
      <c r="J288" s="3" t="str">
        <f>CONCATENATE("54820148671")</f>
        <v>54820148671</v>
      </c>
      <c r="K288" s="3" t="s">
        <v>34</v>
      </c>
      <c r="L288" s="3"/>
      <c r="M288" s="3" t="s">
        <v>35</v>
      </c>
      <c r="N288" s="3" t="str">
        <f>CONCATENATE("MRNMRP40H51I344T")</f>
        <v>MRNMRP40H51I344T</v>
      </c>
      <c r="O288" s="3" t="s">
        <v>385</v>
      </c>
      <c r="P288" s="3" t="s">
        <v>37</v>
      </c>
      <c r="Q288" s="3"/>
      <c r="R288" s="4">
        <v>46058</v>
      </c>
      <c r="S288" s="3" t="s">
        <v>38</v>
      </c>
      <c r="T288" s="3" t="s">
        <v>39</v>
      </c>
      <c r="U288" s="3" t="s">
        <v>40</v>
      </c>
      <c r="V288" s="3">
        <v>124.86</v>
      </c>
      <c r="W288" s="3">
        <v>53.07</v>
      </c>
      <c r="X288" s="3">
        <v>50.26</v>
      </c>
      <c r="Y288" s="3">
        <v>21.53</v>
      </c>
    </row>
    <row r="289" spans="1:25" ht="36.75" x14ac:dyDescent="0.25">
      <c r="A289" s="3" t="s">
        <v>26</v>
      </c>
      <c r="B289" s="3" t="s">
        <v>27</v>
      </c>
      <c r="C289" s="3" t="s">
        <v>28</v>
      </c>
      <c r="D289" s="3" t="s">
        <v>62</v>
      </c>
      <c r="E289" s="3" t="s">
        <v>181</v>
      </c>
      <c r="F289" s="3" t="s">
        <v>64</v>
      </c>
      <c r="G289" s="3" t="s">
        <v>181</v>
      </c>
      <c r="H289" s="3" t="s">
        <v>51</v>
      </c>
      <c r="I289" s="3">
        <v>2025</v>
      </c>
      <c r="J289" s="3" t="str">
        <f>CONCATENATE("54820068887")</f>
        <v>54820068887</v>
      </c>
      <c r="K289" s="3" t="s">
        <v>34</v>
      </c>
      <c r="L289" s="3"/>
      <c r="M289" s="3" t="s">
        <v>35</v>
      </c>
      <c r="N289" s="3" t="str">
        <f>CONCATENATE("02468780412")</f>
        <v>02468780412</v>
      </c>
      <c r="O289" s="3" t="s">
        <v>386</v>
      </c>
      <c r="P289" s="3" t="s">
        <v>37</v>
      </c>
      <c r="Q289" s="3"/>
      <c r="R289" s="4">
        <v>46058</v>
      </c>
      <c r="S289" s="3" t="s">
        <v>38</v>
      </c>
      <c r="T289" s="3" t="s">
        <v>39</v>
      </c>
      <c r="U289" s="3" t="s">
        <v>40</v>
      </c>
      <c r="V289" s="5">
        <v>2894.8</v>
      </c>
      <c r="W289" s="5">
        <v>1230.29</v>
      </c>
      <c r="X289" s="5">
        <v>1165.1600000000001</v>
      </c>
      <c r="Y289" s="3">
        <v>499.35</v>
      </c>
    </row>
    <row r="290" spans="1:25" ht="36.75" x14ac:dyDescent="0.25">
      <c r="A290" s="3" t="s">
        <v>26</v>
      </c>
      <c r="B290" s="3" t="s">
        <v>27</v>
      </c>
      <c r="C290" s="3" t="s">
        <v>28</v>
      </c>
      <c r="D290" s="3" t="s">
        <v>128</v>
      </c>
      <c r="E290" s="3" t="s">
        <v>129</v>
      </c>
      <c r="F290" s="3" t="s">
        <v>130</v>
      </c>
      <c r="G290" s="3" t="s">
        <v>129</v>
      </c>
      <c r="H290" s="3" t="s">
        <v>68</v>
      </c>
      <c r="I290" s="3">
        <v>2025</v>
      </c>
      <c r="J290" s="3" t="str">
        <f>CONCATENATE("54820120209")</f>
        <v>54820120209</v>
      </c>
      <c r="K290" s="3" t="s">
        <v>34</v>
      </c>
      <c r="L290" s="3"/>
      <c r="M290" s="3" t="s">
        <v>35</v>
      </c>
      <c r="N290" s="3" t="str">
        <f>CONCATENATE("01551500448")</f>
        <v>01551500448</v>
      </c>
      <c r="O290" s="3" t="s">
        <v>387</v>
      </c>
      <c r="P290" s="3" t="s">
        <v>37</v>
      </c>
      <c r="Q290" s="3"/>
      <c r="R290" s="4">
        <v>46058</v>
      </c>
      <c r="S290" s="3" t="s">
        <v>38</v>
      </c>
      <c r="T290" s="3" t="s">
        <v>39</v>
      </c>
      <c r="U290" s="3" t="s">
        <v>40</v>
      </c>
      <c r="V290" s="3">
        <v>930.81</v>
      </c>
      <c r="W290" s="3">
        <v>395.59</v>
      </c>
      <c r="X290" s="3">
        <v>374.65</v>
      </c>
      <c r="Y290" s="3">
        <v>160.57</v>
      </c>
    </row>
    <row r="291" spans="1:25" ht="60.75" x14ac:dyDescent="0.25">
      <c r="A291" s="3" t="s">
        <v>26</v>
      </c>
      <c r="B291" s="3" t="s">
        <v>27</v>
      </c>
      <c r="C291" s="3" t="s">
        <v>28</v>
      </c>
      <c r="D291" s="3" t="s">
        <v>41</v>
      </c>
      <c r="E291" s="3" t="s">
        <v>49</v>
      </c>
      <c r="F291" s="3" t="s">
        <v>31</v>
      </c>
      <c r="G291" s="3" t="s">
        <v>49</v>
      </c>
      <c r="H291" s="3" t="s">
        <v>51</v>
      </c>
      <c r="I291" s="3">
        <v>2025</v>
      </c>
      <c r="J291" s="3" t="str">
        <f>CONCATENATE("54820133459")</f>
        <v>54820133459</v>
      </c>
      <c r="K291" s="3" t="s">
        <v>34</v>
      </c>
      <c r="L291" s="3"/>
      <c r="M291" s="3" t="s">
        <v>35</v>
      </c>
      <c r="N291" s="3" t="str">
        <f>CONCATENATE("FRRMRA61L13B352A")</f>
        <v>FRRMRA61L13B352A</v>
      </c>
      <c r="O291" s="3" t="s">
        <v>388</v>
      </c>
      <c r="P291" s="3" t="s">
        <v>37</v>
      </c>
      <c r="Q291" s="3"/>
      <c r="R291" s="4">
        <v>46058</v>
      </c>
      <c r="S291" s="3" t="s">
        <v>38</v>
      </c>
      <c r="T291" s="3" t="s">
        <v>39</v>
      </c>
      <c r="U291" s="3" t="s">
        <v>40</v>
      </c>
      <c r="V291" s="3">
        <v>156.22999999999999</v>
      </c>
      <c r="W291" s="3">
        <v>66.400000000000006</v>
      </c>
      <c r="X291" s="3">
        <v>62.88</v>
      </c>
      <c r="Y291" s="3">
        <v>26.95</v>
      </c>
    </row>
    <row r="292" spans="1:25" ht="60.75" x14ac:dyDescent="0.25">
      <c r="A292" s="3" t="s">
        <v>26</v>
      </c>
      <c r="B292" s="3" t="s">
        <v>27</v>
      </c>
      <c r="C292" s="3" t="s">
        <v>28</v>
      </c>
      <c r="D292" s="3" t="s">
        <v>45</v>
      </c>
      <c r="E292" s="3" t="s">
        <v>50</v>
      </c>
      <c r="F292" s="3" t="s">
        <v>47</v>
      </c>
      <c r="G292" s="3" t="s">
        <v>50</v>
      </c>
      <c r="H292" s="3" t="s">
        <v>51</v>
      </c>
      <c r="I292" s="3">
        <v>2025</v>
      </c>
      <c r="J292" s="3" t="str">
        <f>CONCATENATE("54820089719")</f>
        <v>54820089719</v>
      </c>
      <c r="K292" s="3" t="s">
        <v>34</v>
      </c>
      <c r="L292" s="3"/>
      <c r="M292" s="3" t="s">
        <v>35</v>
      </c>
      <c r="N292" s="3" t="str">
        <f>CONCATENATE("FRCGFR81T11E256F")</f>
        <v>FRCGFR81T11E256F</v>
      </c>
      <c r="O292" s="3" t="s">
        <v>389</v>
      </c>
      <c r="P292" s="3" t="s">
        <v>37</v>
      </c>
      <c r="Q292" s="3"/>
      <c r="R292" s="4">
        <v>46058</v>
      </c>
      <c r="S292" s="3" t="s">
        <v>38</v>
      </c>
      <c r="T292" s="3" t="s">
        <v>39</v>
      </c>
      <c r="U292" s="3" t="s">
        <v>40</v>
      </c>
      <c r="V292" s="3">
        <v>745.26</v>
      </c>
      <c r="W292" s="3">
        <v>316.74</v>
      </c>
      <c r="X292" s="3">
        <v>299.97000000000003</v>
      </c>
      <c r="Y292" s="3">
        <v>128.55000000000001</v>
      </c>
    </row>
    <row r="293" spans="1:25" ht="60.75" x14ac:dyDescent="0.25">
      <c r="A293" s="3" t="s">
        <v>26</v>
      </c>
      <c r="B293" s="3" t="s">
        <v>27</v>
      </c>
      <c r="C293" s="3" t="s">
        <v>28</v>
      </c>
      <c r="D293" s="3" t="s">
        <v>62</v>
      </c>
      <c r="E293" s="3" t="s">
        <v>390</v>
      </c>
      <c r="F293" s="3" t="s">
        <v>64</v>
      </c>
      <c r="G293" s="3" t="s">
        <v>390</v>
      </c>
      <c r="H293" s="3" t="s">
        <v>43</v>
      </c>
      <c r="I293" s="3">
        <v>2025</v>
      </c>
      <c r="J293" s="3" t="str">
        <f>CONCATENATE("54820063433")</f>
        <v>54820063433</v>
      </c>
      <c r="K293" s="3" t="s">
        <v>34</v>
      </c>
      <c r="L293" s="3"/>
      <c r="M293" s="3" t="s">
        <v>35</v>
      </c>
      <c r="N293" s="3" t="str">
        <f>CONCATENATE("CHPGFR55D15H876I")</f>
        <v>CHPGFR55D15H876I</v>
      </c>
      <c r="O293" s="3" t="s">
        <v>391</v>
      </c>
      <c r="P293" s="3" t="s">
        <v>37</v>
      </c>
      <c r="Q293" s="3"/>
      <c r="R293" s="4">
        <v>46058</v>
      </c>
      <c r="S293" s="3" t="s">
        <v>38</v>
      </c>
      <c r="T293" s="3" t="s">
        <v>39</v>
      </c>
      <c r="U293" s="3" t="s">
        <v>40</v>
      </c>
      <c r="V293" s="3">
        <v>796.19</v>
      </c>
      <c r="W293" s="3">
        <v>338.38</v>
      </c>
      <c r="X293" s="3">
        <v>320.47000000000003</v>
      </c>
      <c r="Y293" s="3">
        <v>137.34</v>
      </c>
    </row>
    <row r="294" spans="1:25" ht="60.75" x14ac:dyDescent="0.25">
      <c r="A294" s="3" t="s">
        <v>26</v>
      </c>
      <c r="B294" s="3" t="s">
        <v>27</v>
      </c>
      <c r="C294" s="3" t="s">
        <v>28</v>
      </c>
      <c r="D294" s="3" t="s">
        <v>45</v>
      </c>
      <c r="E294" s="3" t="s">
        <v>86</v>
      </c>
      <c r="F294" s="3" t="s">
        <v>47</v>
      </c>
      <c r="G294" s="3" t="s">
        <v>86</v>
      </c>
      <c r="H294" s="3" t="s">
        <v>51</v>
      </c>
      <c r="I294" s="3">
        <v>2025</v>
      </c>
      <c r="J294" s="3" t="str">
        <f>CONCATENATE("54820119490")</f>
        <v>54820119490</v>
      </c>
      <c r="K294" s="3" t="s">
        <v>34</v>
      </c>
      <c r="L294" s="3"/>
      <c r="M294" s="3" t="s">
        <v>35</v>
      </c>
      <c r="N294" s="3" t="str">
        <f>CONCATENATE("RSTSLV77L43H294W")</f>
        <v>RSTSLV77L43H294W</v>
      </c>
      <c r="O294" s="3" t="s">
        <v>392</v>
      </c>
      <c r="P294" s="3" t="s">
        <v>37</v>
      </c>
      <c r="Q294" s="3"/>
      <c r="R294" s="4">
        <v>46058</v>
      </c>
      <c r="S294" s="3" t="s">
        <v>38</v>
      </c>
      <c r="T294" s="3" t="s">
        <v>39</v>
      </c>
      <c r="U294" s="3" t="s">
        <v>40</v>
      </c>
      <c r="V294" s="5">
        <v>1578.31</v>
      </c>
      <c r="W294" s="3">
        <v>670.78</v>
      </c>
      <c r="X294" s="3">
        <v>635.27</v>
      </c>
      <c r="Y294" s="3">
        <v>272.26</v>
      </c>
    </row>
    <row r="295" spans="1:25" ht="60.75" x14ac:dyDescent="0.25">
      <c r="A295" s="3" t="s">
        <v>26</v>
      </c>
      <c r="B295" s="3" t="s">
        <v>27</v>
      </c>
      <c r="C295" s="3" t="s">
        <v>28</v>
      </c>
      <c r="D295" s="3" t="s">
        <v>62</v>
      </c>
      <c r="E295" s="3" t="s">
        <v>63</v>
      </c>
      <c r="F295" s="3" t="s">
        <v>64</v>
      </c>
      <c r="G295" s="3" t="s">
        <v>63</v>
      </c>
      <c r="H295" s="3" t="s">
        <v>51</v>
      </c>
      <c r="I295" s="3">
        <v>2025</v>
      </c>
      <c r="J295" s="3" t="str">
        <f>CONCATENATE("54820106117")</f>
        <v>54820106117</v>
      </c>
      <c r="K295" s="3" t="s">
        <v>34</v>
      </c>
      <c r="L295" s="3"/>
      <c r="M295" s="3" t="s">
        <v>35</v>
      </c>
      <c r="N295" s="3" t="str">
        <f>CONCATENATE("ZCCDMS87H10L500J")</f>
        <v>ZCCDMS87H10L500J</v>
      </c>
      <c r="O295" s="3" t="s">
        <v>393</v>
      </c>
      <c r="P295" s="3" t="s">
        <v>37</v>
      </c>
      <c r="Q295" s="3"/>
      <c r="R295" s="4">
        <v>46058</v>
      </c>
      <c r="S295" s="3" t="s">
        <v>38</v>
      </c>
      <c r="T295" s="3" t="s">
        <v>39</v>
      </c>
      <c r="U295" s="3" t="s">
        <v>40</v>
      </c>
      <c r="V295" s="3">
        <v>824.96</v>
      </c>
      <c r="W295" s="3">
        <v>350.61</v>
      </c>
      <c r="X295" s="3">
        <v>332.05</v>
      </c>
      <c r="Y295" s="3">
        <v>142.30000000000001</v>
      </c>
    </row>
    <row r="296" spans="1:25" ht="60.75" x14ac:dyDescent="0.25">
      <c r="A296" s="3" t="s">
        <v>26</v>
      </c>
      <c r="B296" s="3" t="s">
        <v>27</v>
      </c>
      <c r="C296" s="3" t="s">
        <v>28</v>
      </c>
      <c r="D296" s="3" t="s">
        <v>45</v>
      </c>
      <c r="E296" s="3" t="s">
        <v>214</v>
      </c>
      <c r="F296" s="3" t="s">
        <v>47</v>
      </c>
      <c r="G296" s="3" t="s">
        <v>214</v>
      </c>
      <c r="H296" s="3" t="s">
        <v>68</v>
      </c>
      <c r="I296" s="3">
        <v>2025</v>
      </c>
      <c r="J296" s="3" t="str">
        <f>CONCATENATE("54820168547")</f>
        <v>54820168547</v>
      </c>
      <c r="K296" s="3" t="s">
        <v>34</v>
      </c>
      <c r="L296" s="3"/>
      <c r="M296" s="3" t="s">
        <v>35</v>
      </c>
      <c r="N296" s="3" t="str">
        <f>CONCATENATE("PLOMHL75B68A462C")</f>
        <v>PLOMHL75B68A462C</v>
      </c>
      <c r="O296" s="3" t="s">
        <v>394</v>
      </c>
      <c r="P296" s="3" t="s">
        <v>37</v>
      </c>
      <c r="Q296" s="3"/>
      <c r="R296" s="4">
        <v>46058</v>
      </c>
      <c r="S296" s="3" t="s">
        <v>38</v>
      </c>
      <c r="T296" s="3" t="s">
        <v>39</v>
      </c>
      <c r="U296" s="3" t="s">
        <v>40</v>
      </c>
      <c r="V296" s="3">
        <v>49.06</v>
      </c>
      <c r="W296" s="3">
        <v>20.85</v>
      </c>
      <c r="X296" s="3">
        <v>19.75</v>
      </c>
      <c r="Y296" s="3">
        <v>8.4600000000000009</v>
      </c>
    </row>
    <row r="297" spans="1:25" ht="60.75" x14ac:dyDescent="0.25">
      <c r="A297" s="3" t="s">
        <v>26</v>
      </c>
      <c r="B297" s="3" t="s">
        <v>27</v>
      </c>
      <c r="C297" s="3" t="s">
        <v>28</v>
      </c>
      <c r="D297" s="3" t="s">
        <v>41</v>
      </c>
      <c r="E297" s="3" t="s">
        <v>57</v>
      </c>
      <c r="F297" s="3" t="s">
        <v>31</v>
      </c>
      <c r="G297" s="3" t="s">
        <v>57</v>
      </c>
      <c r="H297" s="3" t="s">
        <v>51</v>
      </c>
      <c r="I297" s="3">
        <v>2025</v>
      </c>
      <c r="J297" s="3" t="str">
        <f>CONCATENATE("54820153655")</f>
        <v>54820153655</v>
      </c>
      <c r="K297" s="3" t="s">
        <v>34</v>
      </c>
      <c r="L297" s="3"/>
      <c r="M297" s="3" t="s">
        <v>35</v>
      </c>
      <c r="N297" s="3" t="str">
        <f>CONCATENATE("FRMGLC79E12L500W")</f>
        <v>FRMGLC79E12L500W</v>
      </c>
      <c r="O297" s="3" t="s">
        <v>395</v>
      </c>
      <c r="P297" s="3" t="s">
        <v>37</v>
      </c>
      <c r="Q297" s="3"/>
      <c r="R297" s="4">
        <v>46058</v>
      </c>
      <c r="S297" s="3" t="s">
        <v>38</v>
      </c>
      <c r="T297" s="3" t="s">
        <v>39</v>
      </c>
      <c r="U297" s="3" t="s">
        <v>40</v>
      </c>
      <c r="V297" s="3">
        <v>627.16</v>
      </c>
      <c r="W297" s="3">
        <v>266.54000000000002</v>
      </c>
      <c r="X297" s="3">
        <v>252.43</v>
      </c>
      <c r="Y297" s="3">
        <v>108.19</v>
      </c>
    </row>
    <row r="298" spans="1:25" ht="60.75" x14ac:dyDescent="0.25">
      <c r="A298" s="3" t="s">
        <v>26</v>
      </c>
      <c r="B298" s="3" t="s">
        <v>27</v>
      </c>
      <c r="C298" s="3" t="s">
        <v>28</v>
      </c>
      <c r="D298" s="3" t="s">
        <v>45</v>
      </c>
      <c r="E298" s="3" t="s">
        <v>214</v>
      </c>
      <c r="F298" s="3" t="s">
        <v>47</v>
      </c>
      <c r="G298" s="3" t="s">
        <v>214</v>
      </c>
      <c r="H298" s="3" t="s">
        <v>68</v>
      </c>
      <c r="I298" s="3">
        <v>2025</v>
      </c>
      <c r="J298" s="3" t="str">
        <f>CONCATENATE("54820185186")</f>
        <v>54820185186</v>
      </c>
      <c r="K298" s="3" t="s">
        <v>34</v>
      </c>
      <c r="L298" s="3"/>
      <c r="M298" s="3" t="s">
        <v>35</v>
      </c>
      <c r="N298" s="3" t="str">
        <f>CONCATENATE("DCSCLD86E47A258K")</f>
        <v>DCSCLD86E47A258K</v>
      </c>
      <c r="O298" s="3" t="s">
        <v>396</v>
      </c>
      <c r="P298" s="3" t="s">
        <v>37</v>
      </c>
      <c r="Q298" s="3"/>
      <c r="R298" s="4">
        <v>46058</v>
      </c>
      <c r="S298" s="3" t="s">
        <v>38</v>
      </c>
      <c r="T298" s="3" t="s">
        <v>39</v>
      </c>
      <c r="U298" s="3" t="s">
        <v>40</v>
      </c>
      <c r="V298" s="3">
        <v>25.79</v>
      </c>
      <c r="W298" s="3">
        <v>10.96</v>
      </c>
      <c r="X298" s="3">
        <v>10.38</v>
      </c>
      <c r="Y298" s="3">
        <v>4.45</v>
      </c>
    </row>
    <row r="299" spans="1:25" ht="36.75" x14ac:dyDescent="0.25">
      <c r="A299" s="3" t="s">
        <v>26</v>
      </c>
      <c r="B299" s="3" t="s">
        <v>27</v>
      </c>
      <c r="C299" s="3" t="s">
        <v>28</v>
      </c>
      <c r="D299" s="3" t="s">
        <v>128</v>
      </c>
      <c r="E299" s="3" t="s">
        <v>179</v>
      </c>
      <c r="F299" s="3" t="s">
        <v>130</v>
      </c>
      <c r="G299" s="3" t="s">
        <v>179</v>
      </c>
      <c r="H299" s="3" t="s">
        <v>43</v>
      </c>
      <c r="I299" s="3">
        <v>2025</v>
      </c>
      <c r="J299" s="3" t="str">
        <f>CONCATENATE("54820120696")</f>
        <v>54820120696</v>
      </c>
      <c r="K299" s="3" t="s">
        <v>34</v>
      </c>
      <c r="L299" s="3"/>
      <c r="M299" s="3" t="s">
        <v>35</v>
      </c>
      <c r="N299" s="3" t="str">
        <f>CONCATENATE("01910620432")</f>
        <v>01910620432</v>
      </c>
      <c r="O299" s="3" t="s">
        <v>397</v>
      </c>
      <c r="P299" s="3" t="s">
        <v>37</v>
      </c>
      <c r="Q299" s="3"/>
      <c r="R299" s="4">
        <v>46058</v>
      </c>
      <c r="S299" s="3" t="s">
        <v>38</v>
      </c>
      <c r="T299" s="3" t="s">
        <v>39</v>
      </c>
      <c r="U299" s="3" t="s">
        <v>40</v>
      </c>
      <c r="V299" s="5">
        <v>7308.84</v>
      </c>
      <c r="W299" s="5">
        <v>3106.26</v>
      </c>
      <c r="X299" s="5">
        <v>2941.81</v>
      </c>
      <c r="Y299" s="5">
        <v>1260.77</v>
      </c>
    </row>
    <row r="300" spans="1:25" ht="36.75" x14ac:dyDescent="0.25">
      <c r="A300" s="3" t="s">
        <v>26</v>
      </c>
      <c r="B300" s="3" t="s">
        <v>27</v>
      </c>
      <c r="C300" s="3" t="s">
        <v>28</v>
      </c>
      <c r="D300" s="3" t="s">
        <v>398</v>
      </c>
      <c r="E300" s="3" t="s">
        <v>399</v>
      </c>
      <c r="F300" s="3" t="s">
        <v>400</v>
      </c>
      <c r="G300" s="3" t="s">
        <v>399</v>
      </c>
      <c r="H300" s="3" t="s">
        <v>51</v>
      </c>
      <c r="I300" s="3">
        <v>2025</v>
      </c>
      <c r="J300" s="3" t="str">
        <f>CONCATENATE("54820217914")</f>
        <v>54820217914</v>
      </c>
      <c r="K300" s="3" t="s">
        <v>34</v>
      </c>
      <c r="L300" s="3"/>
      <c r="M300" s="3" t="s">
        <v>35</v>
      </c>
      <c r="N300" s="3" t="str">
        <f>CONCATENATE("01742200403")</f>
        <v>01742200403</v>
      </c>
      <c r="O300" s="3" t="s">
        <v>401</v>
      </c>
      <c r="P300" s="3" t="s">
        <v>37</v>
      </c>
      <c r="Q300" s="3"/>
      <c r="R300" s="4">
        <v>46058</v>
      </c>
      <c r="S300" s="3" t="s">
        <v>38</v>
      </c>
      <c r="T300" s="3" t="s">
        <v>39</v>
      </c>
      <c r="U300" s="3" t="s">
        <v>40</v>
      </c>
      <c r="V300" s="3">
        <v>999.79</v>
      </c>
      <c r="W300" s="3">
        <v>424.91</v>
      </c>
      <c r="X300" s="3">
        <v>402.42</v>
      </c>
      <c r="Y300" s="3">
        <v>172.46</v>
      </c>
    </row>
    <row r="301" spans="1:25" ht="60.75" x14ac:dyDescent="0.25">
      <c r="A301" s="3" t="s">
        <v>26</v>
      </c>
      <c r="B301" s="3" t="s">
        <v>27</v>
      </c>
      <c r="C301" s="3" t="s">
        <v>28</v>
      </c>
      <c r="D301" s="3" t="s">
        <v>402</v>
      </c>
      <c r="E301" s="3" t="s">
        <v>403</v>
      </c>
      <c r="F301" s="3" t="s">
        <v>404</v>
      </c>
      <c r="G301" s="3" t="s">
        <v>403</v>
      </c>
      <c r="H301" s="3" t="s">
        <v>68</v>
      </c>
      <c r="I301" s="3">
        <v>2025</v>
      </c>
      <c r="J301" s="3" t="str">
        <f>CONCATENATE("54820238720")</f>
        <v>54820238720</v>
      </c>
      <c r="K301" s="3" t="s">
        <v>34</v>
      </c>
      <c r="L301" s="3"/>
      <c r="M301" s="3" t="s">
        <v>35</v>
      </c>
      <c r="N301" s="3" t="str">
        <f>CONCATENATE("MRLGNN90A23A462Z")</f>
        <v>MRLGNN90A23A462Z</v>
      </c>
      <c r="O301" s="3" t="s">
        <v>405</v>
      </c>
      <c r="P301" s="3" t="s">
        <v>37</v>
      </c>
      <c r="Q301" s="3"/>
      <c r="R301" s="4">
        <v>46058</v>
      </c>
      <c r="S301" s="3" t="s">
        <v>38</v>
      </c>
      <c r="T301" s="3" t="s">
        <v>39</v>
      </c>
      <c r="U301" s="3" t="s">
        <v>40</v>
      </c>
      <c r="V301" s="3">
        <v>39.64</v>
      </c>
      <c r="W301" s="3">
        <v>16.850000000000001</v>
      </c>
      <c r="X301" s="3">
        <v>15.96</v>
      </c>
      <c r="Y301" s="3">
        <v>6.83</v>
      </c>
    </row>
    <row r="302" spans="1:25" ht="60.75" x14ac:dyDescent="0.25">
      <c r="A302" s="3" t="s">
        <v>26</v>
      </c>
      <c r="B302" s="3" t="s">
        <v>27</v>
      </c>
      <c r="C302" s="3" t="s">
        <v>28</v>
      </c>
      <c r="D302" s="3" t="s">
        <v>41</v>
      </c>
      <c r="E302" s="3" t="s">
        <v>49</v>
      </c>
      <c r="F302" s="3" t="s">
        <v>31</v>
      </c>
      <c r="G302" s="3" t="s">
        <v>49</v>
      </c>
      <c r="H302" s="3" t="s">
        <v>51</v>
      </c>
      <c r="I302" s="3">
        <v>2025</v>
      </c>
      <c r="J302" s="3" t="str">
        <f>CONCATENATE("54820171616")</f>
        <v>54820171616</v>
      </c>
      <c r="K302" s="3" t="s">
        <v>34</v>
      </c>
      <c r="L302" s="3"/>
      <c r="M302" s="3" t="s">
        <v>35</v>
      </c>
      <c r="N302" s="3" t="str">
        <f>CONCATENATE("GRLLRI96R48C745B")</f>
        <v>GRLLRI96R48C745B</v>
      </c>
      <c r="O302" s="3" t="s">
        <v>406</v>
      </c>
      <c r="P302" s="3" t="s">
        <v>37</v>
      </c>
      <c r="Q302" s="3"/>
      <c r="R302" s="4">
        <v>46058</v>
      </c>
      <c r="S302" s="3" t="s">
        <v>38</v>
      </c>
      <c r="T302" s="3" t="s">
        <v>39</v>
      </c>
      <c r="U302" s="3" t="s">
        <v>40</v>
      </c>
      <c r="V302" s="5">
        <v>1416.28</v>
      </c>
      <c r="W302" s="3">
        <v>601.91999999999996</v>
      </c>
      <c r="X302" s="3">
        <v>570.04999999999995</v>
      </c>
      <c r="Y302" s="3">
        <v>244.31</v>
      </c>
    </row>
    <row r="303" spans="1:25" ht="36.75" x14ac:dyDescent="0.25">
      <c r="A303" s="3" t="s">
        <v>26</v>
      </c>
      <c r="B303" s="3" t="s">
        <v>27</v>
      </c>
      <c r="C303" s="3" t="s">
        <v>28</v>
      </c>
      <c r="D303" s="3" t="s">
        <v>45</v>
      </c>
      <c r="E303" s="3" t="s">
        <v>122</v>
      </c>
      <c r="F303" s="3" t="s">
        <v>47</v>
      </c>
      <c r="G303" s="3" t="s">
        <v>122</v>
      </c>
      <c r="H303" s="3" t="s">
        <v>68</v>
      </c>
      <c r="I303" s="3">
        <v>2025</v>
      </c>
      <c r="J303" s="3" t="str">
        <f>CONCATENATE("54820267638")</f>
        <v>54820267638</v>
      </c>
      <c r="K303" s="3" t="s">
        <v>34</v>
      </c>
      <c r="L303" s="3"/>
      <c r="M303" s="3" t="s">
        <v>35</v>
      </c>
      <c r="N303" s="3" t="str">
        <f>CONCATENATE("00439150442")</f>
        <v>00439150442</v>
      </c>
      <c r="O303" s="3" t="s">
        <v>407</v>
      </c>
      <c r="P303" s="3" t="s">
        <v>37</v>
      </c>
      <c r="Q303" s="3"/>
      <c r="R303" s="4">
        <v>46058</v>
      </c>
      <c r="S303" s="3" t="s">
        <v>38</v>
      </c>
      <c r="T303" s="3" t="s">
        <v>39</v>
      </c>
      <c r="U303" s="3" t="s">
        <v>40</v>
      </c>
      <c r="V303" s="5">
        <v>7135.24</v>
      </c>
      <c r="W303" s="5">
        <v>3032.48</v>
      </c>
      <c r="X303" s="5">
        <v>2871.93</v>
      </c>
      <c r="Y303" s="5">
        <v>1230.83</v>
      </c>
    </row>
    <row r="304" spans="1:25" ht="60.75" x14ac:dyDescent="0.25">
      <c r="A304" s="3" t="s">
        <v>26</v>
      </c>
      <c r="B304" s="3" t="s">
        <v>27</v>
      </c>
      <c r="C304" s="3" t="s">
        <v>28</v>
      </c>
      <c r="D304" s="3" t="s">
        <v>398</v>
      </c>
      <c r="E304" s="3" t="s">
        <v>399</v>
      </c>
      <c r="F304" s="3" t="s">
        <v>400</v>
      </c>
      <c r="G304" s="3" t="s">
        <v>399</v>
      </c>
      <c r="H304" s="3" t="s">
        <v>51</v>
      </c>
      <c r="I304" s="3">
        <v>2025</v>
      </c>
      <c r="J304" s="3" t="str">
        <f>CONCATENATE("54820217138")</f>
        <v>54820217138</v>
      </c>
      <c r="K304" s="3" t="s">
        <v>34</v>
      </c>
      <c r="L304" s="3"/>
      <c r="M304" s="3" t="s">
        <v>35</v>
      </c>
      <c r="N304" s="3" t="str">
        <f>CONCATENATE("CNGDVD76C06D458Y")</f>
        <v>CNGDVD76C06D458Y</v>
      </c>
      <c r="O304" s="3" t="s">
        <v>408</v>
      </c>
      <c r="P304" s="3" t="s">
        <v>37</v>
      </c>
      <c r="Q304" s="3"/>
      <c r="R304" s="4">
        <v>46058</v>
      </c>
      <c r="S304" s="3" t="s">
        <v>38</v>
      </c>
      <c r="T304" s="3" t="s">
        <v>39</v>
      </c>
      <c r="U304" s="3" t="s">
        <v>40</v>
      </c>
      <c r="V304" s="3">
        <v>487.13</v>
      </c>
      <c r="W304" s="3">
        <v>207.03</v>
      </c>
      <c r="X304" s="3">
        <v>196.07</v>
      </c>
      <c r="Y304" s="3">
        <v>84.03</v>
      </c>
    </row>
    <row r="305" spans="1:25" ht="36.75" x14ac:dyDescent="0.25">
      <c r="A305" s="3" t="s">
        <v>26</v>
      </c>
      <c r="B305" s="3" t="s">
        <v>27</v>
      </c>
      <c r="C305" s="3" t="s">
        <v>28</v>
      </c>
      <c r="D305" s="3" t="s">
        <v>128</v>
      </c>
      <c r="E305" s="3" t="s">
        <v>152</v>
      </c>
      <c r="F305" s="3" t="s">
        <v>130</v>
      </c>
      <c r="G305" s="3" t="s">
        <v>152</v>
      </c>
      <c r="H305" s="3" t="s">
        <v>51</v>
      </c>
      <c r="I305" s="3">
        <v>2025</v>
      </c>
      <c r="J305" s="3" t="str">
        <f>CONCATENATE("54820266986")</f>
        <v>54820266986</v>
      </c>
      <c r="K305" s="3" t="s">
        <v>34</v>
      </c>
      <c r="L305" s="3"/>
      <c r="M305" s="3" t="s">
        <v>35</v>
      </c>
      <c r="N305" s="3" t="str">
        <f>CONCATENATE("01343920417")</f>
        <v>01343920417</v>
      </c>
      <c r="O305" s="3" t="s">
        <v>409</v>
      </c>
      <c r="P305" s="3" t="s">
        <v>37</v>
      </c>
      <c r="Q305" s="3"/>
      <c r="R305" s="4">
        <v>46058</v>
      </c>
      <c r="S305" s="3" t="s">
        <v>38</v>
      </c>
      <c r="T305" s="3" t="s">
        <v>39</v>
      </c>
      <c r="U305" s="3" t="s">
        <v>40</v>
      </c>
      <c r="V305" s="3">
        <v>651.03</v>
      </c>
      <c r="W305" s="3">
        <v>276.69</v>
      </c>
      <c r="X305" s="3">
        <v>262.04000000000002</v>
      </c>
      <c r="Y305" s="3">
        <v>112.3</v>
      </c>
    </row>
    <row r="306" spans="1:25" ht="72.75" x14ac:dyDescent="0.25">
      <c r="A306" s="3" t="s">
        <v>26</v>
      </c>
      <c r="B306" s="3" t="s">
        <v>27</v>
      </c>
      <c r="C306" s="3" t="s">
        <v>28</v>
      </c>
      <c r="D306" s="3" t="s">
        <v>41</v>
      </c>
      <c r="E306" s="3" t="s">
        <v>72</v>
      </c>
      <c r="F306" s="3" t="s">
        <v>31</v>
      </c>
      <c r="G306" s="3" t="s">
        <v>72</v>
      </c>
      <c r="H306" s="3" t="s">
        <v>51</v>
      </c>
      <c r="I306" s="3">
        <v>2025</v>
      </c>
      <c r="J306" s="3" t="str">
        <f>CONCATENATE("54820421458")</f>
        <v>54820421458</v>
      </c>
      <c r="K306" s="3" t="s">
        <v>34</v>
      </c>
      <c r="L306" s="3"/>
      <c r="M306" s="3" t="s">
        <v>35</v>
      </c>
      <c r="N306" s="3" t="str">
        <f>CONCATENATE("TMMNDM43P58I459C")</f>
        <v>TMMNDM43P58I459C</v>
      </c>
      <c r="O306" s="3" t="s">
        <v>410</v>
      </c>
      <c r="P306" s="3" t="s">
        <v>37</v>
      </c>
      <c r="Q306" s="3"/>
      <c r="R306" s="4">
        <v>46058</v>
      </c>
      <c r="S306" s="3" t="s">
        <v>38</v>
      </c>
      <c r="T306" s="3" t="s">
        <v>39</v>
      </c>
      <c r="U306" s="3" t="s">
        <v>40</v>
      </c>
      <c r="V306" s="5">
        <v>1834.18</v>
      </c>
      <c r="W306" s="3">
        <v>779.53</v>
      </c>
      <c r="X306" s="3">
        <v>738.26</v>
      </c>
      <c r="Y306" s="3">
        <v>316.39</v>
      </c>
    </row>
    <row r="307" spans="1:25" ht="36.75" x14ac:dyDescent="0.25">
      <c r="A307" s="3" t="s">
        <v>26</v>
      </c>
      <c r="B307" s="3" t="s">
        <v>27</v>
      </c>
      <c r="C307" s="3" t="s">
        <v>28</v>
      </c>
      <c r="D307" s="3" t="s">
        <v>41</v>
      </c>
      <c r="E307" s="3" t="s">
        <v>49</v>
      </c>
      <c r="F307" s="3" t="s">
        <v>31</v>
      </c>
      <c r="G307" s="3" t="s">
        <v>49</v>
      </c>
      <c r="H307" s="3" t="s">
        <v>51</v>
      </c>
      <c r="I307" s="3">
        <v>2025</v>
      </c>
      <c r="J307" s="3" t="str">
        <f>CONCATENATE("54820252754")</f>
        <v>54820252754</v>
      </c>
      <c r="K307" s="3" t="s">
        <v>34</v>
      </c>
      <c r="L307" s="3"/>
      <c r="M307" s="3" t="s">
        <v>35</v>
      </c>
      <c r="N307" s="3" t="str">
        <f>CONCATENATE("02440980411")</f>
        <v>02440980411</v>
      </c>
      <c r="O307" s="3" t="s">
        <v>411</v>
      </c>
      <c r="P307" s="3" t="s">
        <v>37</v>
      </c>
      <c r="Q307" s="3"/>
      <c r="R307" s="4">
        <v>46058</v>
      </c>
      <c r="S307" s="3" t="s">
        <v>38</v>
      </c>
      <c r="T307" s="3" t="s">
        <v>39</v>
      </c>
      <c r="U307" s="3" t="s">
        <v>40</v>
      </c>
      <c r="V307" s="5">
        <v>2302.48</v>
      </c>
      <c r="W307" s="3">
        <v>978.55</v>
      </c>
      <c r="X307" s="3">
        <v>926.75</v>
      </c>
      <c r="Y307" s="3">
        <v>397.18</v>
      </c>
    </row>
    <row r="308" spans="1:25" ht="36.75" x14ac:dyDescent="0.25">
      <c r="A308" s="3" t="s">
        <v>26</v>
      </c>
      <c r="B308" s="3" t="s">
        <v>27</v>
      </c>
      <c r="C308" s="3" t="s">
        <v>28</v>
      </c>
      <c r="D308" s="3" t="s">
        <v>45</v>
      </c>
      <c r="E308" s="3" t="s">
        <v>412</v>
      </c>
      <c r="F308" s="3" t="s">
        <v>47</v>
      </c>
      <c r="G308" s="3" t="s">
        <v>412</v>
      </c>
      <c r="H308" s="3" t="s">
        <v>51</v>
      </c>
      <c r="I308" s="3">
        <v>2025</v>
      </c>
      <c r="J308" s="3" t="str">
        <f>CONCATENATE("54820119003")</f>
        <v>54820119003</v>
      </c>
      <c r="K308" s="3" t="s">
        <v>34</v>
      </c>
      <c r="L308" s="3"/>
      <c r="M308" s="3" t="s">
        <v>35</v>
      </c>
      <c r="N308" s="3" t="str">
        <f>CONCATENATE("02832890418")</f>
        <v>02832890418</v>
      </c>
      <c r="O308" s="3" t="s">
        <v>413</v>
      </c>
      <c r="P308" s="3" t="s">
        <v>37</v>
      </c>
      <c r="Q308" s="3"/>
      <c r="R308" s="4">
        <v>46058</v>
      </c>
      <c r="S308" s="3" t="s">
        <v>38</v>
      </c>
      <c r="T308" s="3" t="s">
        <v>39</v>
      </c>
      <c r="U308" s="3" t="s">
        <v>40</v>
      </c>
      <c r="V308" s="3">
        <v>433.74</v>
      </c>
      <c r="W308" s="3">
        <v>184.34</v>
      </c>
      <c r="X308" s="3">
        <v>174.58</v>
      </c>
      <c r="Y308" s="3">
        <v>74.819999999999993</v>
      </c>
    </row>
    <row r="309" spans="1:25" ht="60.75" x14ac:dyDescent="0.25">
      <c r="A309" s="3" t="s">
        <v>26</v>
      </c>
      <c r="B309" s="3" t="s">
        <v>27</v>
      </c>
      <c r="C309" s="3" t="s">
        <v>28</v>
      </c>
      <c r="D309" s="3" t="s">
        <v>41</v>
      </c>
      <c r="E309" s="3" t="s">
        <v>154</v>
      </c>
      <c r="F309" s="3" t="s">
        <v>31</v>
      </c>
      <c r="G309" s="3" t="s">
        <v>154</v>
      </c>
      <c r="H309" s="3" t="s">
        <v>51</v>
      </c>
      <c r="I309" s="3">
        <v>2025</v>
      </c>
      <c r="J309" s="3" t="str">
        <f>CONCATENATE("54820265434")</f>
        <v>54820265434</v>
      </c>
      <c r="K309" s="3" t="s">
        <v>34</v>
      </c>
      <c r="L309" s="3"/>
      <c r="M309" s="3" t="s">
        <v>35</v>
      </c>
      <c r="N309" s="3" t="str">
        <f>CONCATENATE("CRDGRG59A01F135P")</f>
        <v>CRDGRG59A01F135P</v>
      </c>
      <c r="O309" s="3" t="s">
        <v>414</v>
      </c>
      <c r="P309" s="3" t="s">
        <v>37</v>
      </c>
      <c r="Q309" s="3"/>
      <c r="R309" s="4">
        <v>46058</v>
      </c>
      <c r="S309" s="3" t="s">
        <v>38</v>
      </c>
      <c r="T309" s="3" t="s">
        <v>39</v>
      </c>
      <c r="U309" s="3" t="s">
        <v>40</v>
      </c>
      <c r="V309" s="3">
        <v>346.48</v>
      </c>
      <c r="W309" s="3">
        <v>147.25</v>
      </c>
      <c r="X309" s="3">
        <v>139.46</v>
      </c>
      <c r="Y309" s="3">
        <v>59.77</v>
      </c>
    </row>
    <row r="310" spans="1:25" ht="60.75" x14ac:dyDescent="0.25">
      <c r="A310" s="3" t="s">
        <v>26</v>
      </c>
      <c r="B310" s="3" t="s">
        <v>27</v>
      </c>
      <c r="C310" s="3" t="s">
        <v>28</v>
      </c>
      <c r="D310" s="3" t="s">
        <v>41</v>
      </c>
      <c r="E310" s="3" t="s">
        <v>53</v>
      </c>
      <c r="F310" s="3" t="s">
        <v>31</v>
      </c>
      <c r="G310" s="3" t="s">
        <v>53</v>
      </c>
      <c r="H310" s="3" t="s">
        <v>51</v>
      </c>
      <c r="I310" s="3">
        <v>2025</v>
      </c>
      <c r="J310" s="3" t="str">
        <f>CONCATENATE("54820041165")</f>
        <v>54820041165</v>
      </c>
      <c r="K310" s="3" t="s">
        <v>34</v>
      </c>
      <c r="L310" s="3"/>
      <c r="M310" s="3" t="s">
        <v>35</v>
      </c>
      <c r="N310" s="3" t="str">
        <f>CONCATENATE("MRNPNG55L19B352C")</f>
        <v>MRNPNG55L19B352C</v>
      </c>
      <c r="O310" s="3" t="s">
        <v>415</v>
      </c>
      <c r="P310" s="3" t="s">
        <v>37</v>
      </c>
      <c r="Q310" s="3"/>
      <c r="R310" s="4">
        <v>46058</v>
      </c>
      <c r="S310" s="3" t="s">
        <v>38</v>
      </c>
      <c r="T310" s="3" t="s">
        <v>39</v>
      </c>
      <c r="U310" s="3" t="s">
        <v>40</v>
      </c>
      <c r="V310" s="3">
        <v>494.57</v>
      </c>
      <c r="W310" s="3">
        <v>210.19</v>
      </c>
      <c r="X310" s="3">
        <v>199.06</v>
      </c>
      <c r="Y310" s="3">
        <v>85.32</v>
      </c>
    </row>
    <row r="311" spans="1:25" ht="72.75" x14ac:dyDescent="0.25">
      <c r="A311" s="3" t="s">
        <v>26</v>
      </c>
      <c r="B311" s="3" t="s">
        <v>27</v>
      </c>
      <c r="C311" s="3" t="s">
        <v>28</v>
      </c>
      <c r="D311" s="3" t="s">
        <v>45</v>
      </c>
      <c r="E311" s="3" t="s">
        <v>46</v>
      </c>
      <c r="F311" s="3" t="s">
        <v>47</v>
      </c>
      <c r="G311" s="3" t="s">
        <v>46</v>
      </c>
      <c r="H311" s="3" t="s">
        <v>33</v>
      </c>
      <c r="I311" s="3">
        <v>2025</v>
      </c>
      <c r="J311" s="3" t="str">
        <f>CONCATENATE("54820163225")</f>
        <v>54820163225</v>
      </c>
      <c r="K311" s="3" t="s">
        <v>34</v>
      </c>
      <c r="L311" s="3"/>
      <c r="M311" s="3" t="s">
        <v>35</v>
      </c>
      <c r="N311" s="3" t="str">
        <f>CONCATENATE("BRTMRN62H52I461B")</f>
        <v>BRTMRN62H52I461B</v>
      </c>
      <c r="O311" s="3" t="s">
        <v>416</v>
      </c>
      <c r="P311" s="3" t="s">
        <v>37</v>
      </c>
      <c r="Q311" s="3"/>
      <c r="R311" s="4">
        <v>46058</v>
      </c>
      <c r="S311" s="3" t="s">
        <v>38</v>
      </c>
      <c r="T311" s="3" t="s">
        <v>39</v>
      </c>
      <c r="U311" s="3" t="s">
        <v>40</v>
      </c>
      <c r="V311" s="5">
        <v>2311.96</v>
      </c>
      <c r="W311" s="3">
        <v>982.58</v>
      </c>
      <c r="X311" s="3">
        <v>930.56</v>
      </c>
      <c r="Y311" s="3">
        <v>398.82</v>
      </c>
    </row>
    <row r="312" spans="1:25" ht="72.75" x14ac:dyDescent="0.25">
      <c r="A312" s="3" t="s">
        <v>26</v>
      </c>
      <c r="B312" s="3" t="s">
        <v>27</v>
      </c>
      <c r="C312" s="3" t="s">
        <v>28</v>
      </c>
      <c r="D312" s="3" t="s">
        <v>45</v>
      </c>
      <c r="E312" s="3" t="s">
        <v>214</v>
      </c>
      <c r="F312" s="3" t="s">
        <v>47</v>
      </c>
      <c r="G312" s="3" t="s">
        <v>214</v>
      </c>
      <c r="H312" s="3" t="s">
        <v>68</v>
      </c>
      <c r="I312" s="3">
        <v>2025</v>
      </c>
      <c r="J312" s="3" t="str">
        <f>CONCATENATE("54820030937")</f>
        <v>54820030937</v>
      </c>
      <c r="K312" s="3" t="s">
        <v>34</v>
      </c>
      <c r="L312" s="3"/>
      <c r="M312" s="3" t="s">
        <v>35</v>
      </c>
      <c r="N312" s="3" t="str">
        <f>CONCATENATE("BLLGLC72A02A462U")</f>
        <v>BLLGLC72A02A462U</v>
      </c>
      <c r="O312" s="3" t="s">
        <v>417</v>
      </c>
      <c r="P312" s="3" t="s">
        <v>37</v>
      </c>
      <c r="Q312" s="3"/>
      <c r="R312" s="4">
        <v>46058</v>
      </c>
      <c r="S312" s="3" t="s">
        <v>38</v>
      </c>
      <c r="T312" s="3" t="s">
        <v>39</v>
      </c>
      <c r="U312" s="3" t="s">
        <v>40</v>
      </c>
      <c r="V312" s="3">
        <v>256.19</v>
      </c>
      <c r="W312" s="3">
        <v>108.88</v>
      </c>
      <c r="X312" s="3">
        <v>103.12</v>
      </c>
      <c r="Y312" s="3">
        <v>44.19</v>
      </c>
    </row>
    <row r="313" spans="1:25" ht="36.75" x14ac:dyDescent="0.25">
      <c r="A313" s="3" t="s">
        <v>26</v>
      </c>
      <c r="B313" s="3" t="s">
        <v>27</v>
      </c>
      <c r="C313" s="3" t="s">
        <v>28</v>
      </c>
      <c r="D313" s="3" t="s">
        <v>62</v>
      </c>
      <c r="E313" s="3" t="s">
        <v>63</v>
      </c>
      <c r="F313" s="3" t="s">
        <v>64</v>
      </c>
      <c r="G313" s="3" t="s">
        <v>63</v>
      </c>
      <c r="H313" s="3" t="s">
        <v>51</v>
      </c>
      <c r="I313" s="3">
        <v>2025</v>
      </c>
      <c r="J313" s="3" t="str">
        <f>CONCATENATE("54820081922")</f>
        <v>54820081922</v>
      </c>
      <c r="K313" s="3" t="s">
        <v>34</v>
      </c>
      <c r="L313" s="3"/>
      <c r="M313" s="3" t="s">
        <v>35</v>
      </c>
      <c r="N313" s="3" t="str">
        <f>CONCATENATE("01364170413")</f>
        <v>01364170413</v>
      </c>
      <c r="O313" s="3" t="s">
        <v>418</v>
      </c>
      <c r="P313" s="3" t="s">
        <v>37</v>
      </c>
      <c r="Q313" s="3"/>
      <c r="R313" s="4">
        <v>46058</v>
      </c>
      <c r="S313" s="3" t="s">
        <v>38</v>
      </c>
      <c r="T313" s="3" t="s">
        <v>39</v>
      </c>
      <c r="U313" s="3" t="s">
        <v>40</v>
      </c>
      <c r="V313" s="3">
        <v>638.35</v>
      </c>
      <c r="W313" s="3">
        <v>271.3</v>
      </c>
      <c r="X313" s="3">
        <v>256.94</v>
      </c>
      <c r="Y313" s="3">
        <v>110.11</v>
      </c>
    </row>
    <row r="314" spans="1:25" ht="36.75" x14ac:dyDescent="0.25">
      <c r="A314" s="3" t="s">
        <v>26</v>
      </c>
      <c r="B314" s="3" t="s">
        <v>27</v>
      </c>
      <c r="C314" s="3" t="s">
        <v>28</v>
      </c>
      <c r="D314" s="3" t="s">
        <v>41</v>
      </c>
      <c r="E314" s="3" t="s">
        <v>57</v>
      </c>
      <c r="F314" s="3" t="s">
        <v>31</v>
      </c>
      <c r="G314" s="3" t="s">
        <v>57</v>
      </c>
      <c r="H314" s="3" t="s">
        <v>51</v>
      </c>
      <c r="I314" s="3">
        <v>2025</v>
      </c>
      <c r="J314" s="3" t="str">
        <f>CONCATENATE("54820051495")</f>
        <v>54820051495</v>
      </c>
      <c r="K314" s="3" t="s">
        <v>34</v>
      </c>
      <c r="L314" s="3"/>
      <c r="M314" s="3" t="s">
        <v>35</v>
      </c>
      <c r="N314" s="3" t="str">
        <f>CONCATENATE("02611800414")</f>
        <v>02611800414</v>
      </c>
      <c r="O314" s="3" t="s">
        <v>419</v>
      </c>
      <c r="P314" s="3" t="s">
        <v>37</v>
      </c>
      <c r="Q314" s="3"/>
      <c r="R314" s="4">
        <v>46058</v>
      </c>
      <c r="S314" s="3" t="s">
        <v>38</v>
      </c>
      <c r="T314" s="3" t="s">
        <v>39</v>
      </c>
      <c r="U314" s="3" t="s">
        <v>40</v>
      </c>
      <c r="V314" s="5">
        <v>3256.54</v>
      </c>
      <c r="W314" s="5">
        <v>1384.03</v>
      </c>
      <c r="X314" s="5">
        <v>1310.76</v>
      </c>
      <c r="Y314" s="3">
        <v>561.75</v>
      </c>
    </row>
    <row r="315" spans="1:25" ht="72.75" x14ac:dyDescent="0.25">
      <c r="A315" s="3" t="s">
        <v>26</v>
      </c>
      <c r="B315" s="3" t="s">
        <v>27</v>
      </c>
      <c r="C315" s="3" t="s">
        <v>28</v>
      </c>
      <c r="D315" s="3" t="s">
        <v>41</v>
      </c>
      <c r="E315" s="3" t="s">
        <v>72</v>
      </c>
      <c r="F315" s="3" t="s">
        <v>31</v>
      </c>
      <c r="G315" s="3" t="s">
        <v>72</v>
      </c>
      <c r="H315" s="3" t="s">
        <v>51</v>
      </c>
      <c r="I315" s="3">
        <v>2025</v>
      </c>
      <c r="J315" s="3" t="str">
        <f>CONCATENATE("54820025895")</f>
        <v>54820025895</v>
      </c>
      <c r="K315" s="3" t="s">
        <v>34</v>
      </c>
      <c r="L315" s="3"/>
      <c r="M315" s="3" t="s">
        <v>35</v>
      </c>
      <c r="N315" s="3" t="str">
        <f>CONCATENATE("PTRNMR36P54B816O")</f>
        <v>PTRNMR36P54B816O</v>
      </c>
      <c r="O315" s="3" t="s">
        <v>420</v>
      </c>
      <c r="P315" s="3" t="s">
        <v>37</v>
      </c>
      <c r="Q315" s="3"/>
      <c r="R315" s="4">
        <v>46058</v>
      </c>
      <c r="S315" s="3" t="s">
        <v>38</v>
      </c>
      <c r="T315" s="3" t="s">
        <v>39</v>
      </c>
      <c r="U315" s="3" t="s">
        <v>40</v>
      </c>
      <c r="V315" s="5">
        <v>1000.14</v>
      </c>
      <c r="W315" s="3">
        <v>425.06</v>
      </c>
      <c r="X315" s="3">
        <v>402.56</v>
      </c>
      <c r="Y315" s="3">
        <v>172.52</v>
      </c>
    </row>
    <row r="316" spans="1:25" ht="36.75" x14ac:dyDescent="0.25">
      <c r="A316" s="3" t="s">
        <v>26</v>
      </c>
      <c r="B316" s="3" t="s">
        <v>27</v>
      </c>
      <c r="C316" s="3" t="s">
        <v>28</v>
      </c>
      <c r="D316" s="3" t="s">
        <v>62</v>
      </c>
      <c r="E316" s="3" t="s">
        <v>79</v>
      </c>
      <c r="F316" s="3" t="s">
        <v>64</v>
      </c>
      <c r="G316" s="3" t="s">
        <v>79</v>
      </c>
      <c r="H316" s="3" t="s">
        <v>43</v>
      </c>
      <c r="I316" s="3">
        <v>2025</v>
      </c>
      <c r="J316" s="3" t="str">
        <f>CONCATENATE("54820020268")</f>
        <v>54820020268</v>
      </c>
      <c r="K316" s="3" t="s">
        <v>34</v>
      </c>
      <c r="L316" s="3"/>
      <c r="M316" s="3" t="s">
        <v>35</v>
      </c>
      <c r="N316" s="3" t="str">
        <f>CONCATENATE("02928910427")</f>
        <v>02928910427</v>
      </c>
      <c r="O316" s="3" t="s">
        <v>421</v>
      </c>
      <c r="P316" s="3" t="s">
        <v>37</v>
      </c>
      <c r="Q316" s="3"/>
      <c r="R316" s="4">
        <v>46058</v>
      </c>
      <c r="S316" s="3" t="s">
        <v>38</v>
      </c>
      <c r="T316" s="3" t="s">
        <v>39</v>
      </c>
      <c r="U316" s="3" t="s">
        <v>40</v>
      </c>
      <c r="V316" s="3">
        <v>76.760000000000005</v>
      </c>
      <c r="W316" s="3">
        <v>32.619999999999997</v>
      </c>
      <c r="X316" s="3">
        <v>30.9</v>
      </c>
      <c r="Y316" s="3">
        <v>13.24</v>
      </c>
    </row>
    <row r="317" spans="1:25" ht="36.75" x14ac:dyDescent="0.25">
      <c r="A317" s="3" t="s">
        <v>26</v>
      </c>
      <c r="B317" s="3" t="s">
        <v>27</v>
      </c>
      <c r="C317" s="3" t="s">
        <v>28</v>
      </c>
      <c r="D317" s="3" t="s">
        <v>128</v>
      </c>
      <c r="E317" s="3" t="s">
        <v>375</v>
      </c>
      <c r="F317" s="3" t="s">
        <v>130</v>
      </c>
      <c r="G317" s="3" t="s">
        <v>375</v>
      </c>
      <c r="H317" s="3" t="s">
        <v>33</v>
      </c>
      <c r="I317" s="3">
        <v>2025</v>
      </c>
      <c r="J317" s="3" t="str">
        <f>CONCATENATE("54820023494")</f>
        <v>54820023494</v>
      </c>
      <c r="K317" s="3" t="s">
        <v>34</v>
      </c>
      <c r="L317" s="3"/>
      <c r="M317" s="3" t="s">
        <v>35</v>
      </c>
      <c r="N317" s="3" t="str">
        <f>CONCATENATE("02249760428")</f>
        <v>02249760428</v>
      </c>
      <c r="O317" s="3" t="s">
        <v>422</v>
      </c>
      <c r="P317" s="3" t="s">
        <v>37</v>
      </c>
      <c r="Q317" s="3"/>
      <c r="R317" s="4">
        <v>46058</v>
      </c>
      <c r="S317" s="3" t="s">
        <v>38</v>
      </c>
      <c r="T317" s="3" t="s">
        <v>39</v>
      </c>
      <c r="U317" s="3" t="s">
        <v>40</v>
      </c>
      <c r="V317" s="3">
        <v>863.78</v>
      </c>
      <c r="W317" s="3">
        <v>367.11</v>
      </c>
      <c r="X317" s="3">
        <v>347.67</v>
      </c>
      <c r="Y317" s="3">
        <v>149</v>
      </c>
    </row>
    <row r="318" spans="1:25" ht="48.75" x14ac:dyDescent="0.25">
      <c r="A318" s="3" t="s">
        <v>26</v>
      </c>
      <c r="B318" s="3" t="s">
        <v>27</v>
      </c>
      <c r="C318" s="3" t="s">
        <v>28</v>
      </c>
      <c r="D318" s="3" t="s">
        <v>62</v>
      </c>
      <c r="E318" s="3" t="s">
        <v>63</v>
      </c>
      <c r="F318" s="3" t="s">
        <v>64</v>
      </c>
      <c r="G318" s="3" t="s">
        <v>63</v>
      </c>
      <c r="H318" s="3" t="s">
        <v>51</v>
      </c>
      <c r="I318" s="3">
        <v>2025</v>
      </c>
      <c r="J318" s="3" t="str">
        <f>CONCATENATE("54820029988")</f>
        <v>54820029988</v>
      </c>
      <c r="K318" s="3" t="s">
        <v>34</v>
      </c>
      <c r="L318" s="3"/>
      <c r="M318" s="3" t="s">
        <v>35</v>
      </c>
      <c r="N318" s="3" t="str">
        <f>CONCATENATE("CCCFST43E22I459P")</f>
        <v>CCCFST43E22I459P</v>
      </c>
      <c r="O318" s="3" t="s">
        <v>423</v>
      </c>
      <c r="P318" s="3" t="s">
        <v>37</v>
      </c>
      <c r="Q318" s="3"/>
      <c r="R318" s="4">
        <v>46058</v>
      </c>
      <c r="S318" s="3" t="s">
        <v>38</v>
      </c>
      <c r="T318" s="3" t="s">
        <v>39</v>
      </c>
      <c r="U318" s="3" t="s">
        <v>40</v>
      </c>
      <c r="V318" s="5">
        <v>5998.05</v>
      </c>
      <c r="W318" s="5">
        <v>2549.17</v>
      </c>
      <c r="X318" s="5">
        <v>2414.2199999999998</v>
      </c>
      <c r="Y318" s="5">
        <v>1034.6600000000001</v>
      </c>
    </row>
    <row r="319" spans="1:25" ht="60.75" x14ac:dyDescent="0.25">
      <c r="A319" s="3" t="s">
        <v>26</v>
      </c>
      <c r="B319" s="3" t="s">
        <v>27</v>
      </c>
      <c r="C319" s="3" t="s">
        <v>28</v>
      </c>
      <c r="D319" s="3" t="s">
        <v>41</v>
      </c>
      <c r="E319" s="3" t="s">
        <v>53</v>
      </c>
      <c r="F319" s="3" t="s">
        <v>31</v>
      </c>
      <c r="G319" s="3" t="s">
        <v>53</v>
      </c>
      <c r="H319" s="3" t="s">
        <v>51</v>
      </c>
      <c r="I319" s="3">
        <v>2025</v>
      </c>
      <c r="J319" s="3" t="str">
        <f>CONCATENATE("54820010442")</f>
        <v>54820010442</v>
      </c>
      <c r="K319" s="3" t="s">
        <v>34</v>
      </c>
      <c r="L319" s="3"/>
      <c r="M319" s="3" t="s">
        <v>35</v>
      </c>
      <c r="N319" s="3" t="str">
        <f>CONCATENATE("MSCKTY71D70D749L")</f>
        <v>MSCKTY71D70D749L</v>
      </c>
      <c r="O319" s="3" t="s">
        <v>424</v>
      </c>
      <c r="P319" s="3" t="s">
        <v>37</v>
      </c>
      <c r="Q319" s="3"/>
      <c r="R319" s="4">
        <v>46058</v>
      </c>
      <c r="S319" s="3" t="s">
        <v>38</v>
      </c>
      <c r="T319" s="3" t="s">
        <v>39</v>
      </c>
      <c r="U319" s="3" t="s">
        <v>40</v>
      </c>
      <c r="V319" s="3">
        <v>907.88</v>
      </c>
      <c r="W319" s="3">
        <v>385.85</v>
      </c>
      <c r="X319" s="3">
        <v>365.42</v>
      </c>
      <c r="Y319" s="3">
        <v>156.61000000000001</v>
      </c>
    </row>
    <row r="320" spans="1:25" ht="60.75" x14ac:dyDescent="0.25">
      <c r="A320" s="3" t="s">
        <v>26</v>
      </c>
      <c r="B320" s="3" t="s">
        <v>27</v>
      </c>
      <c r="C320" s="3" t="s">
        <v>28</v>
      </c>
      <c r="D320" s="3" t="s">
        <v>41</v>
      </c>
      <c r="E320" s="3" t="s">
        <v>53</v>
      </c>
      <c r="F320" s="3" t="s">
        <v>31</v>
      </c>
      <c r="G320" s="3" t="s">
        <v>53</v>
      </c>
      <c r="H320" s="3" t="s">
        <v>51</v>
      </c>
      <c r="I320" s="3">
        <v>2025</v>
      </c>
      <c r="J320" s="3" t="str">
        <f>CONCATENATE("54820012307")</f>
        <v>54820012307</v>
      </c>
      <c r="K320" s="3" t="s">
        <v>34</v>
      </c>
      <c r="L320" s="3"/>
      <c r="M320" s="3" t="s">
        <v>35</v>
      </c>
      <c r="N320" s="3" t="str">
        <f>CONCATENATE("MRCPLA69P46C745L")</f>
        <v>MRCPLA69P46C745L</v>
      </c>
      <c r="O320" s="3" t="s">
        <v>425</v>
      </c>
      <c r="P320" s="3" t="s">
        <v>37</v>
      </c>
      <c r="Q320" s="3"/>
      <c r="R320" s="4">
        <v>46058</v>
      </c>
      <c r="S320" s="3" t="s">
        <v>38</v>
      </c>
      <c r="T320" s="3" t="s">
        <v>39</v>
      </c>
      <c r="U320" s="3" t="s">
        <v>40</v>
      </c>
      <c r="V320" s="3">
        <v>983.92</v>
      </c>
      <c r="W320" s="3">
        <v>418.17</v>
      </c>
      <c r="X320" s="3">
        <v>396.03</v>
      </c>
      <c r="Y320" s="3">
        <v>169.72</v>
      </c>
    </row>
  </sheetData>
  <autoFilter ref="A3:Y320"/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2026-03-03T08:03:33Z</dcterms:created>
  <dcterms:modified xsi:type="dcterms:W3CDTF">2026-03-03T08:03:33Z</dcterms:modified>
</cp:coreProperties>
</file>