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1_{42C17174-1993-4186-9963-0CC90C585D21}" xr6:coauthVersionLast="47" xr6:coauthVersionMax="47" xr10:uidLastSave="{00000000-0000-0000-0000-000000000000}"/>
  <bookViews>
    <workbookView xWindow="975" yWindow="945" windowWidth="27375" windowHeight="13725" xr2:uid="{00000000-000D-0000-FFFF-FFFF00000000}"/>
  </bookViews>
  <sheets>
    <sheet name="DOMANDE_PAGATE_REGI_PSP_Decreto" sheetId="1" r:id="rId1"/>
  </sheets>
  <definedNames>
    <definedName name="_xlnm._FilterDatabase" localSheetId="0" hidden="1">DOMANDE_PAGATE_REGI_PSP_Decreto!$A$3:$Y$219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9" i="1" l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<sst xmlns="http://schemas.openxmlformats.org/spreadsheetml/2006/main" count="3267" uniqueCount="319">
  <si>
    <t>Domande Pagate Decreto 64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</si>
  <si>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</si>
  <si>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</si>
  <si>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</si>
  <si>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</si>
  <si>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</si>
  <si>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</si>
  <si>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</si>
  <si>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</si>
  <si>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</si>
  <si>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</si>
  <si>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</si>
  <si>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</si>
  <si>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</si>
  <si>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</si>
  <si>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</si>
  <si>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</si>
  <si>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</si>
  <si>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</si>
  <si>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</si>
  <si>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</si>
  <si>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</si>
  <si>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</si>
  <si>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</si>
  <si>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</si>
  <si>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</si>
  <si>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</si>
  <si>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</si>
  <si>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</si>
  <si>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</si>
  <si>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MACERATA - 002</t>
  </si>
  <si>
    <t>CAA LIBERIAGRICOLTORI S.R.L</t>
  </si>
  <si>
    <t>SERV. DEC. AGRICOLTURA E ALIM. - MACERATA</t>
  </si>
  <si>
    <t>PSP Programmazione 2023/2027</t>
  </si>
  <si>
    <t>SRB01</t>
  </si>
  <si>
    <t>SOCIETA' AGRICOLA MAGGI GILBERTO, MASSIMO E STEFANO S.S.</t>
  </si>
  <si>
    <t>Istruttoria Automatica</t>
  </si>
  <si>
    <t>Erogata</t>
  </si>
  <si>
    <t>Saldo</t>
  </si>
  <si>
    <t>Co-Finanziato</t>
  </si>
  <si>
    <t>CAA Coldiretti srl</t>
  </si>
  <si>
    <t>CAA Coldiretti - PESARO E URBINO - 013</t>
  </si>
  <si>
    <t>CAA COLDIRETTI S.R.L.</t>
  </si>
  <si>
    <t>SERV. DEC. AGRICOLTURA E ALIMENTAZIONE - PESARO</t>
  </si>
  <si>
    <t>BATTISTI ROSITA</t>
  </si>
  <si>
    <t>CAA Coldiretti - PESARO E URBINO - 006</t>
  </si>
  <si>
    <t>COACCI ORIETTA</t>
  </si>
  <si>
    <t>CAA CIA srl</t>
  </si>
  <si>
    <t>CAA CIA - PESARO E URBINO - 005</t>
  </si>
  <si>
    <t>CAA CIA</t>
  </si>
  <si>
    <t>AMBROGI EMANUELE</t>
  </si>
  <si>
    <t>CAA LiberiAgricoltori - PESARO E URBINO - 002</t>
  </si>
  <si>
    <t>SOCIETA' AGRICOLA ABC DI GUERRA S.S.</t>
  </si>
  <si>
    <t>SOC. AGR. BUROTTA DI LAINO DALL'ACQUA FRANCESCO &amp; C. S.S.</t>
  </si>
  <si>
    <t>CAA Confagricoltura srl</t>
  </si>
  <si>
    <t>CAA Confagricoltura - PESARO E URBINO - 001</t>
  </si>
  <si>
    <t>CAA CONFAGRICOLTURA S.R.L.</t>
  </si>
  <si>
    <t>FILIPPINI ERMENEGILDO</t>
  </si>
  <si>
    <t>CAA Coldiretti - PESARO E URBINO - 001</t>
  </si>
  <si>
    <t>CERULLI MASSIMO</t>
  </si>
  <si>
    <t>CAA Coldiretti - MACERATA - 017</t>
  </si>
  <si>
    <t>RINOMATA AZIENDA BIOLOGICA IMPRENDITORI LIBERTI SIMONE GIANPIETRO SOCI</t>
  </si>
  <si>
    <t>CAA CIA - ANCONA - 005</t>
  </si>
  <si>
    <t>SERV. DEC. AGRICOLTURA E ALIMENTAZIONE - ANCONA</t>
  </si>
  <si>
    <t>CAPPELLINI ENRICO</t>
  </si>
  <si>
    <t>CAA Coldiretti - MACERATA - 007</t>
  </si>
  <si>
    <t>IL PROFUMO DEL PASCOLO SOCIETA' AGRICOLA SEMPLICE DI FORTI HELENA &amp; C.</t>
  </si>
  <si>
    <t>ARRA' ANTONIO</t>
  </si>
  <si>
    <t>CAA LiberiAgricoltori - MACERATA - 001</t>
  </si>
  <si>
    <t>SOCIETA' AGRICOLA TODO S.S.</t>
  </si>
  <si>
    <t>SOCIETA' AGRICOLA LO ZAFFERANO DI ORSINI GIAN MARCO E MARA S.S.</t>
  </si>
  <si>
    <t>VISSANI PAOLO</t>
  </si>
  <si>
    <t>CAA Confagricoltura - MACERATA - 001</t>
  </si>
  <si>
    <t>SOCIETA' AGRICOLA SILVETTI GIANFRANCO E GAETANO SOCIETA' SEMPLICE</t>
  </si>
  <si>
    <t>CAA-CAF AGRI S.R.L.</t>
  </si>
  <si>
    <t>CAA CAF AGRI - ANCONA - 223</t>
  </si>
  <si>
    <t>CANDIERACCI ALFONSO</t>
  </si>
  <si>
    <t>CAA LiberiAgricoltori - MACERATA - 003</t>
  </si>
  <si>
    <t>MADRESELVI SERGIO</t>
  </si>
  <si>
    <t>CAA LiberiAgricoltori - MACERATA - 005</t>
  </si>
  <si>
    <t>ANGELI MIRKO</t>
  </si>
  <si>
    <t>TINTI ALESSANDRO</t>
  </si>
  <si>
    <t>CAA AGRISERVIZI s.r.l.</t>
  </si>
  <si>
    <t>CAA AGRISERVIZI - LATINA - 001</t>
  </si>
  <si>
    <t>CAA AGRISERVIZI S.R.L.</t>
  </si>
  <si>
    <t>SERV. DEC. AGRICOLTURA E ALIM. -ASCOLI PICENO</t>
  </si>
  <si>
    <t>GALANTI ALESSANDRO</t>
  </si>
  <si>
    <t>AMICI ROSELLA</t>
  </si>
  <si>
    <t>CAA Confagricoltura - ASCOLI PICENO - 001</t>
  </si>
  <si>
    <t>LODDO LEONARDO</t>
  </si>
  <si>
    <t>CAA Coldiretti - ASCOLI PICENO - 040</t>
  </si>
  <si>
    <t>CAA CIA - ASCOLI PICENO - 001</t>
  </si>
  <si>
    <t>SRA15</t>
  </si>
  <si>
    <t>MARCHETTI LUIGINA</t>
  </si>
  <si>
    <t>Ordinario</t>
  </si>
  <si>
    <t>AGEA.ASR.2025.0919709</t>
  </si>
  <si>
    <t>SILVESTRINI MASSIMO</t>
  </si>
  <si>
    <t>LORENZOTTI SIMONE</t>
  </si>
  <si>
    <t>DI COSMO CLAUDIA</t>
  </si>
  <si>
    <t>G.A.I.A. GESTIONE ASSOCIATA IMPRESE AGRICOLE - SOC COOP</t>
  </si>
  <si>
    <t>CAA Coldiretti - ANCONA - 002</t>
  </si>
  <si>
    <t>POETA MASSIMO</t>
  </si>
  <si>
    <t>CAA CIA - PESARO E URBINO - 001</t>
  </si>
  <si>
    <t>LA CARDEA SOCIETA' AGRICOLA S.S.</t>
  </si>
  <si>
    <t>PIEROZZI ROBERTO</t>
  </si>
  <si>
    <t>SOCIETA' AGRICOLA AZIENDA AGRITURISTICA CA' CIRIGIOLO S.S.</t>
  </si>
  <si>
    <t>COOPERATIVA ALL.E PROD.DI MONTELAGO SOCIETA' COOPERATIVA AGRICOLA</t>
  </si>
  <si>
    <t>CAA Coldiretti - FERMO - 001</t>
  </si>
  <si>
    <t>CAUCCI FRANCO</t>
  </si>
  <si>
    <t>SOCIETA' AGRICOLA FABRIZI VENANZO FABRIZIO E LIBERTI ENZA S.S.</t>
  </si>
  <si>
    <t>PASQUALETTI-RICCI ALESSANDRA</t>
  </si>
  <si>
    <t>AZIENDA AGRICOLA SBAFFI SOCIETA' SEMPLICE</t>
  </si>
  <si>
    <t>CAA Coldiretti - PESARO E URBINO - 004</t>
  </si>
  <si>
    <t>UGOLINI PAOLO</t>
  </si>
  <si>
    <t>BOZZI GIOVANNI</t>
  </si>
  <si>
    <t>BONAVENTURA RACHELE</t>
  </si>
  <si>
    <t>CAA CIA - ANCONA - 004</t>
  </si>
  <si>
    <t>REMONDINA SOPHIA</t>
  </si>
  <si>
    <t>MAURIZI ORELIA</t>
  </si>
  <si>
    <t>IAIANI ANGELO</t>
  </si>
  <si>
    <t>MOCCI MARCO</t>
  </si>
  <si>
    <t>SOCIETA' AGRICOLA EREDI CAGNUCCI DUILIO S.S.</t>
  </si>
  <si>
    <t>CAA Coldiretti - PESARO E URBINO - 008</t>
  </si>
  <si>
    <t>SOCIETA' AGRICOLA VICHI PIETRO E DANIELE S.S.</t>
  </si>
  <si>
    <t>LA VERGARA BORGO RURALE SOCIETA' AGRICOLA DI RAPINI LUCIANO &amp; MARTONI</t>
  </si>
  <si>
    <t>FRASCARELLI GERVASIO</t>
  </si>
  <si>
    <t>RAGNI JULIAN</t>
  </si>
  <si>
    <t>CAA CAF AGRI - MACERATA - 224</t>
  </si>
  <si>
    <t>SOCIETA' AGRICOLA LA RINASCITA DI BONIFAZI BARBARA E C. S.S.</t>
  </si>
  <si>
    <t>FEDELI SIMONE</t>
  </si>
  <si>
    <t>CAA CAF AGRI - ASCOLI PICENO - 223</t>
  </si>
  <si>
    <t>BURATTI GIOVANNI</t>
  </si>
  <si>
    <t>NUOVA AGRIMM</t>
  </si>
  <si>
    <t>NUOVA AGRIMM - RIMINI - 006</t>
  </si>
  <si>
    <t>NUOVA AGRIMM S.R.L.</t>
  </si>
  <si>
    <t>SANCHI ELISA</t>
  </si>
  <si>
    <t>GABANNINI GIORGIO</t>
  </si>
  <si>
    <t>MANOCCHI DANIELE</t>
  </si>
  <si>
    <t>SOCIETA' AGRICOLA CHIARALUCE DI CHIARALUCE RITA E GRASSI SILVIA SOCIET</t>
  </si>
  <si>
    <t>SOCIETA' AGRICOLA IL MULINO DI PONTANI GIULIA E C. SS</t>
  </si>
  <si>
    <t>VAGNONI LILIANA</t>
  </si>
  <si>
    <t>SOCIETA' AGRICOLA VALLE DI RAGGIANO SAS DI CAGNINI</t>
  </si>
  <si>
    <t>SOCIETA' AGRICOLA MARSILI ADORNO E C. SOC .SEMPLICE</t>
  </si>
  <si>
    <t>DE LUCA ANDREA</t>
  </si>
  <si>
    <t>SOCIETA AGRICOLA BALDACCIONI GIANNI E ROBERTO SS</t>
  </si>
  <si>
    <t>PACIFICI CARLETTO</t>
  </si>
  <si>
    <t>CAA Coldiretti - ANCONA - 005</t>
  </si>
  <si>
    <t>RICCI RENATO</t>
  </si>
  <si>
    <t>PASSERI FRANCESCO</t>
  </si>
  <si>
    <t>CANCELLIERI AUGUSTO</t>
  </si>
  <si>
    <t>SANTOLINI ROBERTO</t>
  </si>
  <si>
    <t>FABRIZI FAUSTO</t>
  </si>
  <si>
    <t>BERNARDI MANUEL</t>
  </si>
  <si>
    <t>MARIANI MARTA</t>
  </si>
  <si>
    <t>NASPINI ANTONIO</t>
  </si>
  <si>
    <t>CAA CIA - PESARO E URBINO - 008</t>
  </si>
  <si>
    <t>MAGNANI SAURO</t>
  </si>
  <si>
    <t>PAGLIONI CLAUDIO</t>
  </si>
  <si>
    <t>CARSETTI PASQUALE</t>
  </si>
  <si>
    <t>CAA LiberiAgricoltori - PESARO E URBINO - 001</t>
  </si>
  <si>
    <t>SOCIETA' AGRICOLA F.LLI LONDEI S.S.</t>
  </si>
  <si>
    <t>LEONARDI GIAMPIERO</t>
  </si>
  <si>
    <t>SOCIETA' AGRICOLA LA VITA BELLA S.S.</t>
  </si>
  <si>
    <t>ROMALDINI MAURO</t>
  </si>
  <si>
    <t>DI MASI LEONARDO</t>
  </si>
  <si>
    <t>SUIGI DANIELE</t>
  </si>
  <si>
    <t>AMICI ALESSANDRO</t>
  </si>
  <si>
    <t>FULVI FRANCESCO</t>
  </si>
  <si>
    <t>GUERRA DIEGO</t>
  </si>
  <si>
    <t>SOCIETA' AGRICOLA ANGELI SOCIETA' SEMPLICE</t>
  </si>
  <si>
    <t>PETRETI ANNA MARIA</t>
  </si>
  <si>
    <t>CAA Confagricoltura - PERUGIA - 008</t>
  </si>
  <si>
    <t>BEI SOCIETA' AGRICOLA SRLS</t>
  </si>
  <si>
    <t>AZIENDA AGRICOLA OFFREDI DI ANELA GIUSEPPE E PIETRO SOCIETA'</t>
  </si>
  <si>
    <t>CAA CIA - PESARO E URBINO - 007</t>
  </si>
  <si>
    <t>MATTIOLI LIVIA</t>
  </si>
  <si>
    <t>CAPITANI GIORGIO</t>
  </si>
  <si>
    <t>GAMBONI CLAUDIA</t>
  </si>
  <si>
    <t>BRUNORI SIMONA</t>
  </si>
  <si>
    <t>CAA Coldiretti - MACERATA - 002</t>
  </si>
  <si>
    <t>VALENTINI NICOLA</t>
  </si>
  <si>
    <t>CALCAGNOLI FRANCESCO</t>
  </si>
  <si>
    <t>ZOPPI RICCARDO</t>
  </si>
  <si>
    <t>CAA CIA - ANCONA - 002</t>
  </si>
  <si>
    <t>BALDI EMILIANO</t>
  </si>
  <si>
    <t>MOSCETTI NULLI EMILIANO</t>
  </si>
  <si>
    <t>SOCIETA' AGRICOLA FORESTALE MORICA SRL</t>
  </si>
  <si>
    <t>SOCIETA' AGRICOLA MERELLI MARCELLO E C. S.S.</t>
  </si>
  <si>
    <t>FABBRICA DELLA BIRRA TENUTE COLLESI SRL SOCIETA' AGRICOLA UNIPERSONALE</t>
  </si>
  <si>
    <t>BIANCHINI SAVERIO</t>
  </si>
  <si>
    <t>AZIENDA AGRICOLA MOCHI - S.S. SOCIETA' AGRICOLA</t>
  </si>
  <si>
    <t>S.A.M. - SOCIETA' AGRICOLA MARCHIGIANA -S.R.L.</t>
  </si>
  <si>
    <t>AGRARIA MONTENOVO</t>
  </si>
  <si>
    <t>FUSCIANI FEDERICO</t>
  </si>
  <si>
    <t>SOCIETA' AGRICOLA IL TRIBBIO S.S.</t>
  </si>
  <si>
    <t>SOCIETA' AGRICOLA EREDI GINORETTI VENANZO S.S.</t>
  </si>
  <si>
    <t>CAA Coldiretti - ANCONA - 006</t>
  </si>
  <si>
    <t>SOCIETA' AGRICOLA AGRI BLU DI ZINGARETTI E SOCI S.S.</t>
  </si>
  <si>
    <t>MANCINI VILBERTO</t>
  </si>
  <si>
    <t>CAA degli Agricoltori Srl</t>
  </si>
  <si>
    <t>CAA Degli Agricoltori - ANCONA - 103</t>
  </si>
  <si>
    <t>CAA degli AGRICOLTORI Srl</t>
  </si>
  <si>
    <t>MEARELLI TORRIBIO</t>
  </si>
  <si>
    <t>AZ. AGR. CASTELVECCHIO DI MAGNONI GIOVANNI E C. SOC. SEMPLIC</t>
  </si>
  <si>
    <t>STROPPA RENZO</t>
  </si>
  <si>
    <t>PACIFICI MASSIMO</t>
  </si>
  <si>
    <t>CAA Coldiretti - MACERATA - 009</t>
  </si>
  <si>
    <t>TAMBELLA MARIA LUCIA</t>
  </si>
  <si>
    <t>TIBERI TOMMASO</t>
  </si>
  <si>
    <t>SOCIETA' AGRICOLA PALANCA IVANO E LORENZOTTI TIZIANA &amp; C. S.S.</t>
  </si>
  <si>
    <t>SOCIETA' AGRICOLA IERVICELLA ALESSANDRO ED ELIO S.S.</t>
  </si>
  <si>
    <t>PIERSANTI DAVIDE</t>
  </si>
  <si>
    <t>LOIA NATALE</t>
  </si>
  <si>
    <t>GIOVANNINI ADELMO</t>
  </si>
  <si>
    <t>PAOLETTI PATRIZIA</t>
  </si>
  <si>
    <t>CAA Confagricoltura - ANCONA - 001</t>
  </si>
  <si>
    <t>SOCIETA' AGRICOLA PULVISIA S.S.</t>
  </si>
  <si>
    <t>FABBRIZI PAOLO</t>
  </si>
  <si>
    <t>CARAFFA POMPONIO</t>
  </si>
  <si>
    <t>CAA Coldiretti - ASCOLI PICENO - 010</t>
  </si>
  <si>
    <t>DURASTANTI SETTIMIO</t>
  </si>
  <si>
    <t>MARCHETTI ALESSANDRO</t>
  </si>
  <si>
    <t>GIOVANNINI ILEANA</t>
  </si>
  <si>
    <t>FERRETTI ARCANGELO</t>
  </si>
  <si>
    <t>SOCIETA' AGRICOLA VALDITEVA S.S.</t>
  </si>
  <si>
    <t>POMPA DONATELLA</t>
  </si>
  <si>
    <t>STAFFINATI GIACOMO</t>
  </si>
  <si>
    <t>POLI ANNA RITA</t>
  </si>
  <si>
    <t>GIOVANNINI FRANCESCO</t>
  </si>
  <si>
    <t>GIACHINI MAURIZIO</t>
  </si>
  <si>
    <t>OTTAVIANI BRUNO</t>
  </si>
  <si>
    <t>LUCARINI GRAZIELLA</t>
  </si>
  <si>
    <t>ROMANI ROBERTO</t>
  </si>
  <si>
    <t>SOCIETA' AGRICOLA BARTOLUCCI S.S.</t>
  </si>
  <si>
    <t>SPURI CATERINA</t>
  </si>
  <si>
    <t>CAVALLERI ALBERTO</t>
  </si>
  <si>
    <t>FRABONI EMANUELA</t>
  </si>
  <si>
    <t>MASSIMI LUCA</t>
  </si>
  <si>
    <t>SOCIETA' AGRICOLA GIOIA S.S.</t>
  </si>
  <si>
    <t>SOCIETA' AGRICOLA LA CARDA SRL</t>
  </si>
  <si>
    <t>RUGGERI PIERINO</t>
  </si>
  <si>
    <t>MOSCANI SIMONE</t>
  </si>
  <si>
    <t>CIMARELLI CLAUDIO</t>
  </si>
  <si>
    <t>CIVITA DANILO</t>
  </si>
  <si>
    <t>BIDUCCI ANDREA</t>
  </si>
  <si>
    <t>MATTEI SIMONE</t>
  </si>
  <si>
    <t>IMPRESA AGRICOLA VITO CELESTE &amp; C.</t>
  </si>
  <si>
    <t>SOCIETA' AGRICOLA FRATELLI BECCERICA S.S.</t>
  </si>
  <si>
    <t>SABBATINI GIUSEPPE</t>
  </si>
  <si>
    <t>SRA01</t>
  </si>
  <si>
    <t>TENIMENTI GALLO SOC.AGRICOLA SRL</t>
  </si>
  <si>
    <t>COPPARI TIZIANA</t>
  </si>
  <si>
    <t>AZ. AGR. ENRICO DOLCI EREDI SOC. AGR. SEMPLICE</t>
  </si>
  <si>
    <t>CAA UNICAA srl</t>
  </si>
  <si>
    <t>CAA UNICAA - ANCONA - 003</t>
  </si>
  <si>
    <t>CAA UNICAA</t>
  </si>
  <si>
    <t>BIONDINI MARCO EMIDIO</t>
  </si>
  <si>
    <t>PERUGINI GIUSEPPA</t>
  </si>
  <si>
    <t>PIERONI FRANCESCO</t>
  </si>
  <si>
    <t>ILARI GIULIANO</t>
  </si>
  <si>
    <t>CAA CIA - PESARO E URBINO - 002</t>
  </si>
  <si>
    <t>FADDA MICHELE &amp; GIULIANO SOC.SEMPLICE</t>
  </si>
  <si>
    <t>PALMIERI ESTER</t>
  </si>
  <si>
    <t>SGRECCIA TIZIANA</t>
  </si>
  <si>
    <t>LATINI SILVIA</t>
  </si>
  <si>
    <t>ROMITELLI FAUSTO</t>
  </si>
  <si>
    <t>PALOMBI TONINO</t>
  </si>
  <si>
    <t>SEBASTIANI DAMIANO</t>
  </si>
  <si>
    <t>MARTELLI DANIELE</t>
  </si>
  <si>
    <t>SOCIETA' AGRICOLA IL TESORO DEI SIBILLINI DI TIDEI MAURO E MARICA S.S.</t>
  </si>
  <si>
    <t>SOCIETA' AGRICOLA GRANO A GRANO DI PACIAROTTI ATTILIO E CIMARELLI DANI</t>
  </si>
  <si>
    <t>SANTOLINI GABRIELE</t>
  </si>
  <si>
    <t>GOBBI PIETRO</t>
  </si>
  <si>
    <t>TENUTE DEL MONTEFELTRO SOCIETA' AGRICOLA S.S.</t>
  </si>
  <si>
    <t>SOCIETA'AGRICOLA SUN DI MARCHETTI SHARON LESLIE &amp; C. SAS</t>
  </si>
  <si>
    <t>CAGNUCCI AMBLETO</t>
  </si>
  <si>
    <t>OTTAVIANI CLAUDIO</t>
  </si>
  <si>
    <t>BRUSCHI ADOLFO</t>
  </si>
  <si>
    <t>MOLITOR GERARD DESIRE'</t>
  </si>
  <si>
    <t>CAA UNICAA - ASCOLI PICENO - 003</t>
  </si>
  <si>
    <t>FIORI FRANCESCO</t>
  </si>
  <si>
    <t>NICOLELLI ROBERTO</t>
  </si>
  <si>
    <t>SABBATINI MATTEO</t>
  </si>
  <si>
    <t>CERQUARELLI ALBERTO</t>
  </si>
  <si>
    <t>VENANZANGELI PIERA</t>
  </si>
  <si>
    <t>SOCIETA' AGRICOLA MANOCCHI MARCO E MARCELLO SOCIETA' SEMPLICE AGRICOLA</t>
  </si>
  <si>
    <t>CICCONI FEDERICO</t>
  </si>
  <si>
    <t>SARGENTI FIORELLA</t>
  </si>
  <si>
    <t>CAA Coldiretti - PERUGIA - 006</t>
  </si>
  <si>
    <t>SOCIETA' AGRICOLA LA VALLE DELLA TORRE S.S.</t>
  </si>
  <si>
    <t>IACOBELLI CRISTIAN</t>
  </si>
  <si>
    <t>SACCHI ANDREA</t>
  </si>
  <si>
    <t>PARIS MICHELA</t>
  </si>
  <si>
    <t>CATALINI GIUSEPPE</t>
  </si>
  <si>
    <t>BIGOTTI EVA</t>
  </si>
  <si>
    <t>PEDICA MARIA TERESA</t>
  </si>
  <si>
    <t>NICOLELLI DANILO</t>
  </si>
  <si>
    <t>CAPPELLINI MIRCO</t>
  </si>
  <si>
    <t>LANI ADRIANO</t>
  </si>
  <si>
    <t>RICCIONI STEFANO</t>
  </si>
  <si>
    <t>CAA Coldiretti - PESARO E URBINO - 007</t>
  </si>
  <si>
    <t>MARCOLINI GIAMPAOLO</t>
  </si>
  <si>
    <t>FORESTALE FIUNGO SOCIETA' AGRICOLA S.A.S DI ALESSANDRO E RICCARDO NICO</t>
  </si>
  <si>
    <t>ROSELLI DANIELE</t>
  </si>
  <si>
    <t>SCALBI VITTORIO</t>
  </si>
  <si>
    <t>BECCERICA ANDREA</t>
  </si>
  <si>
    <t>BIANCHINI DOMENICO</t>
  </si>
  <si>
    <t>CORAZZA TONINO</t>
  </si>
  <si>
    <t>SOCIETA' AGRICOLA TRE C. S.S.</t>
  </si>
  <si>
    <t>SANTINI ANTONIO</t>
  </si>
  <si>
    <t>ANTOLINI PAOLO</t>
  </si>
  <si>
    <t>GIACOMONI MARIO</t>
  </si>
  <si>
    <t>CONIGLI CRISTIAN</t>
  </si>
  <si>
    <t>BUCCARINI LORENZO</t>
  </si>
  <si>
    <t>SOCIETA' AGRICOLA TODINI FRANCESCO &amp; C. SOC. SEMPLICE</t>
  </si>
  <si>
    <t>SOCIETA' COOPERATIVA AGRICOLA CASA AIALE A R.L.</t>
  </si>
  <si>
    <t>ROMITI GIOVANNI</t>
  </si>
  <si>
    <t>MISICI FAUSTO</t>
  </si>
  <si>
    <t>LE COLLINE DEL GIANO DI LORI E COFANI SOCIETA' AGRICOLA S.S. DI COFANI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</si>
</sst>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9"/>
  <sheetViews>
    <sheetView showGridLines="0" tabSelected="1" topLeftCell="N1" workbookViewId="0">
      <selection activeCell="O3" sqref="O3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36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CONCATENATE("54820076740")</f>
        <v>54820076740</v>
      </c>
      <c r="K4" s="3" t="s">
        <v>33</v>
      </c>
      <c r="L4" s="3"/>
      <c r="M4" s="3" t="s">
        <v>34</v>
      </c>
      <c r="N4" s="3" t="str">
        <f>CONCATENATE("01094640438")</f>
        <v>01094640438</v>
      </c>
      <c r="O4" s="3" t="s">
        <v>35</v>
      </c>
      <c r="P4" s="3" t="s">
        <v>36</v>
      </c>
      <c r="Q4" s="3"/>
      <c r="R4" s="4">
        <v>46011</v>
      </c>
      <c r="S4" s="3" t="s">
        <v>37</v>
      </c>
      <c r="T4" s="3" t="s">
        <v>38</v>
      </c>
      <c r="U4" s="3" t="s">
        <v>39</v>
      </c>
      <c r="V4" s="5">
        <v>8835.84</v>
      </c>
      <c r="W4" s="5">
        <v>3755.23</v>
      </c>
      <c r="X4" s="5">
        <v>3556.43</v>
      </c>
      <c r="Y4" s="5">
        <v>1524.18</v>
      </c>
    </row>
    <row r="5" spans="1:25" ht="24.75" x14ac:dyDescent="0.25">
      <c r="A5" s="3" t="s">
        <v>26</v>
      </c>
      <c r="B5" s="3" t="s">
        <v>27</v>
      </c>
      <c r="C5" s="3" t="s">
        <v>28</v>
      </c>
      <c r="D5" s="3" t="s">
        <v>40</v>
      </c>
      <c r="E5" s="3" t="s">
        <v>41</v>
      </c>
      <c r="F5" s="3" t="s">
        <v>42</v>
      </c>
      <c r="G5" s="3" t="s">
        <v>41</v>
      </c>
      <c r="H5" s="3" t="s">
        <v>43</v>
      </c>
      <c r="I5" s="3">
        <v>2025</v>
      </c>
      <c r="J5" s="3" t="str">
        <f>CONCATENATE("54820020862")</f>
        <v>54820020862</v>
      </c>
      <c r="K5" s="3" t="s">
        <v>33</v>
      </c>
      <c r="L5" s="3"/>
      <c r="M5" s="3" t="s">
        <v>34</v>
      </c>
      <c r="N5" s="3" t="str">
        <f>CONCATENATE("BTTRST67E50G479F")</f>
        <v>BTTRST67E50G479F</v>
      </c>
      <c r="O5" s="3" t="s">
        <v>44</v>
      </c>
      <c r="P5" s="3" t="s">
        <v>36</v>
      </c>
      <c r="Q5" s="3"/>
      <c r="R5" s="4">
        <v>46011</v>
      </c>
      <c r="S5" s="3" t="s">
        <v>37</v>
      </c>
      <c r="T5" s="3" t="s">
        <v>38</v>
      </c>
      <c r="U5" s="3" t="s">
        <v>39</v>
      </c>
      <c r="V5" s="3">
        <v>674.52</v>
      </c>
      <c r="W5" s="3">
        <v>286.67</v>
      </c>
      <c r="X5" s="3">
        <v>271.49</v>
      </c>
      <c r="Y5" s="3">
        <v>116.36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40</v>
      </c>
      <c r="E6" s="3" t="s">
        <v>45</v>
      </c>
      <c r="F6" s="3" t="s">
        <v>42</v>
      </c>
      <c r="G6" s="3" t="s">
        <v>45</v>
      </c>
      <c r="H6" s="3" t="s">
        <v>43</v>
      </c>
      <c r="I6" s="3">
        <v>2025</v>
      </c>
      <c r="J6" s="3" t="str">
        <f>CONCATENATE("54820083779")</f>
        <v>54820083779</v>
      </c>
      <c r="K6" s="3" t="s">
        <v>33</v>
      </c>
      <c r="L6" s="3"/>
      <c r="M6" s="3" t="s">
        <v>34</v>
      </c>
      <c r="N6" s="3" t="str">
        <f>CONCATENATE("CCCRTT69R55D451Z")</f>
        <v>CCCRTT69R55D451Z</v>
      </c>
      <c r="O6" s="3" t="s">
        <v>46</v>
      </c>
      <c r="P6" s="3" t="s">
        <v>36</v>
      </c>
      <c r="Q6" s="3"/>
      <c r="R6" s="4">
        <v>46011</v>
      </c>
      <c r="S6" s="3" t="s">
        <v>37</v>
      </c>
      <c r="T6" s="3" t="s">
        <v>38</v>
      </c>
      <c r="U6" s="3" t="s">
        <v>39</v>
      </c>
      <c r="V6" s="3">
        <v>970.13</v>
      </c>
      <c r="W6" s="3">
        <v>412.31</v>
      </c>
      <c r="X6" s="3">
        <v>390.48</v>
      </c>
      <c r="Y6" s="3">
        <v>167.34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47</v>
      </c>
      <c r="E7" s="3" t="s">
        <v>48</v>
      </c>
      <c r="F7" s="3" t="s">
        <v>49</v>
      </c>
      <c r="G7" s="3" t="s">
        <v>48</v>
      </c>
      <c r="H7" s="3" t="s">
        <v>43</v>
      </c>
      <c r="I7" s="3">
        <v>2025</v>
      </c>
      <c r="J7" s="3" t="str">
        <f>CONCATENATE("54820121413")</f>
        <v>54820121413</v>
      </c>
      <c r="K7" s="3" t="s">
        <v>33</v>
      </c>
      <c r="L7" s="3"/>
      <c r="M7" s="3" t="s">
        <v>34</v>
      </c>
      <c r="N7" s="3" t="str">
        <f>CONCATENATE("MBRMNL71B20D749G")</f>
        <v>MBRMNL71B20D749G</v>
      </c>
      <c r="O7" s="3" t="s">
        <v>50</v>
      </c>
      <c r="P7" s="3" t="s">
        <v>36</v>
      </c>
      <c r="Q7" s="3"/>
      <c r="R7" s="4">
        <v>46011</v>
      </c>
      <c r="S7" s="3" t="s">
        <v>37</v>
      </c>
      <c r="T7" s="3" t="s">
        <v>38</v>
      </c>
      <c r="U7" s="3" t="s">
        <v>39</v>
      </c>
      <c r="V7" s="3">
        <v>322.08999999999997</v>
      </c>
      <c r="W7" s="3">
        <v>136.88999999999999</v>
      </c>
      <c r="X7" s="3">
        <v>129.63999999999999</v>
      </c>
      <c r="Y7" s="3">
        <v>55.56</v>
      </c>
    </row>
    <row r="8" spans="1:25" ht="36.75" x14ac:dyDescent="0.25">
      <c r="A8" s="3" t="s">
        <v>26</v>
      </c>
      <c r="B8" s="3" t="s">
        <v>27</v>
      </c>
      <c r="C8" s="3" t="s">
        <v>28</v>
      </c>
      <c r="D8" s="3" t="s">
        <v>29</v>
      </c>
      <c r="E8" s="3" t="s">
        <v>51</v>
      </c>
      <c r="F8" s="3" t="s">
        <v>31</v>
      </c>
      <c r="G8" s="3" t="s">
        <v>51</v>
      </c>
      <c r="H8" s="3" t="s">
        <v>43</v>
      </c>
      <c r="I8" s="3">
        <v>2025</v>
      </c>
      <c r="J8" s="3" t="str">
        <f>CONCATENATE("54820106711")</f>
        <v>54820106711</v>
      </c>
      <c r="K8" s="3" t="s">
        <v>33</v>
      </c>
      <c r="L8" s="3"/>
      <c r="M8" s="3" t="s">
        <v>34</v>
      </c>
      <c r="N8" s="3" t="str">
        <f>CONCATENATE("02600130419")</f>
        <v>02600130419</v>
      </c>
      <c r="O8" s="3" t="s">
        <v>52</v>
      </c>
      <c r="P8" s="3" t="s">
        <v>36</v>
      </c>
      <c r="Q8" s="3"/>
      <c r="R8" s="4">
        <v>46011</v>
      </c>
      <c r="S8" s="3" t="s">
        <v>37</v>
      </c>
      <c r="T8" s="3" t="s">
        <v>38</v>
      </c>
      <c r="U8" s="3" t="s">
        <v>39</v>
      </c>
      <c r="V8" s="5">
        <v>5605.02</v>
      </c>
      <c r="W8" s="5">
        <v>2382.13</v>
      </c>
      <c r="X8" s="5">
        <v>2256.02</v>
      </c>
      <c r="Y8" s="3">
        <v>966.87</v>
      </c>
    </row>
    <row r="9" spans="1:25" ht="24.75" x14ac:dyDescent="0.25">
      <c r="A9" s="3" t="s">
        <v>26</v>
      </c>
      <c r="B9" s="3" t="s">
        <v>27</v>
      </c>
      <c r="C9" s="3" t="s">
        <v>28</v>
      </c>
      <c r="D9" s="3" t="s">
        <v>40</v>
      </c>
      <c r="E9" s="3" t="s">
        <v>41</v>
      </c>
      <c r="F9" s="3" t="s">
        <v>42</v>
      </c>
      <c r="G9" s="3" t="s">
        <v>41</v>
      </c>
      <c r="H9" s="3" t="s">
        <v>43</v>
      </c>
      <c r="I9" s="3">
        <v>2025</v>
      </c>
      <c r="J9" s="3" t="str">
        <f>CONCATENATE("54820207691")</f>
        <v>54820207691</v>
      </c>
      <c r="K9" s="3" t="s">
        <v>33</v>
      </c>
      <c r="L9" s="3"/>
      <c r="M9" s="3" t="s">
        <v>34</v>
      </c>
      <c r="N9" s="3" t="str">
        <f>CONCATENATE("02393390410")</f>
        <v>02393390410</v>
      </c>
      <c r="O9" s="3" t="s">
        <v>53</v>
      </c>
      <c r="P9" s="3" t="s">
        <v>36</v>
      </c>
      <c r="Q9" s="3"/>
      <c r="R9" s="4">
        <v>46011</v>
      </c>
      <c r="S9" s="3" t="s">
        <v>37</v>
      </c>
      <c r="T9" s="3" t="s">
        <v>38</v>
      </c>
      <c r="U9" s="3" t="s">
        <v>39</v>
      </c>
      <c r="V9" s="5">
        <v>1270.3699999999999</v>
      </c>
      <c r="W9" s="3">
        <v>539.91</v>
      </c>
      <c r="X9" s="3">
        <v>511.32</v>
      </c>
      <c r="Y9" s="3">
        <v>219.14</v>
      </c>
    </row>
    <row r="10" spans="1:25" ht="60.75" x14ac:dyDescent="0.25">
      <c r="A10" s="3" t="s">
        <v>26</v>
      </c>
      <c r="B10" s="3" t="s">
        <v>27</v>
      </c>
      <c r="C10" s="3" t="s">
        <v>28</v>
      </c>
      <c r="D10" s="3" t="s">
        <v>54</v>
      </c>
      <c r="E10" s="3" t="s">
        <v>55</v>
      </c>
      <c r="F10" s="3" t="s">
        <v>56</v>
      </c>
      <c r="G10" s="3" t="s">
        <v>55</v>
      </c>
      <c r="H10" s="3" t="s">
        <v>43</v>
      </c>
      <c r="I10" s="3">
        <v>2025</v>
      </c>
      <c r="J10" s="3" t="str">
        <f>CONCATENATE("54820374301")</f>
        <v>54820374301</v>
      </c>
      <c r="K10" s="3" t="s">
        <v>33</v>
      </c>
      <c r="L10" s="3"/>
      <c r="M10" s="3" t="s">
        <v>34</v>
      </c>
      <c r="N10" s="3" t="str">
        <f>CONCATENATE("FLPRNG33H16D809A")</f>
        <v>FLPRNG33H16D809A</v>
      </c>
      <c r="O10" s="3" t="s">
        <v>57</v>
      </c>
      <c r="P10" s="3" t="s">
        <v>36</v>
      </c>
      <c r="Q10" s="3"/>
      <c r="R10" s="4">
        <v>46011</v>
      </c>
      <c r="S10" s="3" t="s">
        <v>37</v>
      </c>
      <c r="T10" s="3" t="s">
        <v>38</v>
      </c>
      <c r="U10" s="3" t="s">
        <v>39</v>
      </c>
      <c r="V10" s="5">
        <v>8800.6200000000008</v>
      </c>
      <c r="W10" s="5">
        <v>3740.26</v>
      </c>
      <c r="X10" s="5">
        <v>3542.25</v>
      </c>
      <c r="Y10" s="5">
        <v>1518.11</v>
      </c>
    </row>
    <row r="11" spans="1:25" ht="72.75" x14ac:dyDescent="0.25">
      <c r="A11" s="3" t="s">
        <v>26</v>
      </c>
      <c r="B11" s="3" t="s">
        <v>27</v>
      </c>
      <c r="C11" s="3" t="s">
        <v>28</v>
      </c>
      <c r="D11" s="3" t="s">
        <v>40</v>
      </c>
      <c r="E11" s="3" t="s">
        <v>58</v>
      </c>
      <c r="F11" s="3" t="s">
        <v>42</v>
      </c>
      <c r="G11" s="3" t="s">
        <v>58</v>
      </c>
      <c r="H11" s="3" t="s">
        <v>43</v>
      </c>
      <c r="I11" s="3">
        <v>2025</v>
      </c>
      <c r="J11" s="3" t="str">
        <f>CONCATENATE("54820141767")</f>
        <v>54820141767</v>
      </c>
      <c r="K11" s="3" t="s">
        <v>33</v>
      </c>
      <c r="L11" s="3"/>
      <c r="M11" s="3" t="s">
        <v>34</v>
      </c>
      <c r="N11" s="3" t="str">
        <f>CONCATENATE("CRLMSM72T07B352A")</f>
        <v>CRLMSM72T07B352A</v>
      </c>
      <c r="O11" s="3" t="s">
        <v>59</v>
      </c>
      <c r="P11" s="3" t="s">
        <v>36</v>
      </c>
      <c r="Q11" s="3"/>
      <c r="R11" s="4">
        <v>46011</v>
      </c>
      <c r="S11" s="3" t="s">
        <v>37</v>
      </c>
      <c r="T11" s="3" t="s">
        <v>38</v>
      </c>
      <c r="U11" s="3" t="s">
        <v>39</v>
      </c>
      <c r="V11" s="5">
        <v>1155.43</v>
      </c>
      <c r="W11" s="3">
        <v>491.06</v>
      </c>
      <c r="X11" s="3">
        <v>465.06</v>
      </c>
      <c r="Y11" s="3">
        <v>199.31</v>
      </c>
    </row>
    <row r="12" spans="1:25" ht="36.75" x14ac:dyDescent="0.25">
      <c r="A12" s="3" t="s">
        <v>26</v>
      </c>
      <c r="B12" s="3" t="s">
        <v>27</v>
      </c>
      <c r="C12" s="3" t="s">
        <v>28</v>
      </c>
      <c r="D12" s="3" t="s">
        <v>40</v>
      </c>
      <c r="E12" s="3" t="s">
        <v>60</v>
      </c>
      <c r="F12" s="3" t="s">
        <v>42</v>
      </c>
      <c r="G12" s="3" t="s">
        <v>60</v>
      </c>
      <c r="H12" s="3" t="s">
        <v>32</v>
      </c>
      <c r="I12" s="3">
        <v>2025</v>
      </c>
      <c r="J12" s="3" t="str">
        <f>CONCATENATE("54820275714")</f>
        <v>54820275714</v>
      </c>
      <c r="K12" s="3" t="s">
        <v>33</v>
      </c>
      <c r="L12" s="3"/>
      <c r="M12" s="3" t="s">
        <v>34</v>
      </c>
      <c r="N12" s="3" t="str">
        <f>CONCATENATE("01711460434")</f>
        <v>01711460434</v>
      </c>
      <c r="O12" s="3" t="s">
        <v>61</v>
      </c>
      <c r="P12" s="3" t="s">
        <v>36</v>
      </c>
      <c r="Q12" s="3"/>
      <c r="R12" s="4">
        <v>46011</v>
      </c>
      <c r="S12" s="3" t="s">
        <v>37</v>
      </c>
      <c r="T12" s="3" t="s">
        <v>38</v>
      </c>
      <c r="U12" s="3" t="s">
        <v>39</v>
      </c>
      <c r="V12" s="5">
        <v>6014.55</v>
      </c>
      <c r="W12" s="5">
        <v>2556.1799999999998</v>
      </c>
      <c r="X12" s="5">
        <v>2420.86</v>
      </c>
      <c r="Y12" s="5">
        <v>1037.51</v>
      </c>
    </row>
    <row r="13" spans="1:25" ht="60.75" x14ac:dyDescent="0.25">
      <c r="A13" s="3" t="s">
        <v>26</v>
      </c>
      <c r="B13" s="3" t="s">
        <v>27</v>
      </c>
      <c r="C13" s="3" t="s">
        <v>28</v>
      </c>
      <c r="D13" s="3" t="s">
        <v>47</v>
      </c>
      <c r="E13" s="3" t="s">
        <v>62</v>
      </c>
      <c r="F13" s="3" t="s">
        <v>49</v>
      </c>
      <c r="G13" s="3" t="s">
        <v>62</v>
      </c>
      <c r="H13" s="3" t="s">
        <v>63</v>
      </c>
      <c r="I13" s="3">
        <v>2025</v>
      </c>
      <c r="J13" s="3" t="str">
        <f>CONCATENATE("54820139944")</f>
        <v>54820139944</v>
      </c>
      <c r="K13" s="3" t="s">
        <v>33</v>
      </c>
      <c r="L13" s="3"/>
      <c r="M13" s="3" t="s">
        <v>34</v>
      </c>
      <c r="N13" s="3" t="str">
        <f>CONCATENATE("CPPNRC73P28I461J")</f>
        <v>CPPNRC73P28I461J</v>
      </c>
      <c r="O13" s="3" t="s">
        <v>64</v>
      </c>
      <c r="P13" s="3" t="s">
        <v>36</v>
      </c>
      <c r="Q13" s="3"/>
      <c r="R13" s="4">
        <v>46011</v>
      </c>
      <c r="S13" s="3" t="s">
        <v>37</v>
      </c>
      <c r="T13" s="3" t="s">
        <v>38</v>
      </c>
      <c r="U13" s="3" t="s">
        <v>39</v>
      </c>
      <c r="V13" s="3">
        <v>247.7</v>
      </c>
      <c r="W13" s="3">
        <v>105.27</v>
      </c>
      <c r="X13" s="3">
        <v>99.7</v>
      </c>
      <c r="Y13" s="3">
        <v>42.73</v>
      </c>
    </row>
    <row r="14" spans="1:25" ht="36.75" x14ac:dyDescent="0.25">
      <c r="A14" s="3" t="s">
        <v>26</v>
      </c>
      <c r="B14" s="3" t="s">
        <v>27</v>
      </c>
      <c r="C14" s="3" t="s">
        <v>28</v>
      </c>
      <c r="D14" s="3" t="s">
        <v>40</v>
      </c>
      <c r="E14" s="3" t="s">
        <v>65</v>
      </c>
      <c r="F14" s="3" t="s">
        <v>42</v>
      </c>
      <c r="G14" s="3" t="s">
        <v>65</v>
      </c>
      <c r="H14" s="3" t="s">
        <v>32</v>
      </c>
      <c r="I14" s="3">
        <v>2025</v>
      </c>
      <c r="J14" s="3" t="str">
        <f>CONCATENATE("54820268347")</f>
        <v>54820268347</v>
      </c>
      <c r="K14" s="3" t="s">
        <v>33</v>
      </c>
      <c r="L14" s="3"/>
      <c r="M14" s="3" t="s">
        <v>34</v>
      </c>
      <c r="N14" s="3" t="str">
        <f>CONCATENATE("02070480435")</f>
        <v>02070480435</v>
      </c>
      <c r="O14" s="3" t="s">
        <v>66</v>
      </c>
      <c r="P14" s="3" t="s">
        <v>36</v>
      </c>
      <c r="Q14" s="3"/>
      <c r="R14" s="4">
        <v>46011</v>
      </c>
      <c r="S14" s="3" t="s">
        <v>37</v>
      </c>
      <c r="T14" s="3" t="s">
        <v>38</v>
      </c>
      <c r="U14" s="3" t="s">
        <v>39</v>
      </c>
      <c r="V14" s="5">
        <v>8127.33</v>
      </c>
      <c r="W14" s="5">
        <v>3454.12</v>
      </c>
      <c r="X14" s="5">
        <v>3271.25</v>
      </c>
      <c r="Y14" s="5">
        <v>1401.96</v>
      </c>
    </row>
    <row r="15" spans="1:25" ht="60.75" x14ac:dyDescent="0.25">
      <c r="A15" s="3" t="s">
        <v>26</v>
      </c>
      <c r="B15" s="3" t="s">
        <v>27</v>
      </c>
      <c r="C15" s="3" t="s">
        <v>28</v>
      </c>
      <c r="D15" s="3" t="s">
        <v>40</v>
      </c>
      <c r="E15" s="3" t="s">
        <v>65</v>
      </c>
      <c r="F15" s="3" t="s">
        <v>42</v>
      </c>
      <c r="G15" s="3" t="s">
        <v>65</v>
      </c>
      <c r="H15" s="3" t="s">
        <v>32</v>
      </c>
      <c r="I15" s="3">
        <v>2025</v>
      </c>
      <c r="J15" s="3" t="str">
        <f>CONCATENATE("54820181185")</f>
        <v>54820181185</v>
      </c>
      <c r="K15" s="3" t="s">
        <v>33</v>
      </c>
      <c r="L15" s="3"/>
      <c r="M15" s="3" t="s">
        <v>34</v>
      </c>
      <c r="N15" s="3" t="str">
        <f>CONCATENATE("RRANTN63L31A252C")</f>
        <v>RRANTN63L31A252C</v>
      </c>
      <c r="O15" s="3" t="s">
        <v>67</v>
      </c>
      <c r="P15" s="3" t="s">
        <v>36</v>
      </c>
      <c r="Q15" s="3"/>
      <c r="R15" s="4">
        <v>46011</v>
      </c>
      <c r="S15" s="3" t="s">
        <v>37</v>
      </c>
      <c r="T15" s="3" t="s">
        <v>38</v>
      </c>
      <c r="U15" s="3" t="s">
        <v>39</v>
      </c>
      <c r="V15" s="3">
        <v>607.38</v>
      </c>
      <c r="W15" s="3">
        <v>258.14</v>
      </c>
      <c r="X15" s="3">
        <v>244.47</v>
      </c>
      <c r="Y15" s="3">
        <v>104.77</v>
      </c>
    </row>
    <row r="16" spans="1:25" ht="36.75" x14ac:dyDescent="0.25">
      <c r="A16" s="3" t="s">
        <v>26</v>
      </c>
      <c r="B16" s="3" t="s">
        <v>27</v>
      </c>
      <c r="C16" s="3" t="s">
        <v>28</v>
      </c>
      <c r="D16" s="3" t="s">
        <v>29</v>
      </c>
      <c r="E16" s="3" t="s">
        <v>68</v>
      </c>
      <c r="F16" s="3" t="s">
        <v>31</v>
      </c>
      <c r="G16" s="3" t="s">
        <v>68</v>
      </c>
      <c r="H16" s="3" t="s">
        <v>43</v>
      </c>
      <c r="I16" s="3">
        <v>2025</v>
      </c>
      <c r="J16" s="3" t="str">
        <f>CONCATENATE("54820130588")</f>
        <v>54820130588</v>
      </c>
      <c r="K16" s="3" t="s">
        <v>33</v>
      </c>
      <c r="L16" s="3"/>
      <c r="M16" s="3" t="s">
        <v>34</v>
      </c>
      <c r="N16" s="3" t="str">
        <f>CONCATENATE("02629240413")</f>
        <v>02629240413</v>
      </c>
      <c r="O16" s="3" t="s">
        <v>69</v>
      </c>
      <c r="P16" s="3" t="s">
        <v>36</v>
      </c>
      <c r="Q16" s="3"/>
      <c r="R16" s="4">
        <v>46011</v>
      </c>
      <c r="S16" s="3" t="s">
        <v>37</v>
      </c>
      <c r="T16" s="3" t="s">
        <v>38</v>
      </c>
      <c r="U16" s="3" t="s">
        <v>39</v>
      </c>
      <c r="V16" s="5">
        <v>5637.81</v>
      </c>
      <c r="W16" s="5">
        <v>2396.0700000000002</v>
      </c>
      <c r="X16" s="5">
        <v>2269.2199999999998</v>
      </c>
      <c r="Y16" s="3">
        <v>972.52</v>
      </c>
    </row>
    <row r="17" spans="1:25" ht="36.75" x14ac:dyDescent="0.25">
      <c r="A17" s="3" t="s">
        <v>26</v>
      </c>
      <c r="B17" s="3" t="s">
        <v>27</v>
      </c>
      <c r="C17" s="3" t="s">
        <v>28</v>
      </c>
      <c r="D17" s="3" t="s">
        <v>29</v>
      </c>
      <c r="E17" s="3" t="s">
        <v>30</v>
      </c>
      <c r="F17" s="3" t="s">
        <v>31</v>
      </c>
      <c r="G17" s="3" t="s">
        <v>30</v>
      </c>
      <c r="H17" s="3" t="s">
        <v>32</v>
      </c>
      <c r="I17" s="3">
        <v>2025</v>
      </c>
      <c r="J17" s="3" t="str">
        <f>CONCATENATE("54820018130")</f>
        <v>54820018130</v>
      </c>
      <c r="K17" s="3" t="s">
        <v>33</v>
      </c>
      <c r="L17" s="3"/>
      <c r="M17" s="3" t="s">
        <v>34</v>
      </c>
      <c r="N17" s="3" t="str">
        <f>CONCATENATE("01674610439")</f>
        <v>01674610439</v>
      </c>
      <c r="O17" s="3" t="s">
        <v>70</v>
      </c>
      <c r="P17" s="3" t="s">
        <v>36</v>
      </c>
      <c r="Q17" s="3"/>
      <c r="R17" s="4">
        <v>46011</v>
      </c>
      <c r="S17" s="3" t="s">
        <v>37</v>
      </c>
      <c r="T17" s="3" t="s">
        <v>38</v>
      </c>
      <c r="U17" s="3" t="s">
        <v>39</v>
      </c>
      <c r="V17" s="5">
        <v>1265.6199999999999</v>
      </c>
      <c r="W17" s="3">
        <v>537.89</v>
      </c>
      <c r="X17" s="3">
        <v>509.41</v>
      </c>
      <c r="Y17" s="3">
        <v>218.32</v>
      </c>
    </row>
    <row r="18" spans="1:25" ht="60.75" x14ac:dyDescent="0.25">
      <c r="A18" s="3" t="s">
        <v>26</v>
      </c>
      <c r="B18" s="3" t="s">
        <v>27</v>
      </c>
      <c r="C18" s="3" t="s">
        <v>28</v>
      </c>
      <c r="D18" s="3" t="s">
        <v>29</v>
      </c>
      <c r="E18" s="3" t="s">
        <v>68</v>
      </c>
      <c r="F18" s="3" t="s">
        <v>31</v>
      </c>
      <c r="G18" s="3" t="s">
        <v>68</v>
      </c>
      <c r="H18" s="3" t="s">
        <v>32</v>
      </c>
      <c r="I18" s="3">
        <v>2025</v>
      </c>
      <c r="J18" s="3" t="str">
        <f>CONCATENATE("54820024195")</f>
        <v>54820024195</v>
      </c>
      <c r="K18" s="3" t="s">
        <v>33</v>
      </c>
      <c r="L18" s="3"/>
      <c r="M18" s="3" t="s">
        <v>34</v>
      </c>
      <c r="N18" s="3" t="str">
        <f>CONCATENATE("VSSPLA64H21E783D")</f>
        <v>VSSPLA64H21E783D</v>
      </c>
      <c r="O18" s="3" t="s">
        <v>71</v>
      </c>
      <c r="P18" s="3" t="s">
        <v>36</v>
      </c>
      <c r="Q18" s="3"/>
      <c r="R18" s="4">
        <v>46011</v>
      </c>
      <c r="S18" s="3" t="s">
        <v>37</v>
      </c>
      <c r="T18" s="3" t="s">
        <v>38</v>
      </c>
      <c r="U18" s="3" t="s">
        <v>39</v>
      </c>
      <c r="V18" s="5">
        <v>2024.83</v>
      </c>
      <c r="W18" s="3">
        <v>860.55</v>
      </c>
      <c r="X18" s="3">
        <v>814.99</v>
      </c>
      <c r="Y18" s="3">
        <v>349.29</v>
      </c>
    </row>
    <row r="19" spans="1:25" ht="36.75" x14ac:dyDescent="0.25">
      <c r="A19" s="3" t="s">
        <v>26</v>
      </c>
      <c r="B19" s="3" t="s">
        <v>27</v>
      </c>
      <c r="C19" s="3" t="s">
        <v>28</v>
      </c>
      <c r="D19" s="3" t="s">
        <v>54</v>
      </c>
      <c r="E19" s="3" t="s">
        <v>72</v>
      </c>
      <c r="F19" s="3" t="s">
        <v>56</v>
      </c>
      <c r="G19" s="3" t="s">
        <v>72</v>
      </c>
      <c r="H19" s="3" t="s">
        <v>32</v>
      </c>
      <c r="I19" s="3">
        <v>2025</v>
      </c>
      <c r="J19" s="3" t="str">
        <f>CONCATENATE("54820068176")</f>
        <v>54820068176</v>
      </c>
      <c r="K19" s="3" t="s">
        <v>33</v>
      </c>
      <c r="L19" s="3"/>
      <c r="M19" s="3" t="s">
        <v>34</v>
      </c>
      <c r="N19" s="3" t="str">
        <f>CONCATENATE("00604160432")</f>
        <v>00604160432</v>
      </c>
      <c r="O19" s="3" t="s">
        <v>73</v>
      </c>
      <c r="P19" s="3" t="s">
        <v>36</v>
      </c>
      <c r="Q19" s="3"/>
      <c r="R19" s="4">
        <v>46011</v>
      </c>
      <c r="S19" s="3" t="s">
        <v>37</v>
      </c>
      <c r="T19" s="3" t="s">
        <v>38</v>
      </c>
      <c r="U19" s="3" t="s">
        <v>39</v>
      </c>
      <c r="V19" s="5">
        <v>3838</v>
      </c>
      <c r="W19" s="5">
        <v>1631.15</v>
      </c>
      <c r="X19" s="5">
        <v>1544.8</v>
      </c>
      <c r="Y19" s="3">
        <v>662.05</v>
      </c>
    </row>
    <row r="20" spans="1:25" ht="72.75" x14ac:dyDescent="0.25">
      <c r="A20" s="3" t="s">
        <v>26</v>
      </c>
      <c r="B20" s="3" t="s">
        <v>27</v>
      </c>
      <c r="C20" s="3" t="s">
        <v>28</v>
      </c>
      <c r="D20" s="3" t="s">
        <v>74</v>
      </c>
      <c r="E20" s="3" t="s">
        <v>75</v>
      </c>
      <c r="F20" s="3" t="s">
        <v>74</v>
      </c>
      <c r="G20" s="3" t="s">
        <v>75</v>
      </c>
      <c r="H20" s="3" t="s">
        <v>43</v>
      </c>
      <c r="I20" s="3">
        <v>2025</v>
      </c>
      <c r="J20" s="3" t="str">
        <f>CONCATENATE("54820251277")</f>
        <v>54820251277</v>
      </c>
      <c r="K20" s="3" t="s">
        <v>33</v>
      </c>
      <c r="L20" s="3"/>
      <c r="M20" s="3" t="s">
        <v>34</v>
      </c>
      <c r="N20" s="3" t="str">
        <f>CONCATENATE("CNDLNS68H17D749V")</f>
        <v>CNDLNS68H17D749V</v>
      </c>
      <c r="O20" s="3" t="s">
        <v>76</v>
      </c>
      <c r="P20" s="3" t="s">
        <v>36</v>
      </c>
      <c r="Q20" s="3"/>
      <c r="R20" s="4">
        <v>46011</v>
      </c>
      <c r="S20" s="3" t="s">
        <v>37</v>
      </c>
      <c r="T20" s="3" t="s">
        <v>38</v>
      </c>
      <c r="U20" s="3" t="s">
        <v>39</v>
      </c>
      <c r="V20" s="5">
        <v>4591.71</v>
      </c>
      <c r="W20" s="5">
        <v>1951.48</v>
      </c>
      <c r="X20" s="5">
        <v>1848.16</v>
      </c>
      <c r="Y20" s="3">
        <v>792.07</v>
      </c>
    </row>
    <row r="21" spans="1:25" ht="72.75" x14ac:dyDescent="0.25">
      <c r="A21" s="3" t="s">
        <v>26</v>
      </c>
      <c r="B21" s="3" t="s">
        <v>27</v>
      </c>
      <c r="C21" s="3" t="s">
        <v>28</v>
      </c>
      <c r="D21" s="3" t="s">
        <v>29</v>
      </c>
      <c r="E21" s="3" t="s">
        <v>77</v>
      </c>
      <c r="F21" s="3" t="s">
        <v>31</v>
      </c>
      <c r="G21" s="3" t="s">
        <v>77</v>
      </c>
      <c r="H21" s="3" t="s">
        <v>32</v>
      </c>
      <c r="I21" s="3">
        <v>2025</v>
      </c>
      <c r="J21" s="3" t="str">
        <f>CONCATENATE("54820288261")</f>
        <v>54820288261</v>
      </c>
      <c r="K21" s="3" t="s">
        <v>33</v>
      </c>
      <c r="L21" s="3"/>
      <c r="M21" s="3" t="s">
        <v>34</v>
      </c>
      <c r="N21" s="3" t="str">
        <f>CONCATENATE("MDRSRG59A03M078A")</f>
        <v>MDRSRG59A03M078A</v>
      </c>
      <c r="O21" s="3" t="s">
        <v>78</v>
      </c>
      <c r="P21" s="3" t="s">
        <v>36</v>
      </c>
      <c r="Q21" s="3"/>
      <c r="R21" s="4">
        <v>46011</v>
      </c>
      <c r="S21" s="3" t="s">
        <v>37</v>
      </c>
      <c r="T21" s="3" t="s">
        <v>38</v>
      </c>
      <c r="U21" s="3" t="s">
        <v>39</v>
      </c>
      <c r="V21" s="5">
        <v>2431.0100000000002</v>
      </c>
      <c r="W21" s="5">
        <v>1033.18</v>
      </c>
      <c r="X21" s="3">
        <v>978.48</v>
      </c>
      <c r="Y21" s="3">
        <v>419.35</v>
      </c>
    </row>
    <row r="22" spans="1:25" ht="60.75" x14ac:dyDescent="0.25">
      <c r="A22" s="3" t="s">
        <v>26</v>
      </c>
      <c r="B22" s="3" t="s">
        <v>27</v>
      </c>
      <c r="C22" s="3" t="s">
        <v>28</v>
      </c>
      <c r="D22" s="3" t="s">
        <v>29</v>
      </c>
      <c r="E22" s="3" t="s">
        <v>79</v>
      </c>
      <c r="F22" s="3" t="s">
        <v>31</v>
      </c>
      <c r="G22" s="3" t="s">
        <v>79</v>
      </c>
      <c r="H22" s="3" t="s">
        <v>32</v>
      </c>
      <c r="I22" s="3">
        <v>2025</v>
      </c>
      <c r="J22" s="3" t="str">
        <f>CONCATENATE("54820416086")</f>
        <v>54820416086</v>
      </c>
      <c r="K22" s="3" t="s">
        <v>33</v>
      </c>
      <c r="L22" s="3"/>
      <c r="M22" s="3" t="s">
        <v>34</v>
      </c>
      <c r="N22" s="3" t="str">
        <f>CONCATENATE("NGLMRK78A11B474J")</f>
        <v>NGLMRK78A11B474J</v>
      </c>
      <c r="O22" s="3" t="s">
        <v>80</v>
      </c>
      <c r="P22" s="3" t="s">
        <v>36</v>
      </c>
      <c r="Q22" s="3"/>
      <c r="R22" s="4">
        <v>46011</v>
      </c>
      <c r="S22" s="3" t="s">
        <v>37</v>
      </c>
      <c r="T22" s="3" t="s">
        <v>38</v>
      </c>
      <c r="U22" s="3" t="s">
        <v>39</v>
      </c>
      <c r="V22" s="5">
        <v>4338.71</v>
      </c>
      <c r="W22" s="5">
        <v>1843.95</v>
      </c>
      <c r="X22" s="5">
        <v>1746.33</v>
      </c>
      <c r="Y22" s="3">
        <v>748.43</v>
      </c>
    </row>
    <row r="23" spans="1:25" ht="60.75" x14ac:dyDescent="0.25">
      <c r="A23" s="3" t="s">
        <v>26</v>
      </c>
      <c r="B23" s="3" t="s">
        <v>27</v>
      </c>
      <c r="C23" s="3" t="s">
        <v>28</v>
      </c>
      <c r="D23" s="3" t="s">
        <v>54</v>
      </c>
      <c r="E23" s="3" t="s">
        <v>55</v>
      </c>
      <c r="F23" s="3" t="s">
        <v>56</v>
      </c>
      <c r="G23" s="3" t="s">
        <v>55</v>
      </c>
      <c r="H23" s="3" t="s">
        <v>43</v>
      </c>
      <c r="I23" s="3">
        <v>2025</v>
      </c>
      <c r="J23" s="3" t="str">
        <f>CONCATENATE("54820208798")</f>
        <v>54820208798</v>
      </c>
      <c r="K23" s="3" t="s">
        <v>33</v>
      </c>
      <c r="L23" s="3"/>
      <c r="M23" s="3" t="s">
        <v>34</v>
      </c>
      <c r="N23" s="3" t="str">
        <f>CONCATENATE("TNTLSN69E18F205X")</f>
        <v>TNTLSN69E18F205X</v>
      </c>
      <c r="O23" s="3" t="s">
        <v>81</v>
      </c>
      <c r="P23" s="3" t="s">
        <v>36</v>
      </c>
      <c r="Q23" s="3"/>
      <c r="R23" s="4">
        <v>46011</v>
      </c>
      <c r="S23" s="3" t="s">
        <v>37</v>
      </c>
      <c r="T23" s="3" t="s">
        <v>38</v>
      </c>
      <c r="U23" s="3" t="s">
        <v>39</v>
      </c>
      <c r="V23" s="3">
        <v>694.42</v>
      </c>
      <c r="W23" s="3">
        <v>295.13</v>
      </c>
      <c r="X23" s="3">
        <v>279.5</v>
      </c>
      <c r="Y23" s="3">
        <v>119.79</v>
      </c>
    </row>
    <row r="24" spans="1:25" ht="60.75" x14ac:dyDescent="0.25">
      <c r="A24" s="3" t="s">
        <v>26</v>
      </c>
      <c r="B24" s="3" t="s">
        <v>27</v>
      </c>
      <c r="C24" s="3" t="s">
        <v>28</v>
      </c>
      <c r="D24" s="3" t="s">
        <v>82</v>
      </c>
      <c r="E24" s="3" t="s">
        <v>83</v>
      </c>
      <c r="F24" s="3" t="s">
        <v>84</v>
      </c>
      <c r="G24" s="3" t="s">
        <v>83</v>
      </c>
      <c r="H24" s="3" t="s">
        <v>85</v>
      </c>
      <c r="I24" s="3">
        <v>2025</v>
      </c>
      <c r="J24" s="3" t="str">
        <f>CONCATENATE("54820238084")</f>
        <v>54820238084</v>
      </c>
      <c r="K24" s="3" t="s">
        <v>33</v>
      </c>
      <c r="L24" s="3"/>
      <c r="M24" s="3" t="s">
        <v>34</v>
      </c>
      <c r="N24" s="3" t="str">
        <f>CONCATENATE("GLNLSN91H27A462E")</f>
        <v>GLNLSN91H27A462E</v>
      </c>
      <c r="O24" s="3" t="s">
        <v>86</v>
      </c>
      <c r="P24" s="3" t="s">
        <v>36</v>
      </c>
      <c r="Q24" s="3"/>
      <c r="R24" s="4">
        <v>46011</v>
      </c>
      <c r="S24" s="3" t="s">
        <v>37</v>
      </c>
      <c r="T24" s="3" t="s">
        <v>38</v>
      </c>
      <c r="U24" s="3" t="s">
        <v>39</v>
      </c>
      <c r="V24" s="5">
        <v>1463.33</v>
      </c>
      <c r="W24" s="3">
        <v>621.91999999999996</v>
      </c>
      <c r="X24" s="3">
        <v>588.99</v>
      </c>
      <c r="Y24" s="3">
        <v>252.42</v>
      </c>
    </row>
    <row r="25" spans="1:25" ht="60.75" x14ac:dyDescent="0.25">
      <c r="A25" s="3" t="s">
        <v>26</v>
      </c>
      <c r="B25" s="3" t="s">
        <v>27</v>
      </c>
      <c r="C25" s="3" t="s">
        <v>28</v>
      </c>
      <c r="D25" s="3" t="s">
        <v>40</v>
      </c>
      <c r="E25" s="3" t="s">
        <v>60</v>
      </c>
      <c r="F25" s="3" t="s">
        <v>42</v>
      </c>
      <c r="G25" s="3" t="s">
        <v>60</v>
      </c>
      <c r="H25" s="3" t="s">
        <v>32</v>
      </c>
      <c r="I25" s="3">
        <v>2025</v>
      </c>
      <c r="J25" s="3" t="str">
        <f>CONCATENATE("54820278593")</f>
        <v>54820278593</v>
      </c>
      <c r="K25" s="3" t="s">
        <v>33</v>
      </c>
      <c r="L25" s="3"/>
      <c r="M25" s="3" t="s">
        <v>34</v>
      </c>
      <c r="N25" s="3" t="str">
        <f>CONCATENATE("MCARLL58E54I661W")</f>
        <v>MCARLL58E54I661W</v>
      </c>
      <c r="O25" s="3" t="s">
        <v>87</v>
      </c>
      <c r="P25" s="3" t="s">
        <v>36</v>
      </c>
      <c r="Q25" s="3"/>
      <c r="R25" s="4">
        <v>46011</v>
      </c>
      <c r="S25" s="3" t="s">
        <v>37</v>
      </c>
      <c r="T25" s="3" t="s">
        <v>38</v>
      </c>
      <c r="U25" s="3" t="s">
        <v>39</v>
      </c>
      <c r="V25" s="5">
        <v>7702.41</v>
      </c>
      <c r="W25" s="5">
        <v>3273.52</v>
      </c>
      <c r="X25" s="5">
        <v>3100.22</v>
      </c>
      <c r="Y25" s="5">
        <v>1328.67</v>
      </c>
    </row>
    <row r="26" spans="1:25" ht="60.75" x14ac:dyDescent="0.25">
      <c r="A26" s="3" t="s">
        <v>26</v>
      </c>
      <c r="B26" s="3" t="s">
        <v>27</v>
      </c>
      <c r="C26" s="3" t="s">
        <v>28</v>
      </c>
      <c r="D26" s="3" t="s">
        <v>54</v>
      </c>
      <c r="E26" s="3" t="s">
        <v>88</v>
      </c>
      <c r="F26" s="3" t="s">
        <v>56</v>
      </c>
      <c r="G26" s="3" t="s">
        <v>88</v>
      </c>
      <c r="H26" s="3" t="s">
        <v>85</v>
      </c>
      <c r="I26" s="3">
        <v>2025</v>
      </c>
      <c r="J26" s="3" t="str">
        <f>CONCATENATE("54820291158")</f>
        <v>54820291158</v>
      </c>
      <c r="K26" s="3" t="s">
        <v>33</v>
      </c>
      <c r="L26" s="3"/>
      <c r="M26" s="3" t="s">
        <v>34</v>
      </c>
      <c r="N26" s="3" t="str">
        <f>CONCATENATE("LDDLRD85C02D542R")</f>
        <v>LDDLRD85C02D542R</v>
      </c>
      <c r="O26" s="3" t="s">
        <v>89</v>
      </c>
      <c r="P26" s="3" t="s">
        <v>36</v>
      </c>
      <c r="Q26" s="3"/>
      <c r="R26" s="4">
        <v>46011</v>
      </c>
      <c r="S26" s="3" t="s">
        <v>37</v>
      </c>
      <c r="T26" s="3" t="s">
        <v>38</v>
      </c>
      <c r="U26" s="3" t="s">
        <v>39</v>
      </c>
      <c r="V26" s="3">
        <v>991.72</v>
      </c>
      <c r="W26" s="3">
        <v>421.48</v>
      </c>
      <c r="X26" s="3">
        <v>399.17</v>
      </c>
      <c r="Y26" s="3">
        <v>171.07</v>
      </c>
    </row>
    <row r="27" spans="1:25" ht="60.75" x14ac:dyDescent="0.25">
      <c r="A27" s="3" t="s">
        <v>26</v>
      </c>
      <c r="B27" s="3" t="s">
        <v>27</v>
      </c>
      <c r="C27" s="3" t="s">
        <v>28</v>
      </c>
      <c r="D27" s="3" t="s">
        <v>40</v>
      </c>
      <c r="E27" s="3" t="s">
        <v>90</v>
      </c>
      <c r="F27" s="3" t="s">
        <v>49</v>
      </c>
      <c r="G27" s="3" t="s">
        <v>91</v>
      </c>
      <c r="H27" s="3" t="s">
        <v>85</v>
      </c>
      <c r="I27" s="3">
        <v>2024</v>
      </c>
      <c r="J27" s="3" t="str">
        <f>CONCATENATE("44811492790")</f>
        <v>44811492790</v>
      </c>
      <c r="K27" s="3" t="s">
        <v>33</v>
      </c>
      <c r="L27" s="3"/>
      <c r="M27" s="3" t="s">
        <v>92</v>
      </c>
      <c r="N27" s="3" t="str">
        <f>CONCATENATE("MRCLGN53M69E207K")</f>
        <v>MRCLGN53M69E207K</v>
      </c>
      <c r="O27" s="3" t="s">
        <v>93</v>
      </c>
      <c r="P27" s="3" t="s">
        <v>94</v>
      </c>
      <c r="Q27" s="3" t="s">
        <v>95</v>
      </c>
      <c r="R27" s="4">
        <v>45919</v>
      </c>
      <c r="S27" s="3" t="s">
        <v>37</v>
      </c>
      <c r="T27" s="3" t="s">
        <v>38</v>
      </c>
      <c r="U27" s="3" t="s">
        <v>39</v>
      </c>
      <c r="V27" s="3">
        <v>568.83000000000004</v>
      </c>
      <c r="W27" s="3">
        <v>241.75</v>
      </c>
      <c r="X27" s="3">
        <v>228.95</v>
      </c>
      <c r="Y27" s="3">
        <v>98.13</v>
      </c>
    </row>
    <row r="28" spans="1:25" ht="72.75" x14ac:dyDescent="0.25">
      <c r="A28" s="3" t="s">
        <v>26</v>
      </c>
      <c r="B28" s="3" t="s">
        <v>27</v>
      </c>
      <c r="C28" s="3" t="s">
        <v>28</v>
      </c>
      <c r="D28" s="3" t="s">
        <v>40</v>
      </c>
      <c r="E28" s="3" t="s">
        <v>58</v>
      </c>
      <c r="F28" s="3" t="s">
        <v>42</v>
      </c>
      <c r="G28" s="3" t="s">
        <v>58</v>
      </c>
      <c r="H28" s="3" t="s">
        <v>43</v>
      </c>
      <c r="I28" s="3">
        <v>2025</v>
      </c>
      <c r="J28" s="3" t="str">
        <f>CONCATENATE("54820123476")</f>
        <v>54820123476</v>
      </c>
      <c r="K28" s="3" t="s">
        <v>33</v>
      </c>
      <c r="L28" s="3"/>
      <c r="M28" s="3" t="s">
        <v>34</v>
      </c>
      <c r="N28" s="3" t="str">
        <f>CONCATENATE("SLVMSM47C20B352H")</f>
        <v>SLVMSM47C20B352H</v>
      </c>
      <c r="O28" s="3" t="s">
        <v>96</v>
      </c>
      <c r="P28" s="3" t="s">
        <v>36</v>
      </c>
      <c r="Q28" s="3"/>
      <c r="R28" s="4">
        <v>46011</v>
      </c>
      <c r="S28" s="3" t="s">
        <v>37</v>
      </c>
      <c r="T28" s="3" t="s">
        <v>38</v>
      </c>
      <c r="U28" s="3" t="s">
        <v>39</v>
      </c>
      <c r="V28" s="5">
        <v>3698.07</v>
      </c>
      <c r="W28" s="5">
        <v>1571.68</v>
      </c>
      <c r="X28" s="5">
        <v>1488.47</v>
      </c>
      <c r="Y28" s="3">
        <v>637.91999999999996</v>
      </c>
    </row>
    <row r="29" spans="1:25" ht="60.75" x14ac:dyDescent="0.25">
      <c r="A29" s="3" t="s">
        <v>26</v>
      </c>
      <c r="B29" s="3" t="s">
        <v>27</v>
      </c>
      <c r="C29" s="3" t="s">
        <v>28</v>
      </c>
      <c r="D29" s="3" t="s">
        <v>40</v>
      </c>
      <c r="E29" s="3" t="s">
        <v>60</v>
      </c>
      <c r="F29" s="3" t="s">
        <v>42</v>
      </c>
      <c r="G29" s="3" t="s">
        <v>60</v>
      </c>
      <c r="H29" s="3" t="s">
        <v>32</v>
      </c>
      <c r="I29" s="3">
        <v>2025</v>
      </c>
      <c r="J29" s="3" t="str">
        <f>CONCATENATE("54820228507")</f>
        <v>54820228507</v>
      </c>
      <c r="K29" s="3" t="s">
        <v>33</v>
      </c>
      <c r="L29" s="3"/>
      <c r="M29" s="3" t="s">
        <v>34</v>
      </c>
      <c r="N29" s="3" t="str">
        <f>CONCATENATE("LRNSMN73S27F051W")</f>
        <v>LRNSMN73S27F051W</v>
      </c>
      <c r="O29" s="3" t="s">
        <v>97</v>
      </c>
      <c r="P29" s="3" t="s">
        <v>36</v>
      </c>
      <c r="Q29" s="3"/>
      <c r="R29" s="4">
        <v>46011</v>
      </c>
      <c r="S29" s="3" t="s">
        <v>37</v>
      </c>
      <c r="T29" s="3" t="s">
        <v>38</v>
      </c>
      <c r="U29" s="3" t="s">
        <v>39</v>
      </c>
      <c r="V29" s="5">
        <v>1029.55</v>
      </c>
      <c r="W29" s="3">
        <v>437.56</v>
      </c>
      <c r="X29" s="3">
        <v>414.39</v>
      </c>
      <c r="Y29" s="3">
        <v>177.6</v>
      </c>
    </row>
    <row r="30" spans="1:25" ht="60.75" x14ac:dyDescent="0.25">
      <c r="A30" s="3" t="s">
        <v>26</v>
      </c>
      <c r="B30" s="3" t="s">
        <v>27</v>
      </c>
      <c r="C30" s="3" t="s">
        <v>28</v>
      </c>
      <c r="D30" s="3" t="s">
        <v>47</v>
      </c>
      <c r="E30" s="3" t="s">
        <v>91</v>
      </c>
      <c r="F30" s="3" t="s">
        <v>49</v>
      </c>
      <c r="G30" s="3" t="s">
        <v>91</v>
      </c>
      <c r="H30" s="3" t="s">
        <v>85</v>
      </c>
      <c r="I30" s="3">
        <v>2025</v>
      </c>
      <c r="J30" s="3" t="str">
        <f>CONCATENATE("54820185186")</f>
        <v>54820185186</v>
      </c>
      <c r="K30" s="3" t="s">
        <v>33</v>
      </c>
      <c r="L30" s="3"/>
      <c r="M30" s="3" t="s">
        <v>34</v>
      </c>
      <c r="N30" s="3" t="str">
        <f>CONCATENATE("DCSCLD86E47A258K")</f>
        <v>DCSCLD86E47A258K</v>
      </c>
      <c r="O30" s="3" t="s">
        <v>98</v>
      </c>
      <c r="P30" s="3" t="s">
        <v>36</v>
      </c>
      <c r="Q30" s="3"/>
      <c r="R30" s="4">
        <v>46011</v>
      </c>
      <c r="S30" s="3" t="s">
        <v>37</v>
      </c>
      <c r="T30" s="3" t="s">
        <v>38</v>
      </c>
      <c r="U30" s="3" t="s">
        <v>39</v>
      </c>
      <c r="V30" s="5">
        <v>4840.5600000000004</v>
      </c>
      <c r="W30" s="5">
        <v>2057.2399999999998</v>
      </c>
      <c r="X30" s="5">
        <v>1948.33</v>
      </c>
      <c r="Y30" s="3">
        <v>834.99</v>
      </c>
    </row>
    <row r="31" spans="1:25" ht="36.75" x14ac:dyDescent="0.25">
      <c r="A31" s="3" t="s">
        <v>26</v>
      </c>
      <c r="B31" s="3" t="s">
        <v>27</v>
      </c>
      <c r="C31" s="3" t="s">
        <v>28</v>
      </c>
      <c r="D31" s="3" t="s">
        <v>54</v>
      </c>
      <c r="E31" s="3" t="s">
        <v>88</v>
      </c>
      <c r="F31" s="3" t="s">
        <v>56</v>
      </c>
      <c r="G31" s="3" t="s">
        <v>88</v>
      </c>
      <c r="H31" s="3" t="s">
        <v>85</v>
      </c>
      <c r="I31" s="3">
        <v>2025</v>
      </c>
      <c r="J31" s="3" t="str">
        <f>CONCATENATE("54820186689")</f>
        <v>54820186689</v>
      </c>
      <c r="K31" s="3" t="s">
        <v>33</v>
      </c>
      <c r="L31" s="3"/>
      <c r="M31" s="3" t="s">
        <v>34</v>
      </c>
      <c r="N31" s="3" t="str">
        <f>CONCATENATE("83005350422")</f>
        <v>83005350422</v>
      </c>
      <c r="O31" s="3" t="s">
        <v>99</v>
      </c>
      <c r="P31" s="3" t="s">
        <v>36</v>
      </c>
      <c r="Q31" s="3"/>
      <c r="R31" s="4">
        <v>46011</v>
      </c>
      <c r="S31" s="3" t="s">
        <v>37</v>
      </c>
      <c r="T31" s="3" t="s">
        <v>38</v>
      </c>
      <c r="U31" s="3" t="s">
        <v>39</v>
      </c>
      <c r="V31" s="3">
        <v>819.87</v>
      </c>
      <c r="W31" s="3">
        <v>348.44</v>
      </c>
      <c r="X31" s="3">
        <v>330</v>
      </c>
      <c r="Y31" s="3">
        <v>141.43</v>
      </c>
    </row>
    <row r="32" spans="1:25" ht="72.75" x14ac:dyDescent="0.25">
      <c r="A32" s="3" t="s">
        <v>26</v>
      </c>
      <c r="B32" s="3" t="s">
        <v>27</v>
      </c>
      <c r="C32" s="3" t="s">
        <v>28</v>
      </c>
      <c r="D32" s="3" t="s">
        <v>40</v>
      </c>
      <c r="E32" s="3" t="s">
        <v>100</v>
      </c>
      <c r="F32" s="3" t="s">
        <v>42</v>
      </c>
      <c r="G32" s="3" t="s">
        <v>100</v>
      </c>
      <c r="H32" s="3" t="s">
        <v>63</v>
      </c>
      <c r="I32" s="3">
        <v>2025</v>
      </c>
      <c r="J32" s="3" t="str">
        <f>CONCATENATE("54820182910")</f>
        <v>54820182910</v>
      </c>
      <c r="K32" s="3" t="s">
        <v>33</v>
      </c>
      <c r="L32" s="3"/>
      <c r="M32" s="3" t="s">
        <v>34</v>
      </c>
      <c r="N32" s="3" t="str">
        <f>CONCATENATE("PTOMSM79H14D451J")</f>
        <v>PTOMSM79H14D451J</v>
      </c>
      <c r="O32" s="3" t="s">
        <v>101</v>
      </c>
      <c r="P32" s="3" t="s">
        <v>36</v>
      </c>
      <c r="Q32" s="3"/>
      <c r="R32" s="4">
        <v>46011</v>
      </c>
      <c r="S32" s="3" t="s">
        <v>37</v>
      </c>
      <c r="T32" s="3" t="s">
        <v>38</v>
      </c>
      <c r="U32" s="3" t="s">
        <v>39</v>
      </c>
      <c r="V32" s="5">
        <v>6119.38</v>
      </c>
      <c r="W32" s="5">
        <v>2600.7399999999998</v>
      </c>
      <c r="X32" s="5">
        <v>2463.0500000000002</v>
      </c>
      <c r="Y32" s="5">
        <v>1055.5899999999999</v>
      </c>
    </row>
    <row r="33" spans="1:25" ht="36.75" x14ac:dyDescent="0.25">
      <c r="A33" s="3" t="s">
        <v>26</v>
      </c>
      <c r="B33" s="3" t="s">
        <v>27</v>
      </c>
      <c r="C33" s="3" t="s">
        <v>28</v>
      </c>
      <c r="D33" s="3" t="s">
        <v>47</v>
      </c>
      <c r="E33" s="3" t="s">
        <v>102</v>
      </c>
      <c r="F33" s="3" t="s">
        <v>49</v>
      </c>
      <c r="G33" s="3" t="s">
        <v>102</v>
      </c>
      <c r="H33" s="3" t="s">
        <v>43</v>
      </c>
      <c r="I33" s="3">
        <v>2025</v>
      </c>
      <c r="J33" s="3" t="str">
        <f>CONCATENATE("54820119003")</f>
        <v>54820119003</v>
      </c>
      <c r="K33" s="3" t="s">
        <v>33</v>
      </c>
      <c r="L33" s="3"/>
      <c r="M33" s="3" t="s">
        <v>34</v>
      </c>
      <c r="N33" s="3" t="str">
        <f>CONCATENATE("02832890418")</f>
        <v>02832890418</v>
      </c>
      <c r="O33" s="3" t="s">
        <v>103</v>
      </c>
      <c r="P33" s="3" t="s">
        <v>36</v>
      </c>
      <c r="Q33" s="3"/>
      <c r="R33" s="4">
        <v>46011</v>
      </c>
      <c r="S33" s="3" t="s">
        <v>37</v>
      </c>
      <c r="T33" s="3" t="s">
        <v>38</v>
      </c>
      <c r="U33" s="3" t="s">
        <v>39</v>
      </c>
      <c r="V33" s="3">
        <v>76.540000000000006</v>
      </c>
      <c r="W33" s="3">
        <v>32.53</v>
      </c>
      <c r="X33" s="3">
        <v>30.81</v>
      </c>
      <c r="Y33" s="3">
        <v>13.2</v>
      </c>
    </row>
    <row r="34" spans="1:25" ht="60.75" x14ac:dyDescent="0.25">
      <c r="A34" s="3" t="s">
        <v>26</v>
      </c>
      <c r="B34" s="3" t="s">
        <v>27</v>
      </c>
      <c r="C34" s="3" t="s">
        <v>28</v>
      </c>
      <c r="D34" s="3" t="s">
        <v>29</v>
      </c>
      <c r="E34" s="3" t="s">
        <v>77</v>
      </c>
      <c r="F34" s="3" t="s">
        <v>31</v>
      </c>
      <c r="G34" s="3" t="s">
        <v>77</v>
      </c>
      <c r="H34" s="3" t="s">
        <v>32</v>
      </c>
      <c r="I34" s="3">
        <v>2025</v>
      </c>
      <c r="J34" s="3" t="str">
        <f>CONCATENATE("54820110127")</f>
        <v>54820110127</v>
      </c>
      <c r="K34" s="3" t="s">
        <v>33</v>
      </c>
      <c r="L34" s="3"/>
      <c r="M34" s="3" t="s">
        <v>34</v>
      </c>
      <c r="N34" s="3" t="str">
        <f>CONCATENATE("PRZRRT69T22B474C")</f>
        <v>PRZRRT69T22B474C</v>
      </c>
      <c r="O34" s="3" t="s">
        <v>104</v>
      </c>
      <c r="P34" s="3" t="s">
        <v>36</v>
      </c>
      <c r="Q34" s="3"/>
      <c r="R34" s="4">
        <v>46011</v>
      </c>
      <c r="S34" s="3" t="s">
        <v>37</v>
      </c>
      <c r="T34" s="3" t="s">
        <v>38</v>
      </c>
      <c r="U34" s="3" t="s">
        <v>39</v>
      </c>
      <c r="V34" s="3">
        <v>456.07</v>
      </c>
      <c r="W34" s="3">
        <v>193.83</v>
      </c>
      <c r="X34" s="3">
        <v>183.57</v>
      </c>
      <c r="Y34" s="3">
        <v>78.67</v>
      </c>
    </row>
    <row r="35" spans="1:25" ht="36.75" x14ac:dyDescent="0.25">
      <c r="A35" s="3" t="s">
        <v>26</v>
      </c>
      <c r="B35" s="3" t="s">
        <v>27</v>
      </c>
      <c r="C35" s="3" t="s">
        <v>28</v>
      </c>
      <c r="D35" s="3" t="s">
        <v>29</v>
      </c>
      <c r="E35" s="3" t="s">
        <v>51</v>
      </c>
      <c r="F35" s="3" t="s">
        <v>31</v>
      </c>
      <c r="G35" s="3" t="s">
        <v>51</v>
      </c>
      <c r="H35" s="3" t="s">
        <v>43</v>
      </c>
      <c r="I35" s="3">
        <v>2025</v>
      </c>
      <c r="J35" s="3" t="str">
        <f>CONCATENATE("54820087960")</f>
        <v>54820087960</v>
      </c>
      <c r="K35" s="3" t="s">
        <v>33</v>
      </c>
      <c r="L35" s="3"/>
      <c r="M35" s="3" t="s">
        <v>34</v>
      </c>
      <c r="N35" s="3" t="str">
        <f>CONCATENATE("02607640410")</f>
        <v>02607640410</v>
      </c>
      <c r="O35" s="3" t="s">
        <v>105</v>
      </c>
      <c r="P35" s="3" t="s">
        <v>36</v>
      </c>
      <c r="Q35" s="3"/>
      <c r="R35" s="4">
        <v>46011</v>
      </c>
      <c r="S35" s="3" t="s">
        <v>37</v>
      </c>
      <c r="T35" s="3" t="s">
        <v>38</v>
      </c>
      <c r="U35" s="3" t="s">
        <v>39</v>
      </c>
      <c r="V35" s="5">
        <v>2328.9</v>
      </c>
      <c r="W35" s="3">
        <v>989.78</v>
      </c>
      <c r="X35" s="3">
        <v>937.38</v>
      </c>
      <c r="Y35" s="3">
        <v>401.74</v>
      </c>
    </row>
    <row r="36" spans="1:25" ht="36.75" x14ac:dyDescent="0.25">
      <c r="A36" s="3" t="s">
        <v>26</v>
      </c>
      <c r="B36" s="3" t="s">
        <v>27</v>
      </c>
      <c r="C36" s="3" t="s">
        <v>28</v>
      </c>
      <c r="D36" s="3" t="s">
        <v>47</v>
      </c>
      <c r="E36" s="3" t="s">
        <v>62</v>
      </c>
      <c r="F36" s="3" t="s">
        <v>49</v>
      </c>
      <c r="G36" s="3" t="s">
        <v>62</v>
      </c>
      <c r="H36" s="3" t="s">
        <v>63</v>
      </c>
      <c r="I36" s="3">
        <v>2025</v>
      </c>
      <c r="J36" s="3" t="str">
        <f>CONCATENATE("54820237417")</f>
        <v>54820237417</v>
      </c>
      <c r="K36" s="3" t="s">
        <v>33</v>
      </c>
      <c r="L36" s="3"/>
      <c r="M36" s="3" t="s">
        <v>34</v>
      </c>
      <c r="N36" s="3" t="str">
        <f>CONCATENATE("00973030422")</f>
        <v>00973030422</v>
      </c>
      <c r="O36" s="3" t="s">
        <v>106</v>
      </c>
      <c r="P36" s="3" t="s">
        <v>36</v>
      </c>
      <c r="Q36" s="3"/>
      <c r="R36" s="4">
        <v>46011</v>
      </c>
      <c r="S36" s="3" t="s">
        <v>37</v>
      </c>
      <c r="T36" s="3" t="s">
        <v>38</v>
      </c>
      <c r="U36" s="3" t="s">
        <v>39</v>
      </c>
      <c r="V36" s="5">
        <v>1267.47</v>
      </c>
      <c r="W36" s="3">
        <v>538.66999999999996</v>
      </c>
      <c r="X36" s="3">
        <v>510.16</v>
      </c>
      <c r="Y36" s="3">
        <v>218.64</v>
      </c>
    </row>
    <row r="37" spans="1:25" ht="60.75" x14ac:dyDescent="0.25">
      <c r="A37" s="3" t="s">
        <v>26</v>
      </c>
      <c r="B37" s="3" t="s">
        <v>27</v>
      </c>
      <c r="C37" s="3" t="s">
        <v>28</v>
      </c>
      <c r="D37" s="3" t="s">
        <v>40</v>
      </c>
      <c r="E37" s="3" t="s">
        <v>107</v>
      </c>
      <c r="F37" s="3" t="s">
        <v>42</v>
      </c>
      <c r="G37" s="3" t="s">
        <v>107</v>
      </c>
      <c r="H37" s="3" t="s">
        <v>85</v>
      </c>
      <c r="I37" s="3">
        <v>2025</v>
      </c>
      <c r="J37" s="3" t="str">
        <f>CONCATENATE("54820148648")</f>
        <v>54820148648</v>
      </c>
      <c r="K37" s="3" t="s">
        <v>33</v>
      </c>
      <c r="L37" s="3"/>
      <c r="M37" s="3" t="s">
        <v>34</v>
      </c>
      <c r="N37" s="3" t="str">
        <f>CONCATENATE("CCCFNC53A27C935K")</f>
        <v>CCCFNC53A27C935K</v>
      </c>
      <c r="O37" s="3" t="s">
        <v>108</v>
      </c>
      <c r="P37" s="3" t="s">
        <v>36</v>
      </c>
      <c r="Q37" s="3"/>
      <c r="R37" s="4">
        <v>46011</v>
      </c>
      <c r="S37" s="3" t="s">
        <v>37</v>
      </c>
      <c r="T37" s="3" t="s">
        <v>38</v>
      </c>
      <c r="U37" s="3" t="s">
        <v>39</v>
      </c>
      <c r="V37" s="5">
        <v>1016.05</v>
      </c>
      <c r="W37" s="3">
        <v>431.82</v>
      </c>
      <c r="X37" s="3">
        <v>408.96</v>
      </c>
      <c r="Y37" s="3">
        <v>175.27</v>
      </c>
    </row>
    <row r="38" spans="1:25" ht="36.75" x14ac:dyDescent="0.25">
      <c r="A38" s="3" t="s">
        <v>26</v>
      </c>
      <c r="B38" s="3" t="s">
        <v>27</v>
      </c>
      <c r="C38" s="3" t="s">
        <v>28</v>
      </c>
      <c r="D38" s="3" t="s">
        <v>40</v>
      </c>
      <c r="E38" s="3" t="s">
        <v>60</v>
      </c>
      <c r="F38" s="3" t="s">
        <v>42</v>
      </c>
      <c r="G38" s="3" t="s">
        <v>60</v>
      </c>
      <c r="H38" s="3" t="s">
        <v>32</v>
      </c>
      <c r="I38" s="3">
        <v>2025</v>
      </c>
      <c r="J38" s="3" t="str">
        <f>CONCATENATE("54820213293")</f>
        <v>54820213293</v>
      </c>
      <c r="K38" s="3" t="s">
        <v>33</v>
      </c>
      <c r="L38" s="3"/>
      <c r="M38" s="3" t="s">
        <v>34</v>
      </c>
      <c r="N38" s="3" t="str">
        <f>CONCATENATE("01141480432")</f>
        <v>01141480432</v>
      </c>
      <c r="O38" s="3" t="s">
        <v>109</v>
      </c>
      <c r="P38" s="3" t="s">
        <v>36</v>
      </c>
      <c r="Q38" s="3"/>
      <c r="R38" s="4">
        <v>46011</v>
      </c>
      <c r="S38" s="3" t="s">
        <v>37</v>
      </c>
      <c r="T38" s="3" t="s">
        <v>38</v>
      </c>
      <c r="U38" s="3" t="s">
        <v>39</v>
      </c>
      <c r="V38" s="3">
        <v>31.77</v>
      </c>
      <c r="W38" s="3">
        <v>13.5</v>
      </c>
      <c r="X38" s="3">
        <v>12.79</v>
      </c>
      <c r="Y38" s="3">
        <v>5.48</v>
      </c>
    </row>
    <row r="39" spans="1:25" ht="60.75" x14ac:dyDescent="0.25">
      <c r="A39" s="3" t="s">
        <v>26</v>
      </c>
      <c r="B39" s="3" t="s">
        <v>27</v>
      </c>
      <c r="C39" s="3" t="s">
        <v>28</v>
      </c>
      <c r="D39" s="3" t="s">
        <v>29</v>
      </c>
      <c r="E39" s="3" t="s">
        <v>77</v>
      </c>
      <c r="F39" s="3" t="s">
        <v>31</v>
      </c>
      <c r="G39" s="3" t="s">
        <v>77</v>
      </c>
      <c r="H39" s="3" t="s">
        <v>85</v>
      </c>
      <c r="I39" s="3">
        <v>2025</v>
      </c>
      <c r="J39" s="3" t="str">
        <f>CONCATENATE("54820028865")</f>
        <v>54820028865</v>
      </c>
      <c r="K39" s="3" t="s">
        <v>33</v>
      </c>
      <c r="L39" s="3"/>
      <c r="M39" s="3" t="s">
        <v>34</v>
      </c>
      <c r="N39" s="3" t="str">
        <f>CONCATENATE("PSQLSN53S60A252J")</f>
        <v>PSQLSN53S60A252J</v>
      </c>
      <c r="O39" s="3" t="s">
        <v>110</v>
      </c>
      <c r="P39" s="3" t="s">
        <v>36</v>
      </c>
      <c r="Q39" s="3"/>
      <c r="R39" s="4">
        <v>46011</v>
      </c>
      <c r="S39" s="3" t="s">
        <v>37</v>
      </c>
      <c r="T39" s="3" t="s">
        <v>38</v>
      </c>
      <c r="U39" s="3" t="s">
        <v>39</v>
      </c>
      <c r="V39" s="3">
        <v>102.59</v>
      </c>
      <c r="W39" s="3">
        <v>43.6</v>
      </c>
      <c r="X39" s="3">
        <v>41.29</v>
      </c>
      <c r="Y39" s="3">
        <v>17.7</v>
      </c>
    </row>
    <row r="40" spans="1:25" ht="36.75" x14ac:dyDescent="0.25">
      <c r="A40" s="3" t="s">
        <v>26</v>
      </c>
      <c r="B40" s="3" t="s">
        <v>27</v>
      </c>
      <c r="C40" s="3" t="s">
        <v>28</v>
      </c>
      <c r="D40" s="3" t="s">
        <v>29</v>
      </c>
      <c r="E40" s="3" t="s">
        <v>30</v>
      </c>
      <c r="F40" s="3" t="s">
        <v>31</v>
      </c>
      <c r="G40" s="3" t="s">
        <v>30</v>
      </c>
      <c r="H40" s="3" t="s">
        <v>32</v>
      </c>
      <c r="I40" s="3">
        <v>2025</v>
      </c>
      <c r="J40" s="3" t="str">
        <f>CONCATENATE("54820020268")</f>
        <v>54820020268</v>
      </c>
      <c r="K40" s="3" t="s">
        <v>33</v>
      </c>
      <c r="L40" s="3"/>
      <c r="M40" s="3" t="s">
        <v>34</v>
      </c>
      <c r="N40" s="3" t="str">
        <f>CONCATENATE("02928910427")</f>
        <v>02928910427</v>
      </c>
      <c r="O40" s="3" t="s">
        <v>111</v>
      </c>
      <c r="P40" s="3" t="s">
        <v>36</v>
      </c>
      <c r="Q40" s="3"/>
      <c r="R40" s="4">
        <v>46011</v>
      </c>
      <c r="S40" s="3" t="s">
        <v>37</v>
      </c>
      <c r="T40" s="3" t="s">
        <v>38</v>
      </c>
      <c r="U40" s="3" t="s">
        <v>39</v>
      </c>
      <c r="V40" s="3">
        <v>874.47</v>
      </c>
      <c r="W40" s="3">
        <v>371.65</v>
      </c>
      <c r="X40" s="3">
        <v>351.97</v>
      </c>
      <c r="Y40" s="3">
        <v>150.85</v>
      </c>
    </row>
    <row r="41" spans="1:25" ht="60.75" x14ac:dyDescent="0.25">
      <c r="A41" s="3" t="s">
        <v>26</v>
      </c>
      <c r="B41" s="3" t="s">
        <v>27</v>
      </c>
      <c r="C41" s="3" t="s">
        <v>28</v>
      </c>
      <c r="D41" s="3" t="s">
        <v>40</v>
      </c>
      <c r="E41" s="3" t="s">
        <v>112</v>
      </c>
      <c r="F41" s="3" t="s">
        <v>42</v>
      </c>
      <c r="G41" s="3" t="s">
        <v>112</v>
      </c>
      <c r="H41" s="3" t="s">
        <v>43</v>
      </c>
      <c r="I41" s="3">
        <v>2025</v>
      </c>
      <c r="J41" s="3" t="str">
        <f>CONCATENATE("54820043922")</f>
        <v>54820043922</v>
      </c>
      <c r="K41" s="3" t="s">
        <v>33</v>
      </c>
      <c r="L41" s="3"/>
      <c r="M41" s="3" t="s">
        <v>34</v>
      </c>
      <c r="N41" s="3" t="str">
        <f>CONCATENATE("GLNPLA68T14E785Y")</f>
        <v>GLNPLA68T14E785Y</v>
      </c>
      <c r="O41" s="3" t="s">
        <v>113</v>
      </c>
      <c r="P41" s="3" t="s">
        <v>36</v>
      </c>
      <c r="Q41" s="3"/>
      <c r="R41" s="4">
        <v>46011</v>
      </c>
      <c r="S41" s="3" t="s">
        <v>37</v>
      </c>
      <c r="T41" s="3" t="s">
        <v>38</v>
      </c>
      <c r="U41" s="3" t="s">
        <v>39</v>
      </c>
      <c r="V41" s="3">
        <v>179.51</v>
      </c>
      <c r="W41" s="3">
        <v>76.290000000000006</v>
      </c>
      <c r="X41" s="3">
        <v>72.25</v>
      </c>
      <c r="Y41" s="3">
        <v>30.97</v>
      </c>
    </row>
    <row r="42" spans="1:25" ht="60.75" x14ac:dyDescent="0.25">
      <c r="A42" s="3" t="s">
        <v>26</v>
      </c>
      <c r="B42" s="3" t="s">
        <v>27</v>
      </c>
      <c r="C42" s="3" t="s">
        <v>28</v>
      </c>
      <c r="D42" s="3" t="s">
        <v>29</v>
      </c>
      <c r="E42" s="3" t="s">
        <v>79</v>
      </c>
      <c r="F42" s="3" t="s">
        <v>31</v>
      </c>
      <c r="G42" s="3" t="s">
        <v>79</v>
      </c>
      <c r="H42" s="3" t="s">
        <v>32</v>
      </c>
      <c r="I42" s="3">
        <v>2025</v>
      </c>
      <c r="J42" s="3" t="str">
        <f>CONCATENATE("54820066147")</f>
        <v>54820066147</v>
      </c>
      <c r="K42" s="3" t="s">
        <v>33</v>
      </c>
      <c r="L42" s="3"/>
      <c r="M42" s="3" t="s">
        <v>34</v>
      </c>
      <c r="N42" s="3" t="str">
        <f>CONCATENATE("BZZGNN61T22C582W")</f>
        <v>BZZGNN61T22C582W</v>
      </c>
      <c r="O42" s="3" t="s">
        <v>114</v>
      </c>
      <c r="P42" s="3" t="s">
        <v>36</v>
      </c>
      <c r="Q42" s="3"/>
      <c r="R42" s="4">
        <v>46011</v>
      </c>
      <c r="S42" s="3" t="s">
        <v>37</v>
      </c>
      <c r="T42" s="3" t="s">
        <v>38</v>
      </c>
      <c r="U42" s="3" t="s">
        <v>39</v>
      </c>
      <c r="V42" s="3">
        <v>704.15</v>
      </c>
      <c r="W42" s="3">
        <v>299.26</v>
      </c>
      <c r="X42" s="3">
        <v>283.42</v>
      </c>
      <c r="Y42" s="3">
        <v>121.47</v>
      </c>
    </row>
    <row r="43" spans="1:25" ht="60.75" x14ac:dyDescent="0.25">
      <c r="A43" s="3" t="s">
        <v>26</v>
      </c>
      <c r="B43" s="3" t="s">
        <v>27</v>
      </c>
      <c r="C43" s="3" t="s">
        <v>28</v>
      </c>
      <c r="D43" s="3" t="s">
        <v>29</v>
      </c>
      <c r="E43" s="3" t="s">
        <v>77</v>
      </c>
      <c r="F43" s="3" t="s">
        <v>31</v>
      </c>
      <c r="G43" s="3" t="s">
        <v>77</v>
      </c>
      <c r="H43" s="3" t="s">
        <v>32</v>
      </c>
      <c r="I43" s="3">
        <v>2025</v>
      </c>
      <c r="J43" s="3" t="str">
        <f>CONCATENATE("54820154653")</f>
        <v>54820154653</v>
      </c>
      <c r="K43" s="3" t="s">
        <v>33</v>
      </c>
      <c r="L43" s="3"/>
      <c r="M43" s="3" t="s">
        <v>34</v>
      </c>
      <c r="N43" s="3" t="str">
        <f>CONCATENATE("BNVRHL95C61D024Q")</f>
        <v>BNVRHL95C61D024Q</v>
      </c>
      <c r="O43" s="3" t="s">
        <v>115</v>
      </c>
      <c r="P43" s="3" t="s">
        <v>36</v>
      </c>
      <c r="Q43" s="3"/>
      <c r="R43" s="4">
        <v>46011</v>
      </c>
      <c r="S43" s="3" t="s">
        <v>37</v>
      </c>
      <c r="T43" s="3" t="s">
        <v>38</v>
      </c>
      <c r="U43" s="3" t="s">
        <v>39</v>
      </c>
      <c r="V43" s="5">
        <v>5804.83</v>
      </c>
      <c r="W43" s="5">
        <v>2467.0500000000002</v>
      </c>
      <c r="X43" s="5">
        <v>2336.44</v>
      </c>
      <c r="Y43" s="5">
        <v>1001.34</v>
      </c>
    </row>
    <row r="44" spans="1:25" ht="72.75" x14ac:dyDescent="0.25">
      <c r="A44" s="3" t="s">
        <v>26</v>
      </c>
      <c r="B44" s="3" t="s">
        <v>27</v>
      </c>
      <c r="C44" s="3" t="s">
        <v>28</v>
      </c>
      <c r="D44" s="3" t="s">
        <v>47</v>
      </c>
      <c r="E44" s="3" t="s">
        <v>116</v>
      </c>
      <c r="F44" s="3" t="s">
        <v>49</v>
      </c>
      <c r="G44" s="3" t="s">
        <v>116</v>
      </c>
      <c r="H44" s="3" t="s">
        <v>63</v>
      </c>
      <c r="I44" s="3">
        <v>2025</v>
      </c>
      <c r="J44" s="3" t="str">
        <f>CONCATENATE("54820084983")</f>
        <v>54820084983</v>
      </c>
      <c r="K44" s="3" t="s">
        <v>33</v>
      </c>
      <c r="L44" s="3"/>
      <c r="M44" s="3" t="s">
        <v>34</v>
      </c>
      <c r="N44" s="3" t="str">
        <f>CONCATENATE("RMNSPH96R52F205G")</f>
        <v>RMNSPH96R52F205G</v>
      </c>
      <c r="O44" s="3" t="s">
        <v>117</v>
      </c>
      <c r="P44" s="3" t="s">
        <v>36</v>
      </c>
      <c r="Q44" s="3"/>
      <c r="R44" s="4">
        <v>46011</v>
      </c>
      <c r="S44" s="3" t="s">
        <v>37</v>
      </c>
      <c r="T44" s="3" t="s">
        <v>38</v>
      </c>
      <c r="U44" s="3" t="s">
        <v>39</v>
      </c>
      <c r="V44" s="5">
        <v>3847.85</v>
      </c>
      <c r="W44" s="5">
        <v>1635.34</v>
      </c>
      <c r="X44" s="5">
        <v>1548.76</v>
      </c>
      <c r="Y44" s="3">
        <v>663.75</v>
      </c>
    </row>
    <row r="45" spans="1:25" ht="60.75" x14ac:dyDescent="0.25">
      <c r="A45" s="3" t="s">
        <v>26</v>
      </c>
      <c r="B45" s="3" t="s">
        <v>27</v>
      </c>
      <c r="C45" s="3" t="s">
        <v>28</v>
      </c>
      <c r="D45" s="3" t="s">
        <v>54</v>
      </c>
      <c r="E45" s="3" t="s">
        <v>72</v>
      </c>
      <c r="F45" s="3" t="s">
        <v>56</v>
      </c>
      <c r="G45" s="3" t="s">
        <v>72</v>
      </c>
      <c r="H45" s="3" t="s">
        <v>32</v>
      </c>
      <c r="I45" s="3">
        <v>2025</v>
      </c>
      <c r="J45" s="3" t="str">
        <f>CONCATENATE("54820084884")</f>
        <v>54820084884</v>
      </c>
      <c r="K45" s="3" t="s">
        <v>33</v>
      </c>
      <c r="L45" s="3"/>
      <c r="M45" s="3" t="s">
        <v>34</v>
      </c>
      <c r="N45" s="3" t="str">
        <f>CONCATENATE("MRZRLO74H67L191S")</f>
        <v>MRZRLO74H67L191S</v>
      </c>
      <c r="O45" s="3" t="s">
        <v>118</v>
      </c>
      <c r="P45" s="3" t="s">
        <v>36</v>
      </c>
      <c r="Q45" s="3"/>
      <c r="R45" s="4">
        <v>46011</v>
      </c>
      <c r="S45" s="3" t="s">
        <v>37</v>
      </c>
      <c r="T45" s="3" t="s">
        <v>38</v>
      </c>
      <c r="U45" s="3" t="s">
        <v>39</v>
      </c>
      <c r="V45" s="5">
        <v>1344.75</v>
      </c>
      <c r="W45" s="3">
        <v>571.52</v>
      </c>
      <c r="X45" s="3">
        <v>541.26</v>
      </c>
      <c r="Y45" s="3">
        <v>231.97</v>
      </c>
    </row>
    <row r="46" spans="1:25" ht="60.75" x14ac:dyDescent="0.25">
      <c r="A46" s="3" t="s">
        <v>26</v>
      </c>
      <c r="B46" s="3" t="s">
        <v>27</v>
      </c>
      <c r="C46" s="3" t="s">
        <v>28</v>
      </c>
      <c r="D46" s="3" t="s">
        <v>40</v>
      </c>
      <c r="E46" s="3" t="s">
        <v>60</v>
      </c>
      <c r="F46" s="3" t="s">
        <v>42</v>
      </c>
      <c r="G46" s="3" t="s">
        <v>60</v>
      </c>
      <c r="H46" s="3" t="s">
        <v>32</v>
      </c>
      <c r="I46" s="3">
        <v>2025</v>
      </c>
      <c r="J46" s="3" t="str">
        <f>CONCATENATE("54820140504")</f>
        <v>54820140504</v>
      </c>
      <c r="K46" s="3" t="s">
        <v>33</v>
      </c>
      <c r="L46" s="3"/>
      <c r="M46" s="3" t="s">
        <v>34</v>
      </c>
      <c r="N46" s="3" t="str">
        <f>CONCATENATE("NIANGL76M08B474Y")</f>
        <v>NIANGL76M08B474Y</v>
      </c>
      <c r="O46" s="3" t="s">
        <v>119</v>
      </c>
      <c r="P46" s="3" t="s">
        <v>36</v>
      </c>
      <c r="Q46" s="3"/>
      <c r="R46" s="4">
        <v>46011</v>
      </c>
      <c r="S46" s="3" t="s">
        <v>37</v>
      </c>
      <c r="T46" s="3" t="s">
        <v>38</v>
      </c>
      <c r="U46" s="3" t="s">
        <v>39</v>
      </c>
      <c r="V46" s="5">
        <v>5276.21</v>
      </c>
      <c r="W46" s="5">
        <v>2242.39</v>
      </c>
      <c r="X46" s="5">
        <v>2123.67</v>
      </c>
      <c r="Y46" s="3">
        <v>910.15</v>
      </c>
    </row>
    <row r="47" spans="1:25" ht="60.75" x14ac:dyDescent="0.25">
      <c r="A47" s="3" t="s">
        <v>26</v>
      </c>
      <c r="B47" s="3" t="s">
        <v>27</v>
      </c>
      <c r="C47" s="3" t="s">
        <v>28</v>
      </c>
      <c r="D47" s="3" t="s">
        <v>40</v>
      </c>
      <c r="E47" s="3" t="s">
        <v>60</v>
      </c>
      <c r="F47" s="3" t="s">
        <v>42</v>
      </c>
      <c r="G47" s="3" t="s">
        <v>60</v>
      </c>
      <c r="H47" s="3" t="s">
        <v>32</v>
      </c>
      <c r="I47" s="3">
        <v>2025</v>
      </c>
      <c r="J47" s="3" t="str">
        <f>CONCATENATE("54820099759")</f>
        <v>54820099759</v>
      </c>
      <c r="K47" s="3" t="s">
        <v>33</v>
      </c>
      <c r="L47" s="3"/>
      <c r="M47" s="3" t="s">
        <v>34</v>
      </c>
      <c r="N47" s="3" t="str">
        <f>CONCATENATE("MCCMRC92C06D653Q")</f>
        <v>MCCMRC92C06D653Q</v>
      </c>
      <c r="O47" s="3" t="s">
        <v>120</v>
      </c>
      <c r="P47" s="3" t="s">
        <v>36</v>
      </c>
      <c r="Q47" s="3"/>
      <c r="R47" s="4">
        <v>46011</v>
      </c>
      <c r="S47" s="3" t="s">
        <v>37</v>
      </c>
      <c r="T47" s="3" t="s">
        <v>38</v>
      </c>
      <c r="U47" s="3" t="s">
        <v>39</v>
      </c>
      <c r="V47" s="5">
        <v>3246.36</v>
      </c>
      <c r="W47" s="5">
        <v>1379.7</v>
      </c>
      <c r="X47" s="5">
        <v>1306.6600000000001</v>
      </c>
      <c r="Y47" s="3">
        <v>560</v>
      </c>
    </row>
    <row r="48" spans="1:25" ht="36.75" x14ac:dyDescent="0.25">
      <c r="A48" s="3" t="s">
        <v>26</v>
      </c>
      <c r="B48" s="3" t="s">
        <v>27</v>
      </c>
      <c r="C48" s="3" t="s">
        <v>28</v>
      </c>
      <c r="D48" s="3" t="s">
        <v>40</v>
      </c>
      <c r="E48" s="3" t="s">
        <v>60</v>
      </c>
      <c r="F48" s="3" t="s">
        <v>42</v>
      </c>
      <c r="G48" s="3" t="s">
        <v>60</v>
      </c>
      <c r="H48" s="3" t="s">
        <v>32</v>
      </c>
      <c r="I48" s="3">
        <v>2025</v>
      </c>
      <c r="J48" s="3" t="str">
        <f>CONCATENATE("54820165154")</f>
        <v>54820165154</v>
      </c>
      <c r="K48" s="3" t="s">
        <v>33</v>
      </c>
      <c r="L48" s="3"/>
      <c r="M48" s="3" t="s">
        <v>34</v>
      </c>
      <c r="N48" s="3" t="str">
        <f>CONCATENATE("01815300437")</f>
        <v>01815300437</v>
      </c>
      <c r="O48" s="3" t="s">
        <v>121</v>
      </c>
      <c r="P48" s="3" t="s">
        <v>36</v>
      </c>
      <c r="Q48" s="3"/>
      <c r="R48" s="4">
        <v>46011</v>
      </c>
      <c r="S48" s="3" t="s">
        <v>37</v>
      </c>
      <c r="T48" s="3" t="s">
        <v>38</v>
      </c>
      <c r="U48" s="3" t="s">
        <v>39</v>
      </c>
      <c r="V48" s="5">
        <v>5962.11</v>
      </c>
      <c r="W48" s="5">
        <v>2533.9</v>
      </c>
      <c r="X48" s="5">
        <v>2399.75</v>
      </c>
      <c r="Y48" s="5">
        <v>1028.46</v>
      </c>
    </row>
    <row r="49" spans="1:25" ht="36.75" x14ac:dyDescent="0.25">
      <c r="A49" s="3" t="s">
        <v>26</v>
      </c>
      <c r="B49" s="3" t="s">
        <v>27</v>
      </c>
      <c r="C49" s="3" t="s">
        <v>28</v>
      </c>
      <c r="D49" s="3" t="s">
        <v>40</v>
      </c>
      <c r="E49" s="3" t="s">
        <v>122</v>
      </c>
      <c r="F49" s="3" t="s">
        <v>42</v>
      </c>
      <c r="G49" s="3" t="s">
        <v>122</v>
      </c>
      <c r="H49" s="3" t="s">
        <v>43</v>
      </c>
      <c r="I49" s="3">
        <v>2025</v>
      </c>
      <c r="J49" s="3" t="str">
        <f>CONCATENATE("54820160668")</f>
        <v>54820160668</v>
      </c>
      <c r="K49" s="3" t="s">
        <v>33</v>
      </c>
      <c r="L49" s="3"/>
      <c r="M49" s="3" t="s">
        <v>34</v>
      </c>
      <c r="N49" s="3" t="str">
        <f>CONCATENATE("01342540414")</f>
        <v>01342540414</v>
      </c>
      <c r="O49" s="3" t="s">
        <v>123</v>
      </c>
      <c r="P49" s="3" t="s">
        <v>36</v>
      </c>
      <c r="Q49" s="3"/>
      <c r="R49" s="4">
        <v>46011</v>
      </c>
      <c r="S49" s="3" t="s">
        <v>37</v>
      </c>
      <c r="T49" s="3" t="s">
        <v>38</v>
      </c>
      <c r="U49" s="3" t="s">
        <v>39</v>
      </c>
      <c r="V49" s="5">
        <v>5300.27</v>
      </c>
      <c r="W49" s="5">
        <v>2252.61</v>
      </c>
      <c r="X49" s="5">
        <v>2133.36</v>
      </c>
      <c r="Y49" s="3">
        <v>914.3</v>
      </c>
    </row>
    <row r="50" spans="1:25" ht="36.75" x14ac:dyDescent="0.25">
      <c r="A50" s="3" t="s">
        <v>26</v>
      </c>
      <c r="B50" s="3" t="s">
        <v>27</v>
      </c>
      <c r="C50" s="3" t="s">
        <v>28</v>
      </c>
      <c r="D50" s="3" t="s">
        <v>29</v>
      </c>
      <c r="E50" s="3" t="s">
        <v>68</v>
      </c>
      <c r="F50" s="3" t="s">
        <v>31</v>
      </c>
      <c r="G50" s="3" t="s">
        <v>68</v>
      </c>
      <c r="H50" s="3" t="s">
        <v>85</v>
      </c>
      <c r="I50" s="3">
        <v>2025</v>
      </c>
      <c r="J50" s="3" t="str">
        <f>CONCATENATE("54820100862")</f>
        <v>54820100862</v>
      </c>
      <c r="K50" s="3" t="s">
        <v>33</v>
      </c>
      <c r="L50" s="3"/>
      <c r="M50" s="3" t="s">
        <v>34</v>
      </c>
      <c r="N50" s="3" t="str">
        <f>CONCATENATE("00515530442")</f>
        <v>00515530442</v>
      </c>
      <c r="O50" s="3" t="s">
        <v>124</v>
      </c>
      <c r="P50" s="3" t="s">
        <v>36</v>
      </c>
      <c r="Q50" s="3"/>
      <c r="R50" s="4">
        <v>46011</v>
      </c>
      <c r="S50" s="3" t="s">
        <v>37</v>
      </c>
      <c r="T50" s="3" t="s">
        <v>38</v>
      </c>
      <c r="U50" s="3" t="s">
        <v>39</v>
      </c>
      <c r="V50" s="3">
        <v>493.08</v>
      </c>
      <c r="W50" s="3">
        <v>209.56</v>
      </c>
      <c r="X50" s="3">
        <v>198.46</v>
      </c>
      <c r="Y50" s="3">
        <v>85.06</v>
      </c>
    </row>
    <row r="51" spans="1:25" ht="60.75" x14ac:dyDescent="0.25">
      <c r="A51" s="3" t="s">
        <v>26</v>
      </c>
      <c r="B51" s="3" t="s">
        <v>27</v>
      </c>
      <c r="C51" s="3" t="s">
        <v>28</v>
      </c>
      <c r="D51" s="3" t="s">
        <v>29</v>
      </c>
      <c r="E51" s="3" t="s">
        <v>30</v>
      </c>
      <c r="F51" s="3" t="s">
        <v>31</v>
      </c>
      <c r="G51" s="3" t="s">
        <v>30</v>
      </c>
      <c r="H51" s="3" t="s">
        <v>32</v>
      </c>
      <c r="I51" s="3">
        <v>2025</v>
      </c>
      <c r="J51" s="3" t="str">
        <f>CONCATENATE("54820104443")</f>
        <v>54820104443</v>
      </c>
      <c r="K51" s="3" t="s">
        <v>33</v>
      </c>
      <c r="L51" s="3"/>
      <c r="M51" s="3" t="s">
        <v>34</v>
      </c>
      <c r="N51" s="3" t="str">
        <f>CONCATENATE("FRSGVS47H08D628L")</f>
        <v>FRSGVS47H08D628L</v>
      </c>
      <c r="O51" s="3" t="s">
        <v>125</v>
      </c>
      <c r="P51" s="3" t="s">
        <v>36</v>
      </c>
      <c r="Q51" s="3"/>
      <c r="R51" s="4">
        <v>46011</v>
      </c>
      <c r="S51" s="3" t="s">
        <v>37</v>
      </c>
      <c r="T51" s="3" t="s">
        <v>38</v>
      </c>
      <c r="U51" s="3" t="s">
        <v>39</v>
      </c>
      <c r="V51" s="5">
        <v>8443.56</v>
      </c>
      <c r="W51" s="5">
        <v>3588.51</v>
      </c>
      <c r="X51" s="5">
        <v>3398.53</v>
      </c>
      <c r="Y51" s="5">
        <v>1456.52</v>
      </c>
    </row>
    <row r="52" spans="1:25" ht="60.75" x14ac:dyDescent="0.25">
      <c r="A52" s="3" t="s">
        <v>26</v>
      </c>
      <c r="B52" s="3" t="s">
        <v>27</v>
      </c>
      <c r="C52" s="3" t="s">
        <v>28</v>
      </c>
      <c r="D52" s="3" t="s">
        <v>47</v>
      </c>
      <c r="E52" s="3" t="s">
        <v>91</v>
      </c>
      <c r="F52" s="3" t="s">
        <v>49</v>
      </c>
      <c r="G52" s="3" t="s">
        <v>91</v>
      </c>
      <c r="H52" s="3" t="s">
        <v>85</v>
      </c>
      <c r="I52" s="3">
        <v>2025</v>
      </c>
      <c r="J52" s="3" t="str">
        <f>CONCATENATE("54820180856")</f>
        <v>54820180856</v>
      </c>
      <c r="K52" s="3" t="s">
        <v>33</v>
      </c>
      <c r="L52" s="3"/>
      <c r="M52" s="3" t="s">
        <v>34</v>
      </c>
      <c r="N52" s="3" t="str">
        <f>CONCATENATE("RGNJLN92B22H769L")</f>
        <v>RGNJLN92B22H769L</v>
      </c>
      <c r="O52" s="3" t="s">
        <v>126</v>
      </c>
      <c r="P52" s="3" t="s">
        <v>36</v>
      </c>
      <c r="Q52" s="3"/>
      <c r="R52" s="4">
        <v>46011</v>
      </c>
      <c r="S52" s="3" t="s">
        <v>37</v>
      </c>
      <c r="T52" s="3" t="s">
        <v>38</v>
      </c>
      <c r="U52" s="3" t="s">
        <v>39</v>
      </c>
      <c r="V52" s="5">
        <v>3550.31</v>
      </c>
      <c r="W52" s="5">
        <v>1508.88</v>
      </c>
      <c r="X52" s="5">
        <v>1429</v>
      </c>
      <c r="Y52" s="3">
        <v>612.42999999999995</v>
      </c>
    </row>
    <row r="53" spans="1:25" ht="36.75" x14ac:dyDescent="0.25">
      <c r="A53" s="3" t="s">
        <v>26</v>
      </c>
      <c r="B53" s="3" t="s">
        <v>27</v>
      </c>
      <c r="C53" s="3" t="s">
        <v>28</v>
      </c>
      <c r="D53" s="3" t="s">
        <v>74</v>
      </c>
      <c r="E53" s="3" t="s">
        <v>127</v>
      </c>
      <c r="F53" s="3" t="s">
        <v>74</v>
      </c>
      <c r="G53" s="3" t="s">
        <v>127</v>
      </c>
      <c r="H53" s="3" t="s">
        <v>32</v>
      </c>
      <c r="I53" s="3">
        <v>2025</v>
      </c>
      <c r="J53" s="3" t="str">
        <f>CONCATENATE("54820383609")</f>
        <v>54820383609</v>
      </c>
      <c r="K53" s="3" t="s">
        <v>33</v>
      </c>
      <c r="L53" s="3"/>
      <c r="M53" s="3" t="s">
        <v>34</v>
      </c>
      <c r="N53" s="3" t="str">
        <f>CONCATENATE("01945770434")</f>
        <v>01945770434</v>
      </c>
      <c r="O53" s="3" t="s">
        <v>128</v>
      </c>
      <c r="P53" s="3" t="s">
        <v>36</v>
      </c>
      <c r="Q53" s="3"/>
      <c r="R53" s="4">
        <v>46011</v>
      </c>
      <c r="S53" s="3" t="s">
        <v>37</v>
      </c>
      <c r="T53" s="3" t="s">
        <v>38</v>
      </c>
      <c r="U53" s="3" t="s">
        <v>39</v>
      </c>
      <c r="V53" s="5">
        <v>1647.63</v>
      </c>
      <c r="W53" s="3">
        <v>700.24</v>
      </c>
      <c r="X53" s="3">
        <v>663.17</v>
      </c>
      <c r="Y53" s="3">
        <v>284.22000000000003</v>
      </c>
    </row>
    <row r="54" spans="1:25" ht="72.75" x14ac:dyDescent="0.25">
      <c r="A54" s="3" t="s">
        <v>26</v>
      </c>
      <c r="B54" s="3" t="s">
        <v>27</v>
      </c>
      <c r="C54" s="3" t="s">
        <v>28</v>
      </c>
      <c r="D54" s="3" t="s">
        <v>40</v>
      </c>
      <c r="E54" s="3" t="s">
        <v>107</v>
      </c>
      <c r="F54" s="3" t="s">
        <v>42</v>
      </c>
      <c r="G54" s="3" t="s">
        <v>107</v>
      </c>
      <c r="H54" s="3" t="s">
        <v>85</v>
      </c>
      <c r="I54" s="3">
        <v>2025</v>
      </c>
      <c r="J54" s="3" t="str">
        <f>CONCATENATE("54820083894")</f>
        <v>54820083894</v>
      </c>
      <c r="K54" s="3" t="s">
        <v>33</v>
      </c>
      <c r="L54" s="3"/>
      <c r="M54" s="3" t="s">
        <v>34</v>
      </c>
      <c r="N54" s="3" t="str">
        <f>CONCATENATE("FDLSMN82A30H769Q")</f>
        <v>FDLSMN82A30H769Q</v>
      </c>
      <c r="O54" s="3" t="s">
        <v>129</v>
      </c>
      <c r="P54" s="3" t="s">
        <v>36</v>
      </c>
      <c r="Q54" s="3"/>
      <c r="R54" s="4">
        <v>46011</v>
      </c>
      <c r="S54" s="3" t="s">
        <v>37</v>
      </c>
      <c r="T54" s="3" t="s">
        <v>38</v>
      </c>
      <c r="U54" s="3" t="s">
        <v>39</v>
      </c>
      <c r="V54" s="3">
        <v>316.86</v>
      </c>
      <c r="W54" s="3">
        <v>134.66999999999999</v>
      </c>
      <c r="X54" s="3">
        <v>127.54</v>
      </c>
      <c r="Y54" s="3">
        <v>54.65</v>
      </c>
    </row>
    <row r="55" spans="1:25" ht="60.75" x14ac:dyDescent="0.25">
      <c r="A55" s="3" t="s">
        <v>26</v>
      </c>
      <c r="B55" s="3" t="s">
        <v>27</v>
      </c>
      <c r="C55" s="3" t="s">
        <v>28</v>
      </c>
      <c r="D55" s="3" t="s">
        <v>74</v>
      </c>
      <c r="E55" s="3" t="s">
        <v>130</v>
      </c>
      <c r="F55" s="3" t="s">
        <v>74</v>
      </c>
      <c r="G55" s="3" t="s">
        <v>130</v>
      </c>
      <c r="H55" s="3" t="s">
        <v>85</v>
      </c>
      <c r="I55" s="3">
        <v>2025</v>
      </c>
      <c r="J55" s="3" t="str">
        <f>CONCATENATE("54820136874")</f>
        <v>54820136874</v>
      </c>
      <c r="K55" s="3" t="s">
        <v>33</v>
      </c>
      <c r="L55" s="3"/>
      <c r="M55" s="3" t="s">
        <v>34</v>
      </c>
      <c r="N55" s="3" t="str">
        <f>CONCATENATE("BRTGNN55D17F509W")</f>
        <v>BRTGNN55D17F509W</v>
      </c>
      <c r="O55" s="3" t="s">
        <v>131</v>
      </c>
      <c r="P55" s="3" t="s">
        <v>36</v>
      </c>
      <c r="Q55" s="3"/>
      <c r="R55" s="4">
        <v>46011</v>
      </c>
      <c r="S55" s="3" t="s">
        <v>37</v>
      </c>
      <c r="T55" s="3" t="s">
        <v>38</v>
      </c>
      <c r="U55" s="3" t="s">
        <v>39</v>
      </c>
      <c r="V55" s="5">
        <v>1194.76</v>
      </c>
      <c r="W55" s="3">
        <v>507.77</v>
      </c>
      <c r="X55" s="3">
        <v>480.89</v>
      </c>
      <c r="Y55" s="3">
        <v>206.1</v>
      </c>
    </row>
    <row r="56" spans="1:25" ht="60.75" x14ac:dyDescent="0.25">
      <c r="A56" s="3" t="s">
        <v>26</v>
      </c>
      <c r="B56" s="3" t="s">
        <v>27</v>
      </c>
      <c r="C56" s="3" t="s">
        <v>28</v>
      </c>
      <c r="D56" s="3" t="s">
        <v>132</v>
      </c>
      <c r="E56" s="3" t="s">
        <v>133</v>
      </c>
      <c r="F56" s="3" t="s">
        <v>134</v>
      </c>
      <c r="G56" s="3" t="s">
        <v>133</v>
      </c>
      <c r="H56" s="3" t="s">
        <v>43</v>
      </c>
      <c r="I56" s="3">
        <v>2025</v>
      </c>
      <c r="J56" s="3" t="str">
        <f>CONCATENATE("54820139878")</f>
        <v>54820139878</v>
      </c>
      <c r="K56" s="3" t="s">
        <v>33</v>
      </c>
      <c r="L56" s="3"/>
      <c r="M56" s="3" t="s">
        <v>34</v>
      </c>
      <c r="N56" s="3" t="str">
        <f>CONCATENATE("SNCLSE48C58L078L")</f>
        <v>SNCLSE48C58L078L</v>
      </c>
      <c r="O56" s="3" t="s">
        <v>135</v>
      </c>
      <c r="P56" s="3" t="s">
        <v>36</v>
      </c>
      <c r="Q56" s="3"/>
      <c r="R56" s="4">
        <v>46011</v>
      </c>
      <c r="S56" s="3" t="s">
        <v>37</v>
      </c>
      <c r="T56" s="3" t="s">
        <v>38</v>
      </c>
      <c r="U56" s="3" t="s">
        <v>39</v>
      </c>
      <c r="V56" s="3">
        <v>851.02</v>
      </c>
      <c r="W56" s="3">
        <v>361.68</v>
      </c>
      <c r="X56" s="3">
        <v>342.54</v>
      </c>
      <c r="Y56" s="3">
        <v>146.80000000000001</v>
      </c>
    </row>
    <row r="57" spans="1:25" ht="60.75" x14ac:dyDescent="0.25">
      <c r="A57" s="3" t="s">
        <v>26</v>
      </c>
      <c r="B57" s="3" t="s">
        <v>27</v>
      </c>
      <c r="C57" s="3" t="s">
        <v>28</v>
      </c>
      <c r="D57" s="3" t="s">
        <v>40</v>
      </c>
      <c r="E57" s="3" t="s">
        <v>122</v>
      </c>
      <c r="F57" s="3" t="s">
        <v>42</v>
      </c>
      <c r="G57" s="3" t="s">
        <v>122</v>
      </c>
      <c r="H57" s="3" t="s">
        <v>43</v>
      </c>
      <c r="I57" s="3">
        <v>2025</v>
      </c>
      <c r="J57" s="3" t="str">
        <f>CONCATENATE("54820138748")</f>
        <v>54820138748</v>
      </c>
      <c r="K57" s="3" t="s">
        <v>33</v>
      </c>
      <c r="L57" s="3"/>
      <c r="M57" s="3" t="s">
        <v>34</v>
      </c>
      <c r="N57" s="3" t="str">
        <f>CONCATENATE("GBNGRG57M31L500S")</f>
        <v>GBNGRG57M31L500S</v>
      </c>
      <c r="O57" s="3" t="s">
        <v>136</v>
      </c>
      <c r="P57" s="3" t="s">
        <v>36</v>
      </c>
      <c r="Q57" s="3"/>
      <c r="R57" s="4">
        <v>46011</v>
      </c>
      <c r="S57" s="3" t="s">
        <v>37</v>
      </c>
      <c r="T57" s="3" t="s">
        <v>38</v>
      </c>
      <c r="U57" s="3" t="s">
        <v>39</v>
      </c>
      <c r="V57" s="3">
        <v>29.68</v>
      </c>
      <c r="W57" s="3">
        <v>12.61</v>
      </c>
      <c r="X57" s="3">
        <v>11.95</v>
      </c>
      <c r="Y57" s="3">
        <v>5.12</v>
      </c>
    </row>
    <row r="58" spans="1:25" ht="60.75" x14ac:dyDescent="0.25">
      <c r="A58" s="3" t="s">
        <v>26</v>
      </c>
      <c r="B58" s="3" t="s">
        <v>27</v>
      </c>
      <c r="C58" s="3" t="s">
        <v>28</v>
      </c>
      <c r="D58" s="3" t="s">
        <v>40</v>
      </c>
      <c r="E58" s="3" t="s">
        <v>41</v>
      </c>
      <c r="F58" s="3" t="s">
        <v>42</v>
      </c>
      <c r="G58" s="3" t="s">
        <v>41</v>
      </c>
      <c r="H58" s="3" t="s">
        <v>43</v>
      </c>
      <c r="I58" s="3">
        <v>2025</v>
      </c>
      <c r="J58" s="3" t="str">
        <f>CONCATENATE("54820160965")</f>
        <v>54820160965</v>
      </c>
      <c r="K58" s="3" t="s">
        <v>33</v>
      </c>
      <c r="L58" s="3"/>
      <c r="M58" s="3" t="s">
        <v>34</v>
      </c>
      <c r="N58" s="3" t="str">
        <f>CONCATENATE("MNCDNL67M08D749S")</f>
        <v>MNCDNL67M08D749S</v>
      </c>
      <c r="O58" s="3" t="s">
        <v>137</v>
      </c>
      <c r="P58" s="3" t="s">
        <v>36</v>
      </c>
      <c r="Q58" s="3"/>
      <c r="R58" s="4">
        <v>46011</v>
      </c>
      <c r="S58" s="3" t="s">
        <v>37</v>
      </c>
      <c r="T58" s="3" t="s">
        <v>38</v>
      </c>
      <c r="U58" s="3" t="s">
        <v>39</v>
      </c>
      <c r="V58" s="5">
        <v>1054.69</v>
      </c>
      <c r="W58" s="3">
        <v>448.24</v>
      </c>
      <c r="X58" s="3">
        <v>424.51</v>
      </c>
      <c r="Y58" s="3">
        <v>181.94</v>
      </c>
    </row>
    <row r="59" spans="1:25" ht="36.75" x14ac:dyDescent="0.25">
      <c r="A59" s="3" t="s">
        <v>26</v>
      </c>
      <c r="B59" s="3" t="s">
        <v>27</v>
      </c>
      <c r="C59" s="3" t="s">
        <v>28</v>
      </c>
      <c r="D59" s="3" t="s">
        <v>40</v>
      </c>
      <c r="E59" s="3" t="s">
        <v>100</v>
      </c>
      <c r="F59" s="3" t="s">
        <v>42</v>
      </c>
      <c r="G59" s="3" t="s">
        <v>100</v>
      </c>
      <c r="H59" s="3" t="s">
        <v>63</v>
      </c>
      <c r="I59" s="3">
        <v>2025</v>
      </c>
      <c r="J59" s="3" t="str">
        <f>CONCATENATE("54820221858")</f>
        <v>54820221858</v>
      </c>
      <c r="K59" s="3" t="s">
        <v>33</v>
      </c>
      <c r="L59" s="3"/>
      <c r="M59" s="3" t="s">
        <v>34</v>
      </c>
      <c r="N59" s="3" t="str">
        <f>CONCATENATE("02711700423")</f>
        <v>02711700423</v>
      </c>
      <c r="O59" s="3" t="s">
        <v>138</v>
      </c>
      <c r="P59" s="3" t="s">
        <v>36</v>
      </c>
      <c r="Q59" s="3"/>
      <c r="R59" s="4">
        <v>46011</v>
      </c>
      <c r="S59" s="3" t="s">
        <v>37</v>
      </c>
      <c r="T59" s="3" t="s">
        <v>38</v>
      </c>
      <c r="U59" s="3" t="s">
        <v>39</v>
      </c>
      <c r="V59" s="5">
        <v>2456.3000000000002</v>
      </c>
      <c r="W59" s="5">
        <v>1043.93</v>
      </c>
      <c r="X59" s="3">
        <v>988.66</v>
      </c>
      <c r="Y59" s="3">
        <v>423.71</v>
      </c>
    </row>
    <row r="60" spans="1:25" ht="36.75" x14ac:dyDescent="0.25">
      <c r="A60" s="3" t="s">
        <v>26</v>
      </c>
      <c r="B60" s="3" t="s">
        <v>27</v>
      </c>
      <c r="C60" s="3" t="s">
        <v>28</v>
      </c>
      <c r="D60" s="3" t="s">
        <v>54</v>
      </c>
      <c r="E60" s="3" t="s">
        <v>72</v>
      </c>
      <c r="F60" s="3" t="s">
        <v>56</v>
      </c>
      <c r="G60" s="3" t="s">
        <v>72</v>
      </c>
      <c r="H60" s="3" t="s">
        <v>32</v>
      </c>
      <c r="I60" s="3">
        <v>2025</v>
      </c>
      <c r="J60" s="3" t="str">
        <f>CONCATENATE("54820194600")</f>
        <v>54820194600</v>
      </c>
      <c r="K60" s="3" t="s">
        <v>33</v>
      </c>
      <c r="L60" s="3"/>
      <c r="M60" s="3" t="s">
        <v>34</v>
      </c>
      <c r="N60" s="3" t="str">
        <f>CONCATENATE("01975760438")</f>
        <v>01975760438</v>
      </c>
      <c r="O60" s="3" t="s">
        <v>139</v>
      </c>
      <c r="P60" s="3" t="s">
        <v>36</v>
      </c>
      <c r="Q60" s="3"/>
      <c r="R60" s="4">
        <v>46011</v>
      </c>
      <c r="S60" s="3" t="s">
        <v>37</v>
      </c>
      <c r="T60" s="3" t="s">
        <v>38</v>
      </c>
      <c r="U60" s="3" t="s">
        <v>39</v>
      </c>
      <c r="V60" s="5">
        <v>8574.2099999999991</v>
      </c>
      <c r="W60" s="5">
        <v>3644.04</v>
      </c>
      <c r="X60" s="5">
        <v>3451.12</v>
      </c>
      <c r="Y60" s="5">
        <v>1479.05</v>
      </c>
    </row>
    <row r="61" spans="1:25" ht="60.75" x14ac:dyDescent="0.25">
      <c r="A61" s="3" t="s">
        <v>26</v>
      </c>
      <c r="B61" s="3" t="s">
        <v>27</v>
      </c>
      <c r="C61" s="3" t="s">
        <v>28</v>
      </c>
      <c r="D61" s="3" t="s">
        <v>47</v>
      </c>
      <c r="E61" s="3" t="s">
        <v>91</v>
      </c>
      <c r="F61" s="3" t="s">
        <v>49</v>
      </c>
      <c r="G61" s="3" t="s">
        <v>91</v>
      </c>
      <c r="H61" s="3" t="s">
        <v>85</v>
      </c>
      <c r="I61" s="3">
        <v>2025</v>
      </c>
      <c r="J61" s="3" t="str">
        <f>CONCATENATE("54820200258")</f>
        <v>54820200258</v>
      </c>
      <c r="K61" s="3" t="s">
        <v>33</v>
      </c>
      <c r="L61" s="3"/>
      <c r="M61" s="3" t="s">
        <v>34</v>
      </c>
      <c r="N61" s="3" t="str">
        <f>CONCATENATE("VGNLLN61M50Z110B")</f>
        <v>VGNLLN61M50Z110B</v>
      </c>
      <c r="O61" s="3" t="s">
        <v>140</v>
      </c>
      <c r="P61" s="3" t="s">
        <v>36</v>
      </c>
      <c r="Q61" s="3"/>
      <c r="R61" s="4">
        <v>46011</v>
      </c>
      <c r="S61" s="3" t="s">
        <v>37</v>
      </c>
      <c r="T61" s="3" t="s">
        <v>38</v>
      </c>
      <c r="U61" s="3" t="s">
        <v>39</v>
      </c>
      <c r="V61" s="5">
        <v>7031.23</v>
      </c>
      <c r="W61" s="5">
        <v>2988.27</v>
      </c>
      <c r="X61" s="5">
        <v>2830.07</v>
      </c>
      <c r="Y61" s="5">
        <v>1212.8900000000001</v>
      </c>
    </row>
    <row r="62" spans="1:25" ht="36.75" x14ac:dyDescent="0.25">
      <c r="A62" s="3" t="s">
        <v>26</v>
      </c>
      <c r="B62" s="3" t="s">
        <v>27</v>
      </c>
      <c r="C62" s="3" t="s">
        <v>28</v>
      </c>
      <c r="D62" s="3" t="s">
        <v>29</v>
      </c>
      <c r="E62" s="3" t="s">
        <v>30</v>
      </c>
      <c r="F62" s="3" t="s">
        <v>31</v>
      </c>
      <c r="G62" s="3" t="s">
        <v>30</v>
      </c>
      <c r="H62" s="3" t="s">
        <v>32</v>
      </c>
      <c r="I62" s="3">
        <v>2025</v>
      </c>
      <c r="J62" s="3" t="str">
        <f>CONCATENATE("54820027362")</f>
        <v>54820027362</v>
      </c>
      <c r="K62" s="3" t="s">
        <v>33</v>
      </c>
      <c r="L62" s="3"/>
      <c r="M62" s="3" t="s">
        <v>34</v>
      </c>
      <c r="N62" s="3" t="str">
        <f>CONCATENATE("01648640439")</f>
        <v>01648640439</v>
      </c>
      <c r="O62" s="3" t="s">
        <v>141</v>
      </c>
      <c r="P62" s="3" t="s">
        <v>36</v>
      </c>
      <c r="Q62" s="3"/>
      <c r="R62" s="4">
        <v>46011</v>
      </c>
      <c r="S62" s="3" t="s">
        <v>37</v>
      </c>
      <c r="T62" s="3" t="s">
        <v>38</v>
      </c>
      <c r="U62" s="3" t="s">
        <v>39</v>
      </c>
      <c r="V62" s="3">
        <v>772.59</v>
      </c>
      <c r="W62" s="3">
        <v>328.35</v>
      </c>
      <c r="X62" s="3">
        <v>310.97000000000003</v>
      </c>
      <c r="Y62" s="3">
        <v>133.27000000000001</v>
      </c>
    </row>
    <row r="63" spans="1:25" ht="36.75" x14ac:dyDescent="0.25">
      <c r="A63" s="3" t="s">
        <v>26</v>
      </c>
      <c r="B63" s="3" t="s">
        <v>27</v>
      </c>
      <c r="C63" s="3" t="s">
        <v>28</v>
      </c>
      <c r="D63" s="3" t="s">
        <v>40</v>
      </c>
      <c r="E63" s="3" t="s">
        <v>60</v>
      </c>
      <c r="F63" s="3" t="s">
        <v>42</v>
      </c>
      <c r="G63" s="3" t="s">
        <v>60</v>
      </c>
      <c r="H63" s="3" t="s">
        <v>32</v>
      </c>
      <c r="I63" s="3">
        <v>2025</v>
      </c>
      <c r="J63" s="3" t="str">
        <f>CONCATENATE("54820136759")</f>
        <v>54820136759</v>
      </c>
      <c r="K63" s="3" t="s">
        <v>33</v>
      </c>
      <c r="L63" s="3"/>
      <c r="M63" s="3" t="s">
        <v>34</v>
      </c>
      <c r="N63" s="3" t="str">
        <f>CONCATENATE("00395750433")</f>
        <v>00395750433</v>
      </c>
      <c r="O63" s="3" t="s">
        <v>142</v>
      </c>
      <c r="P63" s="3" t="s">
        <v>36</v>
      </c>
      <c r="Q63" s="3"/>
      <c r="R63" s="4">
        <v>46011</v>
      </c>
      <c r="S63" s="3" t="s">
        <v>37</v>
      </c>
      <c r="T63" s="3" t="s">
        <v>38</v>
      </c>
      <c r="U63" s="3" t="s">
        <v>39</v>
      </c>
      <c r="V63" s="3">
        <v>606.98</v>
      </c>
      <c r="W63" s="3">
        <v>257.97000000000003</v>
      </c>
      <c r="X63" s="3">
        <v>244.31</v>
      </c>
      <c r="Y63" s="3">
        <v>104.7</v>
      </c>
    </row>
    <row r="64" spans="1:25" ht="60.75" x14ac:dyDescent="0.25">
      <c r="A64" s="3" t="s">
        <v>26</v>
      </c>
      <c r="B64" s="3" t="s">
        <v>27</v>
      </c>
      <c r="C64" s="3" t="s">
        <v>28</v>
      </c>
      <c r="D64" s="3" t="s">
        <v>82</v>
      </c>
      <c r="E64" s="3" t="s">
        <v>83</v>
      </c>
      <c r="F64" s="3" t="s">
        <v>84</v>
      </c>
      <c r="G64" s="3" t="s">
        <v>83</v>
      </c>
      <c r="H64" s="3" t="s">
        <v>32</v>
      </c>
      <c r="I64" s="3">
        <v>2025</v>
      </c>
      <c r="J64" s="3" t="str">
        <f>CONCATENATE("54820258082")</f>
        <v>54820258082</v>
      </c>
      <c r="K64" s="3" t="s">
        <v>33</v>
      </c>
      <c r="L64" s="3"/>
      <c r="M64" s="3" t="s">
        <v>34</v>
      </c>
      <c r="N64" s="3" t="str">
        <f>CONCATENATE("DLCNDR54T10I661S")</f>
        <v>DLCNDR54T10I661S</v>
      </c>
      <c r="O64" s="3" t="s">
        <v>143</v>
      </c>
      <c r="P64" s="3" t="s">
        <v>36</v>
      </c>
      <c r="Q64" s="3"/>
      <c r="R64" s="4">
        <v>46011</v>
      </c>
      <c r="S64" s="3" t="s">
        <v>37</v>
      </c>
      <c r="T64" s="3" t="s">
        <v>38</v>
      </c>
      <c r="U64" s="3" t="s">
        <v>39</v>
      </c>
      <c r="V64" s="5">
        <v>5115.07</v>
      </c>
      <c r="W64" s="5">
        <v>2173.9</v>
      </c>
      <c r="X64" s="5">
        <v>2058.8200000000002</v>
      </c>
      <c r="Y64" s="3">
        <v>882.35</v>
      </c>
    </row>
    <row r="65" spans="1:25" ht="36.75" x14ac:dyDescent="0.25">
      <c r="A65" s="3" t="s">
        <v>26</v>
      </c>
      <c r="B65" s="3" t="s">
        <v>27</v>
      </c>
      <c r="C65" s="3" t="s">
        <v>28</v>
      </c>
      <c r="D65" s="3" t="s">
        <v>40</v>
      </c>
      <c r="E65" s="3" t="s">
        <v>112</v>
      </c>
      <c r="F65" s="3" t="s">
        <v>42</v>
      </c>
      <c r="G65" s="3" t="s">
        <v>112</v>
      </c>
      <c r="H65" s="3" t="s">
        <v>43</v>
      </c>
      <c r="I65" s="3">
        <v>2025</v>
      </c>
      <c r="J65" s="3" t="str">
        <f>CONCATENATE("54820138227")</f>
        <v>54820138227</v>
      </c>
      <c r="K65" s="3" t="s">
        <v>33</v>
      </c>
      <c r="L65" s="3"/>
      <c r="M65" s="3" t="s">
        <v>34</v>
      </c>
      <c r="N65" s="3" t="str">
        <f>CONCATENATE("02010570410")</f>
        <v>02010570410</v>
      </c>
      <c r="O65" s="3" t="s">
        <v>144</v>
      </c>
      <c r="P65" s="3" t="s">
        <v>36</v>
      </c>
      <c r="Q65" s="3"/>
      <c r="R65" s="4">
        <v>46011</v>
      </c>
      <c r="S65" s="3" t="s">
        <v>37</v>
      </c>
      <c r="T65" s="3" t="s">
        <v>38</v>
      </c>
      <c r="U65" s="3" t="s">
        <v>39</v>
      </c>
      <c r="V65" s="5">
        <v>1225.33</v>
      </c>
      <c r="W65" s="3">
        <v>520.77</v>
      </c>
      <c r="X65" s="3">
        <v>493.2</v>
      </c>
      <c r="Y65" s="3">
        <v>211.36</v>
      </c>
    </row>
    <row r="66" spans="1:25" ht="60.75" x14ac:dyDescent="0.25">
      <c r="A66" s="3" t="s">
        <v>26</v>
      </c>
      <c r="B66" s="3" t="s">
        <v>27</v>
      </c>
      <c r="C66" s="3" t="s">
        <v>28</v>
      </c>
      <c r="D66" s="3" t="s">
        <v>40</v>
      </c>
      <c r="E66" s="3" t="s">
        <v>60</v>
      </c>
      <c r="F66" s="3" t="s">
        <v>42</v>
      </c>
      <c r="G66" s="3" t="s">
        <v>60</v>
      </c>
      <c r="H66" s="3" t="s">
        <v>32</v>
      </c>
      <c r="I66" s="3">
        <v>2025</v>
      </c>
      <c r="J66" s="3" t="str">
        <f>CONCATENATE("54820288675")</f>
        <v>54820288675</v>
      </c>
      <c r="K66" s="3" t="s">
        <v>33</v>
      </c>
      <c r="L66" s="3"/>
      <c r="M66" s="3" t="s">
        <v>34</v>
      </c>
      <c r="N66" s="3" t="str">
        <f>CONCATENATE("PCFCLT71R29B474O")</f>
        <v>PCFCLT71R29B474O</v>
      </c>
      <c r="O66" s="3" t="s">
        <v>145</v>
      </c>
      <c r="P66" s="3" t="s">
        <v>36</v>
      </c>
      <c r="Q66" s="3"/>
      <c r="R66" s="4">
        <v>46011</v>
      </c>
      <c r="S66" s="3" t="s">
        <v>37</v>
      </c>
      <c r="T66" s="3" t="s">
        <v>38</v>
      </c>
      <c r="U66" s="3" t="s">
        <v>39</v>
      </c>
      <c r="V66" s="5">
        <v>6866.69</v>
      </c>
      <c r="W66" s="5">
        <v>2918.34</v>
      </c>
      <c r="X66" s="5">
        <v>2763.84</v>
      </c>
      <c r="Y66" s="5">
        <v>1184.51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40</v>
      </c>
      <c r="E67" s="3" t="s">
        <v>146</v>
      </c>
      <c r="F67" s="3" t="s">
        <v>42</v>
      </c>
      <c r="G67" s="3" t="s">
        <v>146</v>
      </c>
      <c r="H67" s="3" t="s">
        <v>63</v>
      </c>
      <c r="I67" s="3">
        <v>2025</v>
      </c>
      <c r="J67" s="3" t="str">
        <f>CONCATENATE("54820122312")</f>
        <v>54820122312</v>
      </c>
      <c r="K67" s="3" t="s">
        <v>33</v>
      </c>
      <c r="L67" s="3"/>
      <c r="M67" s="3" t="s">
        <v>34</v>
      </c>
      <c r="N67" s="3" t="str">
        <f>CONCATENATE("RCCRNT48C28I461H")</f>
        <v>RCCRNT48C28I461H</v>
      </c>
      <c r="O67" s="3" t="s">
        <v>147</v>
      </c>
      <c r="P67" s="3" t="s">
        <v>36</v>
      </c>
      <c r="Q67" s="3"/>
      <c r="R67" s="4">
        <v>46011</v>
      </c>
      <c r="S67" s="3" t="s">
        <v>37</v>
      </c>
      <c r="T67" s="3" t="s">
        <v>38</v>
      </c>
      <c r="U67" s="3" t="s">
        <v>39</v>
      </c>
      <c r="V67" s="3">
        <v>167.57</v>
      </c>
      <c r="W67" s="3">
        <v>71.22</v>
      </c>
      <c r="X67" s="3">
        <v>67.45</v>
      </c>
      <c r="Y67" s="3">
        <v>28.9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40</v>
      </c>
      <c r="E68" s="3" t="s">
        <v>58</v>
      </c>
      <c r="F68" s="3" t="s">
        <v>42</v>
      </c>
      <c r="G68" s="3" t="s">
        <v>58</v>
      </c>
      <c r="H68" s="3" t="s">
        <v>43</v>
      </c>
      <c r="I68" s="3">
        <v>2025</v>
      </c>
      <c r="J68" s="3" t="str">
        <f>CONCATENATE("54820112925")</f>
        <v>54820112925</v>
      </c>
      <c r="K68" s="3" t="s">
        <v>33</v>
      </c>
      <c r="L68" s="3"/>
      <c r="M68" s="3" t="s">
        <v>34</v>
      </c>
      <c r="N68" s="3" t="str">
        <f>CONCATENATE("PSSFNC83R20L500O")</f>
        <v>PSSFNC83R20L500O</v>
      </c>
      <c r="O68" s="3" t="s">
        <v>148</v>
      </c>
      <c r="P68" s="3" t="s">
        <v>36</v>
      </c>
      <c r="Q68" s="3"/>
      <c r="R68" s="4">
        <v>46011</v>
      </c>
      <c r="S68" s="3" t="s">
        <v>37</v>
      </c>
      <c r="T68" s="3" t="s">
        <v>38</v>
      </c>
      <c r="U68" s="3" t="s">
        <v>39</v>
      </c>
      <c r="V68" s="3">
        <v>367.75</v>
      </c>
      <c r="W68" s="3">
        <v>156.29</v>
      </c>
      <c r="X68" s="3">
        <v>148.02000000000001</v>
      </c>
      <c r="Y68" s="3">
        <v>63.44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40</v>
      </c>
      <c r="E69" s="3" t="s">
        <v>58</v>
      </c>
      <c r="F69" s="3" t="s">
        <v>42</v>
      </c>
      <c r="G69" s="3" t="s">
        <v>58</v>
      </c>
      <c r="H69" s="3" t="s">
        <v>43</v>
      </c>
      <c r="I69" s="3">
        <v>2025</v>
      </c>
      <c r="J69" s="3" t="str">
        <f>CONCATENATE("54820273719")</f>
        <v>54820273719</v>
      </c>
      <c r="K69" s="3" t="s">
        <v>33</v>
      </c>
      <c r="L69" s="3"/>
      <c r="M69" s="3" t="s">
        <v>34</v>
      </c>
      <c r="N69" s="3" t="str">
        <f>CONCATENATE("CNCGST75M02B352T")</f>
        <v>CNCGST75M02B352T</v>
      </c>
      <c r="O69" s="3" t="s">
        <v>149</v>
      </c>
      <c r="P69" s="3" t="s">
        <v>36</v>
      </c>
      <c r="Q69" s="3"/>
      <c r="R69" s="4">
        <v>46011</v>
      </c>
      <c r="S69" s="3" t="s">
        <v>37</v>
      </c>
      <c r="T69" s="3" t="s">
        <v>38</v>
      </c>
      <c r="U69" s="3" t="s">
        <v>39</v>
      </c>
      <c r="V69" s="5">
        <v>7953.17</v>
      </c>
      <c r="W69" s="5">
        <v>3380.1</v>
      </c>
      <c r="X69" s="5">
        <v>3201.15</v>
      </c>
      <c r="Y69" s="5">
        <v>1371.92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29</v>
      </c>
      <c r="E70" s="3" t="s">
        <v>30</v>
      </c>
      <c r="F70" s="3" t="s">
        <v>31</v>
      </c>
      <c r="G70" s="3" t="s">
        <v>30</v>
      </c>
      <c r="H70" s="3" t="s">
        <v>32</v>
      </c>
      <c r="I70" s="3">
        <v>2025</v>
      </c>
      <c r="J70" s="3" t="str">
        <f>CONCATENATE("54820017470")</f>
        <v>54820017470</v>
      </c>
      <c r="K70" s="3" t="s">
        <v>33</v>
      </c>
      <c r="L70" s="3"/>
      <c r="M70" s="3" t="s">
        <v>34</v>
      </c>
      <c r="N70" s="3" t="str">
        <f>CONCATENATE("SNTRRT90D25H211J")</f>
        <v>SNTRRT90D25H211J</v>
      </c>
      <c r="O70" s="3" t="s">
        <v>150</v>
      </c>
      <c r="P70" s="3" t="s">
        <v>36</v>
      </c>
      <c r="Q70" s="3"/>
      <c r="R70" s="4">
        <v>46011</v>
      </c>
      <c r="S70" s="3" t="s">
        <v>37</v>
      </c>
      <c r="T70" s="3" t="s">
        <v>38</v>
      </c>
      <c r="U70" s="3" t="s">
        <v>39</v>
      </c>
      <c r="V70" s="5">
        <v>3355.18</v>
      </c>
      <c r="W70" s="5">
        <v>1425.95</v>
      </c>
      <c r="X70" s="5">
        <v>1350.46</v>
      </c>
      <c r="Y70" s="3">
        <v>578.77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40</v>
      </c>
      <c r="E71" s="3" t="s">
        <v>60</v>
      </c>
      <c r="F71" s="3" t="s">
        <v>42</v>
      </c>
      <c r="G71" s="3" t="s">
        <v>60</v>
      </c>
      <c r="H71" s="3" t="s">
        <v>32</v>
      </c>
      <c r="I71" s="3">
        <v>2025</v>
      </c>
      <c r="J71" s="3" t="str">
        <f>CONCATENATE("54820285010")</f>
        <v>54820285010</v>
      </c>
      <c r="K71" s="3" t="s">
        <v>33</v>
      </c>
      <c r="L71" s="3"/>
      <c r="M71" s="3" t="s">
        <v>34</v>
      </c>
      <c r="N71" s="3" t="str">
        <f>CONCATENATE("FBRFST81T23B474X")</f>
        <v>FBRFST81T23B474X</v>
      </c>
      <c r="O71" s="3" t="s">
        <v>151</v>
      </c>
      <c r="P71" s="3" t="s">
        <v>36</v>
      </c>
      <c r="Q71" s="3"/>
      <c r="R71" s="4">
        <v>46011</v>
      </c>
      <c r="S71" s="3" t="s">
        <v>37</v>
      </c>
      <c r="T71" s="3" t="s">
        <v>38</v>
      </c>
      <c r="U71" s="3" t="s">
        <v>39</v>
      </c>
      <c r="V71" s="5">
        <v>5360.75</v>
      </c>
      <c r="W71" s="5">
        <v>2278.3200000000002</v>
      </c>
      <c r="X71" s="5">
        <v>2157.6999999999998</v>
      </c>
      <c r="Y71" s="3">
        <v>924.73</v>
      </c>
    </row>
    <row r="72" spans="1:25" ht="60.75" x14ac:dyDescent="0.25">
      <c r="A72" s="3" t="s">
        <v>26</v>
      </c>
      <c r="B72" s="3" t="s">
        <v>27</v>
      </c>
      <c r="C72" s="3" t="s">
        <v>28</v>
      </c>
      <c r="D72" s="3" t="s">
        <v>40</v>
      </c>
      <c r="E72" s="3" t="s">
        <v>60</v>
      </c>
      <c r="F72" s="3" t="s">
        <v>42</v>
      </c>
      <c r="G72" s="3" t="s">
        <v>60</v>
      </c>
      <c r="H72" s="3" t="s">
        <v>63</v>
      </c>
      <c r="I72" s="3">
        <v>2025</v>
      </c>
      <c r="J72" s="3" t="str">
        <f>CONCATENATE("54820288865")</f>
        <v>54820288865</v>
      </c>
      <c r="K72" s="3" t="s">
        <v>33</v>
      </c>
      <c r="L72" s="3"/>
      <c r="M72" s="3" t="s">
        <v>34</v>
      </c>
      <c r="N72" s="3" t="str">
        <f>CONCATENATE("BRNMNL96P15B474U")</f>
        <v>BRNMNL96P15B474U</v>
      </c>
      <c r="O72" s="3" t="s">
        <v>152</v>
      </c>
      <c r="P72" s="3" t="s">
        <v>36</v>
      </c>
      <c r="Q72" s="3"/>
      <c r="R72" s="4">
        <v>46011</v>
      </c>
      <c r="S72" s="3" t="s">
        <v>37</v>
      </c>
      <c r="T72" s="3" t="s">
        <v>38</v>
      </c>
      <c r="U72" s="3" t="s">
        <v>39</v>
      </c>
      <c r="V72" s="3">
        <v>576.29</v>
      </c>
      <c r="W72" s="3">
        <v>244.92</v>
      </c>
      <c r="X72" s="3">
        <v>231.96</v>
      </c>
      <c r="Y72" s="3">
        <v>99.41</v>
      </c>
    </row>
    <row r="73" spans="1:25" ht="72.75" x14ac:dyDescent="0.25">
      <c r="A73" s="3" t="s">
        <v>26</v>
      </c>
      <c r="B73" s="3" t="s">
        <v>27</v>
      </c>
      <c r="C73" s="3" t="s">
        <v>28</v>
      </c>
      <c r="D73" s="3" t="s">
        <v>40</v>
      </c>
      <c r="E73" s="3" t="s">
        <v>112</v>
      </c>
      <c r="F73" s="3" t="s">
        <v>42</v>
      </c>
      <c r="G73" s="3" t="s">
        <v>112</v>
      </c>
      <c r="H73" s="3" t="s">
        <v>43</v>
      </c>
      <c r="I73" s="3">
        <v>2025</v>
      </c>
      <c r="J73" s="3" t="str">
        <f>CONCATENATE("54820142146")</f>
        <v>54820142146</v>
      </c>
      <c r="K73" s="3" t="s">
        <v>33</v>
      </c>
      <c r="L73" s="3"/>
      <c r="M73" s="3" t="s">
        <v>34</v>
      </c>
      <c r="N73" s="3" t="str">
        <f>CONCATENATE("MRNMRT60B64A740Q")</f>
        <v>MRNMRT60B64A740Q</v>
      </c>
      <c r="O73" s="3" t="s">
        <v>153</v>
      </c>
      <c r="P73" s="3" t="s">
        <v>36</v>
      </c>
      <c r="Q73" s="3"/>
      <c r="R73" s="4">
        <v>46011</v>
      </c>
      <c r="S73" s="3" t="s">
        <v>37</v>
      </c>
      <c r="T73" s="3" t="s">
        <v>38</v>
      </c>
      <c r="U73" s="3" t="s">
        <v>39</v>
      </c>
      <c r="V73" s="5">
        <v>4278.58</v>
      </c>
      <c r="W73" s="5">
        <v>1818.4</v>
      </c>
      <c r="X73" s="5">
        <v>1722.13</v>
      </c>
      <c r="Y73" s="3">
        <v>738.05</v>
      </c>
    </row>
    <row r="74" spans="1:25" ht="60.75" x14ac:dyDescent="0.25">
      <c r="A74" s="3" t="s">
        <v>26</v>
      </c>
      <c r="B74" s="3" t="s">
        <v>27</v>
      </c>
      <c r="C74" s="3" t="s">
        <v>28</v>
      </c>
      <c r="D74" s="3" t="s">
        <v>47</v>
      </c>
      <c r="E74" s="3" t="s">
        <v>48</v>
      </c>
      <c r="F74" s="3" t="s">
        <v>49</v>
      </c>
      <c r="G74" s="3" t="s">
        <v>48</v>
      </c>
      <c r="H74" s="3" t="s">
        <v>43</v>
      </c>
      <c r="I74" s="3">
        <v>2025</v>
      </c>
      <c r="J74" s="3" t="str">
        <f>CONCATENATE("54820191796")</f>
        <v>54820191796</v>
      </c>
      <c r="K74" s="3" t="s">
        <v>33</v>
      </c>
      <c r="L74" s="3"/>
      <c r="M74" s="3" t="s">
        <v>34</v>
      </c>
      <c r="N74" s="3" t="str">
        <f>CONCATENATE("NSPNTN49A17A035F")</f>
        <v>NSPNTN49A17A035F</v>
      </c>
      <c r="O74" s="3" t="s">
        <v>154</v>
      </c>
      <c r="P74" s="3" t="s">
        <v>36</v>
      </c>
      <c r="Q74" s="3"/>
      <c r="R74" s="4">
        <v>46011</v>
      </c>
      <c r="S74" s="3" t="s">
        <v>37</v>
      </c>
      <c r="T74" s="3" t="s">
        <v>38</v>
      </c>
      <c r="U74" s="3" t="s">
        <v>39</v>
      </c>
      <c r="V74" s="3">
        <v>364.32</v>
      </c>
      <c r="W74" s="3">
        <v>154.84</v>
      </c>
      <c r="X74" s="3">
        <v>146.63999999999999</v>
      </c>
      <c r="Y74" s="3">
        <v>62.84</v>
      </c>
    </row>
    <row r="75" spans="1:25" ht="72.75" x14ac:dyDescent="0.25">
      <c r="A75" s="3" t="s">
        <v>26</v>
      </c>
      <c r="B75" s="3" t="s">
        <v>27</v>
      </c>
      <c r="C75" s="3" t="s">
        <v>28</v>
      </c>
      <c r="D75" s="3" t="s">
        <v>47</v>
      </c>
      <c r="E75" s="3" t="s">
        <v>155</v>
      </c>
      <c r="F75" s="3" t="s">
        <v>49</v>
      </c>
      <c r="G75" s="3" t="s">
        <v>155</v>
      </c>
      <c r="H75" s="3" t="s">
        <v>43</v>
      </c>
      <c r="I75" s="3">
        <v>2025</v>
      </c>
      <c r="J75" s="3" t="str">
        <f>CONCATENATE("54820367487")</f>
        <v>54820367487</v>
      </c>
      <c r="K75" s="3" t="s">
        <v>33</v>
      </c>
      <c r="L75" s="3"/>
      <c r="M75" s="3" t="s">
        <v>34</v>
      </c>
      <c r="N75" s="3" t="str">
        <f>CONCATENATE("MGNSRA63B08I459U")</f>
        <v>MGNSRA63B08I459U</v>
      </c>
      <c r="O75" s="3" t="s">
        <v>156</v>
      </c>
      <c r="P75" s="3" t="s">
        <v>36</v>
      </c>
      <c r="Q75" s="3"/>
      <c r="R75" s="4">
        <v>46011</v>
      </c>
      <c r="S75" s="3" t="s">
        <v>37</v>
      </c>
      <c r="T75" s="3" t="s">
        <v>38</v>
      </c>
      <c r="U75" s="3" t="s">
        <v>39</v>
      </c>
      <c r="V75" s="3">
        <v>276.66000000000003</v>
      </c>
      <c r="W75" s="3">
        <v>117.58</v>
      </c>
      <c r="X75" s="3">
        <v>111.36</v>
      </c>
      <c r="Y75" s="3">
        <v>47.72</v>
      </c>
    </row>
    <row r="76" spans="1:25" ht="60.75" x14ac:dyDescent="0.25">
      <c r="A76" s="3" t="s">
        <v>26</v>
      </c>
      <c r="B76" s="3" t="s">
        <v>27</v>
      </c>
      <c r="C76" s="3" t="s">
        <v>28</v>
      </c>
      <c r="D76" s="3" t="s">
        <v>40</v>
      </c>
      <c r="E76" s="3" t="s">
        <v>100</v>
      </c>
      <c r="F76" s="3" t="s">
        <v>42</v>
      </c>
      <c r="G76" s="3" t="s">
        <v>100</v>
      </c>
      <c r="H76" s="3" t="s">
        <v>63</v>
      </c>
      <c r="I76" s="3">
        <v>2025</v>
      </c>
      <c r="J76" s="3" t="str">
        <f>CONCATENATE("54820207329")</f>
        <v>54820207329</v>
      </c>
      <c r="K76" s="3" t="s">
        <v>33</v>
      </c>
      <c r="L76" s="3"/>
      <c r="M76" s="3" t="s">
        <v>34</v>
      </c>
      <c r="N76" s="3" t="str">
        <f>CONCATENATE("PGLCLD61T03I653Q")</f>
        <v>PGLCLD61T03I653Q</v>
      </c>
      <c r="O76" s="3" t="s">
        <v>157</v>
      </c>
      <c r="P76" s="3" t="s">
        <v>36</v>
      </c>
      <c r="Q76" s="3"/>
      <c r="R76" s="4">
        <v>46011</v>
      </c>
      <c r="S76" s="3" t="s">
        <v>37</v>
      </c>
      <c r="T76" s="3" t="s">
        <v>38</v>
      </c>
      <c r="U76" s="3" t="s">
        <v>39</v>
      </c>
      <c r="V76" s="3">
        <v>511.16</v>
      </c>
      <c r="W76" s="3">
        <v>217.24</v>
      </c>
      <c r="X76" s="3">
        <v>205.74</v>
      </c>
      <c r="Y76" s="3">
        <v>88.18</v>
      </c>
    </row>
    <row r="77" spans="1:25" ht="60.75" x14ac:dyDescent="0.25">
      <c r="A77" s="3" t="s">
        <v>26</v>
      </c>
      <c r="B77" s="3" t="s">
        <v>27</v>
      </c>
      <c r="C77" s="3" t="s">
        <v>28</v>
      </c>
      <c r="D77" s="3" t="s">
        <v>40</v>
      </c>
      <c r="E77" s="3" t="s">
        <v>60</v>
      </c>
      <c r="F77" s="3" t="s">
        <v>42</v>
      </c>
      <c r="G77" s="3" t="s">
        <v>60</v>
      </c>
      <c r="H77" s="3" t="s">
        <v>32</v>
      </c>
      <c r="I77" s="3">
        <v>2025</v>
      </c>
      <c r="J77" s="3" t="str">
        <f>CONCATENATE("54820156682")</f>
        <v>54820156682</v>
      </c>
      <c r="K77" s="3" t="s">
        <v>33</v>
      </c>
      <c r="L77" s="3"/>
      <c r="M77" s="3" t="s">
        <v>34</v>
      </c>
      <c r="N77" s="3" t="str">
        <f>CONCATENATE("CRSPQL70B12F051W")</f>
        <v>CRSPQL70B12F051W</v>
      </c>
      <c r="O77" s="3" t="s">
        <v>158</v>
      </c>
      <c r="P77" s="3" t="s">
        <v>36</v>
      </c>
      <c r="Q77" s="3"/>
      <c r="R77" s="4">
        <v>46011</v>
      </c>
      <c r="S77" s="3" t="s">
        <v>37</v>
      </c>
      <c r="T77" s="3" t="s">
        <v>38</v>
      </c>
      <c r="U77" s="3" t="s">
        <v>39</v>
      </c>
      <c r="V77" s="3">
        <v>969.58</v>
      </c>
      <c r="W77" s="3">
        <v>412.07</v>
      </c>
      <c r="X77" s="3">
        <v>390.26</v>
      </c>
      <c r="Y77" s="3">
        <v>167.25</v>
      </c>
    </row>
    <row r="78" spans="1:25" ht="36.75" x14ac:dyDescent="0.25">
      <c r="A78" s="3" t="s">
        <v>26</v>
      </c>
      <c r="B78" s="3" t="s">
        <v>27</v>
      </c>
      <c r="C78" s="3" t="s">
        <v>28</v>
      </c>
      <c r="D78" s="3" t="s">
        <v>29</v>
      </c>
      <c r="E78" s="3" t="s">
        <v>159</v>
      </c>
      <c r="F78" s="3" t="s">
        <v>31</v>
      </c>
      <c r="G78" s="3" t="s">
        <v>159</v>
      </c>
      <c r="H78" s="3" t="s">
        <v>43</v>
      </c>
      <c r="I78" s="3">
        <v>2025</v>
      </c>
      <c r="J78" s="3" t="str">
        <f>CONCATENATE("54820165931")</f>
        <v>54820165931</v>
      </c>
      <c r="K78" s="3" t="s">
        <v>33</v>
      </c>
      <c r="L78" s="3"/>
      <c r="M78" s="3" t="s">
        <v>34</v>
      </c>
      <c r="N78" s="3" t="str">
        <f>CONCATENATE("01065340414")</f>
        <v>01065340414</v>
      </c>
      <c r="O78" s="3" t="s">
        <v>160</v>
      </c>
      <c r="P78" s="3" t="s">
        <v>36</v>
      </c>
      <c r="Q78" s="3"/>
      <c r="R78" s="4">
        <v>46011</v>
      </c>
      <c r="S78" s="3" t="s">
        <v>37</v>
      </c>
      <c r="T78" s="3" t="s">
        <v>38</v>
      </c>
      <c r="U78" s="3" t="s">
        <v>39</v>
      </c>
      <c r="V78" s="3">
        <v>820.69</v>
      </c>
      <c r="W78" s="3">
        <v>348.79</v>
      </c>
      <c r="X78" s="3">
        <v>330.33</v>
      </c>
      <c r="Y78" s="3">
        <v>141.57</v>
      </c>
    </row>
    <row r="79" spans="1:25" ht="60.75" x14ac:dyDescent="0.25">
      <c r="A79" s="3" t="s">
        <v>26</v>
      </c>
      <c r="B79" s="3" t="s">
        <v>27</v>
      </c>
      <c r="C79" s="3" t="s">
        <v>28</v>
      </c>
      <c r="D79" s="3" t="s">
        <v>54</v>
      </c>
      <c r="E79" s="3" t="s">
        <v>88</v>
      </c>
      <c r="F79" s="3" t="s">
        <v>56</v>
      </c>
      <c r="G79" s="3" t="s">
        <v>88</v>
      </c>
      <c r="H79" s="3" t="s">
        <v>85</v>
      </c>
      <c r="I79" s="3">
        <v>2025</v>
      </c>
      <c r="J79" s="3" t="str">
        <f>CONCATENATE("54820167507")</f>
        <v>54820167507</v>
      </c>
      <c r="K79" s="3" t="s">
        <v>33</v>
      </c>
      <c r="L79" s="3"/>
      <c r="M79" s="3" t="s">
        <v>34</v>
      </c>
      <c r="N79" s="3" t="str">
        <f>CONCATENATE("LNRGPR81P23D542E")</f>
        <v>LNRGPR81P23D542E</v>
      </c>
      <c r="O79" s="3" t="s">
        <v>161</v>
      </c>
      <c r="P79" s="3" t="s">
        <v>36</v>
      </c>
      <c r="Q79" s="3"/>
      <c r="R79" s="4">
        <v>46011</v>
      </c>
      <c r="S79" s="3" t="s">
        <v>37</v>
      </c>
      <c r="T79" s="3" t="s">
        <v>38</v>
      </c>
      <c r="U79" s="3" t="s">
        <v>39</v>
      </c>
      <c r="V79" s="3">
        <v>141.36000000000001</v>
      </c>
      <c r="W79" s="3">
        <v>60.08</v>
      </c>
      <c r="X79" s="3">
        <v>56.9</v>
      </c>
      <c r="Y79" s="3">
        <v>24.38</v>
      </c>
    </row>
    <row r="80" spans="1:25" ht="36.75" x14ac:dyDescent="0.25">
      <c r="A80" s="3" t="s">
        <v>26</v>
      </c>
      <c r="B80" s="3" t="s">
        <v>27</v>
      </c>
      <c r="C80" s="3" t="s">
        <v>28</v>
      </c>
      <c r="D80" s="3" t="s">
        <v>40</v>
      </c>
      <c r="E80" s="3" t="s">
        <v>100</v>
      </c>
      <c r="F80" s="3" t="s">
        <v>42</v>
      </c>
      <c r="G80" s="3" t="s">
        <v>100</v>
      </c>
      <c r="H80" s="3" t="s">
        <v>63</v>
      </c>
      <c r="I80" s="3">
        <v>2025</v>
      </c>
      <c r="J80" s="3" t="str">
        <f>CONCATENATE("54820211206")</f>
        <v>54820211206</v>
      </c>
      <c r="K80" s="3" t="s">
        <v>33</v>
      </c>
      <c r="L80" s="3"/>
      <c r="M80" s="3" t="s">
        <v>34</v>
      </c>
      <c r="N80" s="3" t="str">
        <f>CONCATENATE("02398370425")</f>
        <v>02398370425</v>
      </c>
      <c r="O80" s="3" t="s">
        <v>162</v>
      </c>
      <c r="P80" s="3" t="s">
        <v>36</v>
      </c>
      <c r="Q80" s="3"/>
      <c r="R80" s="4">
        <v>46011</v>
      </c>
      <c r="S80" s="3" t="s">
        <v>37</v>
      </c>
      <c r="T80" s="3" t="s">
        <v>38</v>
      </c>
      <c r="U80" s="3" t="s">
        <v>39</v>
      </c>
      <c r="V80" s="3">
        <v>103.21</v>
      </c>
      <c r="W80" s="3">
        <v>43.86</v>
      </c>
      <c r="X80" s="3">
        <v>41.54</v>
      </c>
      <c r="Y80" s="3">
        <v>17.809999999999999</v>
      </c>
    </row>
    <row r="81" spans="1:25" ht="60.75" x14ac:dyDescent="0.25">
      <c r="A81" s="3" t="s">
        <v>26</v>
      </c>
      <c r="B81" s="3" t="s">
        <v>27</v>
      </c>
      <c r="C81" s="3" t="s">
        <v>28</v>
      </c>
      <c r="D81" s="3" t="s">
        <v>29</v>
      </c>
      <c r="E81" s="3" t="s">
        <v>79</v>
      </c>
      <c r="F81" s="3" t="s">
        <v>31</v>
      </c>
      <c r="G81" s="3" t="s">
        <v>79</v>
      </c>
      <c r="H81" s="3" t="s">
        <v>32</v>
      </c>
      <c r="I81" s="3">
        <v>2025</v>
      </c>
      <c r="J81" s="3" t="str">
        <f>CONCATENATE("54820377031")</f>
        <v>54820377031</v>
      </c>
      <c r="K81" s="3" t="s">
        <v>33</v>
      </c>
      <c r="L81" s="3"/>
      <c r="M81" s="3" t="s">
        <v>34</v>
      </c>
      <c r="N81" s="3" t="str">
        <f>CONCATENATE("RMLMRA85M06L191R")</f>
        <v>RMLMRA85M06L191R</v>
      </c>
      <c r="O81" s="3" t="s">
        <v>163</v>
      </c>
      <c r="P81" s="3" t="s">
        <v>36</v>
      </c>
      <c r="Q81" s="3"/>
      <c r="R81" s="4">
        <v>46011</v>
      </c>
      <c r="S81" s="3" t="s">
        <v>37</v>
      </c>
      <c r="T81" s="3" t="s">
        <v>38</v>
      </c>
      <c r="U81" s="3" t="s">
        <v>39</v>
      </c>
      <c r="V81" s="3">
        <v>236.66</v>
      </c>
      <c r="W81" s="3">
        <v>100.58</v>
      </c>
      <c r="X81" s="3">
        <v>95.26</v>
      </c>
      <c r="Y81" s="3">
        <v>40.82</v>
      </c>
    </row>
    <row r="82" spans="1:25" ht="60.75" x14ac:dyDescent="0.25">
      <c r="A82" s="3" t="s">
        <v>26</v>
      </c>
      <c r="B82" s="3" t="s">
        <v>27</v>
      </c>
      <c r="C82" s="3" t="s">
        <v>28</v>
      </c>
      <c r="D82" s="3" t="s">
        <v>40</v>
      </c>
      <c r="E82" s="3" t="s">
        <v>58</v>
      </c>
      <c r="F82" s="3" t="s">
        <v>42</v>
      </c>
      <c r="G82" s="3" t="s">
        <v>58</v>
      </c>
      <c r="H82" s="3" t="s">
        <v>43</v>
      </c>
      <c r="I82" s="3">
        <v>2025</v>
      </c>
      <c r="J82" s="3" t="str">
        <f>CONCATENATE("54820030077")</f>
        <v>54820030077</v>
      </c>
      <c r="K82" s="3" t="s">
        <v>33</v>
      </c>
      <c r="L82" s="3"/>
      <c r="M82" s="3" t="s">
        <v>34</v>
      </c>
      <c r="N82" s="3" t="str">
        <f>CONCATENATE("DMSLRD78S13D643X")</f>
        <v>DMSLRD78S13D643X</v>
      </c>
      <c r="O82" s="3" t="s">
        <v>164</v>
      </c>
      <c r="P82" s="3" t="s">
        <v>36</v>
      </c>
      <c r="Q82" s="3"/>
      <c r="R82" s="4">
        <v>46011</v>
      </c>
      <c r="S82" s="3" t="s">
        <v>37</v>
      </c>
      <c r="T82" s="3" t="s">
        <v>38</v>
      </c>
      <c r="U82" s="3" t="s">
        <v>39</v>
      </c>
      <c r="V82" s="5">
        <v>3174.69</v>
      </c>
      <c r="W82" s="5">
        <v>1349.24</v>
      </c>
      <c r="X82" s="5">
        <v>1277.81</v>
      </c>
      <c r="Y82" s="3">
        <v>547.64</v>
      </c>
    </row>
    <row r="83" spans="1:25" ht="72.75" x14ac:dyDescent="0.25">
      <c r="A83" s="3" t="s">
        <v>26</v>
      </c>
      <c r="B83" s="3" t="s">
        <v>27</v>
      </c>
      <c r="C83" s="3" t="s">
        <v>28</v>
      </c>
      <c r="D83" s="3" t="s">
        <v>40</v>
      </c>
      <c r="E83" s="3" t="s">
        <v>41</v>
      </c>
      <c r="F83" s="3" t="s">
        <v>42</v>
      </c>
      <c r="G83" s="3" t="s">
        <v>41</v>
      </c>
      <c r="H83" s="3" t="s">
        <v>43</v>
      </c>
      <c r="I83" s="3">
        <v>2025</v>
      </c>
      <c r="J83" s="3" t="str">
        <f>CONCATENATE("54820056536")</f>
        <v>54820056536</v>
      </c>
      <c r="K83" s="3" t="s">
        <v>33</v>
      </c>
      <c r="L83" s="3"/>
      <c r="M83" s="3" t="s">
        <v>34</v>
      </c>
      <c r="N83" s="3" t="str">
        <f>CONCATENATE("SGUDNL65H03D749B")</f>
        <v>SGUDNL65H03D749B</v>
      </c>
      <c r="O83" s="3" t="s">
        <v>165</v>
      </c>
      <c r="P83" s="3" t="s">
        <v>36</v>
      </c>
      <c r="Q83" s="3"/>
      <c r="R83" s="4">
        <v>46011</v>
      </c>
      <c r="S83" s="3" t="s">
        <v>37</v>
      </c>
      <c r="T83" s="3" t="s">
        <v>38</v>
      </c>
      <c r="U83" s="3" t="s">
        <v>39</v>
      </c>
      <c r="V83" s="5">
        <v>1030.3699999999999</v>
      </c>
      <c r="W83" s="3">
        <v>437.91</v>
      </c>
      <c r="X83" s="3">
        <v>414.72</v>
      </c>
      <c r="Y83" s="3">
        <v>177.74</v>
      </c>
    </row>
    <row r="84" spans="1:25" ht="60.75" x14ac:dyDescent="0.25">
      <c r="A84" s="3" t="s">
        <v>26</v>
      </c>
      <c r="B84" s="3" t="s">
        <v>27</v>
      </c>
      <c r="C84" s="3" t="s">
        <v>28</v>
      </c>
      <c r="D84" s="3" t="s">
        <v>40</v>
      </c>
      <c r="E84" s="3" t="s">
        <v>60</v>
      </c>
      <c r="F84" s="3" t="s">
        <v>42</v>
      </c>
      <c r="G84" s="3" t="s">
        <v>60</v>
      </c>
      <c r="H84" s="3" t="s">
        <v>32</v>
      </c>
      <c r="I84" s="3">
        <v>2025</v>
      </c>
      <c r="J84" s="3" t="str">
        <f>CONCATENATE("54820186044")</f>
        <v>54820186044</v>
      </c>
      <c r="K84" s="3" t="s">
        <v>33</v>
      </c>
      <c r="L84" s="3"/>
      <c r="M84" s="3" t="s">
        <v>34</v>
      </c>
      <c r="N84" s="3" t="str">
        <f>CONCATENATE("MCALSN96H01B474X")</f>
        <v>MCALSN96H01B474X</v>
      </c>
      <c r="O84" s="3" t="s">
        <v>166</v>
      </c>
      <c r="P84" s="3" t="s">
        <v>36</v>
      </c>
      <c r="Q84" s="3"/>
      <c r="R84" s="4">
        <v>46011</v>
      </c>
      <c r="S84" s="3" t="s">
        <v>37</v>
      </c>
      <c r="T84" s="3" t="s">
        <v>38</v>
      </c>
      <c r="U84" s="3" t="s">
        <v>39</v>
      </c>
      <c r="V84" s="5">
        <v>8479.6299999999992</v>
      </c>
      <c r="W84" s="5">
        <v>3603.84</v>
      </c>
      <c r="X84" s="5">
        <v>3413.05</v>
      </c>
      <c r="Y84" s="5">
        <v>1462.74</v>
      </c>
    </row>
    <row r="85" spans="1:25" ht="60.75" x14ac:dyDescent="0.25">
      <c r="A85" s="3" t="s">
        <v>26</v>
      </c>
      <c r="B85" s="3" t="s">
        <v>27</v>
      </c>
      <c r="C85" s="3" t="s">
        <v>28</v>
      </c>
      <c r="D85" s="3" t="s">
        <v>40</v>
      </c>
      <c r="E85" s="3" t="s">
        <v>58</v>
      </c>
      <c r="F85" s="3" t="s">
        <v>42</v>
      </c>
      <c r="G85" s="3" t="s">
        <v>58</v>
      </c>
      <c r="H85" s="3" t="s">
        <v>43</v>
      </c>
      <c r="I85" s="3">
        <v>2025</v>
      </c>
      <c r="J85" s="3" t="str">
        <f>CONCATENATE("54820160577")</f>
        <v>54820160577</v>
      </c>
      <c r="K85" s="3" t="s">
        <v>33</v>
      </c>
      <c r="L85" s="3"/>
      <c r="M85" s="3" t="s">
        <v>34</v>
      </c>
      <c r="N85" s="3" t="str">
        <f>CONCATENATE("FLVFNC72S09B352B")</f>
        <v>FLVFNC72S09B352B</v>
      </c>
      <c r="O85" s="3" t="s">
        <v>167</v>
      </c>
      <c r="P85" s="3" t="s">
        <v>36</v>
      </c>
      <c r="Q85" s="3"/>
      <c r="R85" s="4">
        <v>46011</v>
      </c>
      <c r="S85" s="3" t="s">
        <v>37</v>
      </c>
      <c r="T85" s="3" t="s">
        <v>38</v>
      </c>
      <c r="U85" s="3" t="s">
        <v>39</v>
      </c>
      <c r="V85" s="5">
        <v>1146.3900000000001</v>
      </c>
      <c r="W85" s="3">
        <v>487.22</v>
      </c>
      <c r="X85" s="3">
        <v>461.42</v>
      </c>
      <c r="Y85" s="3">
        <v>197.75</v>
      </c>
    </row>
    <row r="86" spans="1:25" ht="60.75" x14ac:dyDescent="0.25">
      <c r="A86" s="3" t="s">
        <v>26</v>
      </c>
      <c r="B86" s="3" t="s">
        <v>27</v>
      </c>
      <c r="C86" s="3" t="s">
        <v>28</v>
      </c>
      <c r="D86" s="3" t="s">
        <v>40</v>
      </c>
      <c r="E86" s="3" t="s">
        <v>41</v>
      </c>
      <c r="F86" s="3" t="s">
        <v>42</v>
      </c>
      <c r="G86" s="3" t="s">
        <v>41</v>
      </c>
      <c r="H86" s="3" t="s">
        <v>43</v>
      </c>
      <c r="I86" s="3">
        <v>2025</v>
      </c>
      <c r="J86" s="3" t="str">
        <f>CONCATENATE("54820219118")</f>
        <v>54820219118</v>
      </c>
      <c r="K86" s="3" t="s">
        <v>33</v>
      </c>
      <c r="L86" s="3"/>
      <c r="M86" s="3" t="s">
        <v>34</v>
      </c>
      <c r="N86" s="3" t="str">
        <f>CONCATENATE("GRRDGI81T16B352E")</f>
        <v>GRRDGI81T16B352E</v>
      </c>
      <c r="O86" s="3" t="s">
        <v>168</v>
      </c>
      <c r="P86" s="3" t="s">
        <v>36</v>
      </c>
      <c r="Q86" s="3"/>
      <c r="R86" s="4">
        <v>46011</v>
      </c>
      <c r="S86" s="3" t="s">
        <v>37</v>
      </c>
      <c r="T86" s="3" t="s">
        <v>38</v>
      </c>
      <c r="U86" s="3" t="s">
        <v>39</v>
      </c>
      <c r="V86" s="5">
        <v>1568.03</v>
      </c>
      <c r="W86" s="3">
        <v>666.41</v>
      </c>
      <c r="X86" s="3">
        <v>631.13</v>
      </c>
      <c r="Y86" s="3">
        <v>270.49</v>
      </c>
    </row>
    <row r="87" spans="1:25" ht="36.75" x14ac:dyDescent="0.25">
      <c r="A87" s="3" t="s">
        <v>26</v>
      </c>
      <c r="B87" s="3" t="s">
        <v>27</v>
      </c>
      <c r="C87" s="3" t="s">
        <v>28</v>
      </c>
      <c r="D87" s="3" t="s">
        <v>29</v>
      </c>
      <c r="E87" s="3" t="s">
        <v>79</v>
      </c>
      <c r="F87" s="3" t="s">
        <v>31</v>
      </c>
      <c r="G87" s="3" t="s">
        <v>79</v>
      </c>
      <c r="H87" s="3" t="s">
        <v>32</v>
      </c>
      <c r="I87" s="3">
        <v>2025</v>
      </c>
      <c r="J87" s="3" t="str">
        <f>CONCATENATE("54820416789")</f>
        <v>54820416789</v>
      </c>
      <c r="K87" s="3" t="s">
        <v>33</v>
      </c>
      <c r="L87" s="3"/>
      <c r="M87" s="3" t="s">
        <v>34</v>
      </c>
      <c r="N87" s="3" t="str">
        <f>CONCATENATE("01761610433")</f>
        <v>01761610433</v>
      </c>
      <c r="O87" s="3" t="s">
        <v>169</v>
      </c>
      <c r="P87" s="3" t="s">
        <v>36</v>
      </c>
      <c r="Q87" s="3"/>
      <c r="R87" s="4">
        <v>46011</v>
      </c>
      <c r="S87" s="3" t="s">
        <v>37</v>
      </c>
      <c r="T87" s="3" t="s">
        <v>38</v>
      </c>
      <c r="U87" s="3" t="s">
        <v>39</v>
      </c>
      <c r="V87" s="5">
        <v>4122.01</v>
      </c>
      <c r="W87" s="5">
        <v>1751.85</v>
      </c>
      <c r="X87" s="5">
        <v>1659.11</v>
      </c>
      <c r="Y87" s="3">
        <v>711.05</v>
      </c>
    </row>
    <row r="88" spans="1:25" ht="72.75" x14ac:dyDescent="0.25">
      <c r="A88" s="3" t="s">
        <v>26</v>
      </c>
      <c r="B88" s="3" t="s">
        <v>27</v>
      </c>
      <c r="C88" s="3" t="s">
        <v>28</v>
      </c>
      <c r="D88" s="3" t="s">
        <v>40</v>
      </c>
      <c r="E88" s="3" t="s">
        <v>112</v>
      </c>
      <c r="F88" s="3" t="s">
        <v>42</v>
      </c>
      <c r="G88" s="3" t="s">
        <v>112</v>
      </c>
      <c r="H88" s="3" t="s">
        <v>43</v>
      </c>
      <c r="I88" s="3">
        <v>2025</v>
      </c>
      <c r="J88" s="3" t="str">
        <f>CONCATENATE("54820025895")</f>
        <v>54820025895</v>
      </c>
      <c r="K88" s="3" t="s">
        <v>33</v>
      </c>
      <c r="L88" s="3"/>
      <c r="M88" s="3" t="s">
        <v>34</v>
      </c>
      <c r="N88" s="3" t="str">
        <f>CONCATENATE("PTRNMR36P54B816O")</f>
        <v>PTRNMR36P54B816O</v>
      </c>
      <c r="O88" s="3" t="s">
        <v>170</v>
      </c>
      <c r="P88" s="3" t="s">
        <v>36</v>
      </c>
      <c r="Q88" s="3"/>
      <c r="R88" s="4">
        <v>46011</v>
      </c>
      <c r="S88" s="3" t="s">
        <v>37</v>
      </c>
      <c r="T88" s="3" t="s">
        <v>38</v>
      </c>
      <c r="U88" s="3" t="s">
        <v>39</v>
      </c>
      <c r="V88" s="3">
        <v>176.49</v>
      </c>
      <c r="W88" s="3">
        <v>75.010000000000005</v>
      </c>
      <c r="X88" s="3">
        <v>71.040000000000006</v>
      </c>
      <c r="Y88" s="3">
        <v>30.44</v>
      </c>
    </row>
    <row r="89" spans="1:25" ht="36.75" x14ac:dyDescent="0.25">
      <c r="A89" s="3" t="s">
        <v>26</v>
      </c>
      <c r="B89" s="3" t="s">
        <v>27</v>
      </c>
      <c r="C89" s="3" t="s">
        <v>28</v>
      </c>
      <c r="D89" s="3" t="s">
        <v>54</v>
      </c>
      <c r="E89" s="3" t="s">
        <v>171</v>
      </c>
      <c r="F89" s="3" t="s">
        <v>56</v>
      </c>
      <c r="G89" s="3" t="s">
        <v>171</v>
      </c>
      <c r="H89" s="3" t="s">
        <v>43</v>
      </c>
      <c r="I89" s="3">
        <v>2025</v>
      </c>
      <c r="J89" s="3" t="str">
        <f>CONCATENATE("54820050893")</f>
        <v>54820050893</v>
      </c>
      <c r="K89" s="3" t="s">
        <v>33</v>
      </c>
      <c r="L89" s="3"/>
      <c r="M89" s="3" t="s">
        <v>34</v>
      </c>
      <c r="N89" s="3" t="str">
        <f>CONCATENATE("02610780419")</f>
        <v>02610780419</v>
      </c>
      <c r="O89" s="3" t="s">
        <v>172</v>
      </c>
      <c r="P89" s="3" t="s">
        <v>36</v>
      </c>
      <c r="Q89" s="3"/>
      <c r="R89" s="4">
        <v>46011</v>
      </c>
      <c r="S89" s="3" t="s">
        <v>37</v>
      </c>
      <c r="T89" s="3" t="s">
        <v>38</v>
      </c>
      <c r="U89" s="3" t="s">
        <v>39</v>
      </c>
      <c r="V89" s="5">
        <v>5321.21</v>
      </c>
      <c r="W89" s="5">
        <v>2261.5100000000002</v>
      </c>
      <c r="X89" s="5">
        <v>2141.79</v>
      </c>
      <c r="Y89" s="3">
        <v>917.91</v>
      </c>
    </row>
    <row r="90" spans="1:25" ht="36.75" x14ac:dyDescent="0.25">
      <c r="A90" s="3" t="s">
        <v>26</v>
      </c>
      <c r="B90" s="3" t="s">
        <v>27</v>
      </c>
      <c r="C90" s="3" t="s">
        <v>28</v>
      </c>
      <c r="D90" s="3" t="s">
        <v>40</v>
      </c>
      <c r="E90" s="3" t="s">
        <v>58</v>
      </c>
      <c r="F90" s="3" t="s">
        <v>42</v>
      </c>
      <c r="G90" s="3" t="s">
        <v>58</v>
      </c>
      <c r="H90" s="3" t="s">
        <v>43</v>
      </c>
      <c r="I90" s="3">
        <v>2025</v>
      </c>
      <c r="J90" s="3" t="str">
        <f>CONCATENATE("54820114970")</f>
        <v>54820114970</v>
      </c>
      <c r="K90" s="3" t="s">
        <v>33</v>
      </c>
      <c r="L90" s="3"/>
      <c r="M90" s="3" t="s">
        <v>34</v>
      </c>
      <c r="N90" s="3" t="str">
        <f>CONCATENATE("01192780417")</f>
        <v>01192780417</v>
      </c>
      <c r="O90" s="3" t="s">
        <v>173</v>
      </c>
      <c r="P90" s="3" t="s">
        <v>36</v>
      </c>
      <c r="Q90" s="3"/>
      <c r="R90" s="4">
        <v>46011</v>
      </c>
      <c r="S90" s="3" t="s">
        <v>37</v>
      </c>
      <c r="T90" s="3" t="s">
        <v>38</v>
      </c>
      <c r="U90" s="3" t="s">
        <v>39</v>
      </c>
      <c r="V90" s="5">
        <v>5997.34</v>
      </c>
      <c r="W90" s="5">
        <v>2548.87</v>
      </c>
      <c r="X90" s="5">
        <v>2413.9299999999998</v>
      </c>
      <c r="Y90" s="5">
        <v>1034.54</v>
      </c>
    </row>
    <row r="91" spans="1:25" ht="60.75" x14ac:dyDescent="0.25">
      <c r="A91" s="3" t="s">
        <v>26</v>
      </c>
      <c r="B91" s="3" t="s">
        <v>27</v>
      </c>
      <c r="C91" s="3" t="s">
        <v>28</v>
      </c>
      <c r="D91" s="3" t="s">
        <v>47</v>
      </c>
      <c r="E91" s="3" t="s">
        <v>174</v>
      </c>
      <c r="F91" s="3" t="s">
        <v>49</v>
      </c>
      <c r="G91" s="3" t="s">
        <v>174</v>
      </c>
      <c r="H91" s="3" t="s">
        <v>43</v>
      </c>
      <c r="I91" s="3">
        <v>2025</v>
      </c>
      <c r="J91" s="3" t="str">
        <f>CONCATENATE("54820178496")</f>
        <v>54820178496</v>
      </c>
      <c r="K91" s="3" t="s">
        <v>33</v>
      </c>
      <c r="L91" s="3"/>
      <c r="M91" s="3" t="s">
        <v>34</v>
      </c>
      <c r="N91" s="3" t="str">
        <f>CONCATENATE("MTTLVI29S65D007Q")</f>
        <v>MTTLVI29S65D007Q</v>
      </c>
      <c r="O91" s="3" t="s">
        <v>175</v>
      </c>
      <c r="P91" s="3" t="s">
        <v>36</v>
      </c>
      <c r="Q91" s="3"/>
      <c r="R91" s="4">
        <v>46011</v>
      </c>
      <c r="S91" s="3" t="s">
        <v>37</v>
      </c>
      <c r="T91" s="3" t="s">
        <v>38</v>
      </c>
      <c r="U91" s="3" t="s">
        <v>39</v>
      </c>
      <c r="V91" s="3">
        <v>547.91</v>
      </c>
      <c r="W91" s="3">
        <v>232.86</v>
      </c>
      <c r="X91" s="3">
        <v>220.53</v>
      </c>
      <c r="Y91" s="3">
        <v>94.52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40</v>
      </c>
      <c r="E92" s="3" t="s">
        <v>60</v>
      </c>
      <c r="F92" s="3" t="s">
        <v>42</v>
      </c>
      <c r="G92" s="3" t="s">
        <v>60</v>
      </c>
      <c r="H92" s="3" t="s">
        <v>32</v>
      </c>
      <c r="I92" s="3">
        <v>2025</v>
      </c>
      <c r="J92" s="3" t="str">
        <f>CONCATENATE("54820161831")</f>
        <v>54820161831</v>
      </c>
      <c r="K92" s="3" t="s">
        <v>33</v>
      </c>
      <c r="L92" s="3"/>
      <c r="M92" s="3" t="s">
        <v>34</v>
      </c>
      <c r="N92" s="3" t="str">
        <f>CONCATENATE("CPTGRG77S13B474U")</f>
        <v>CPTGRG77S13B474U</v>
      </c>
      <c r="O92" s="3" t="s">
        <v>176</v>
      </c>
      <c r="P92" s="3" t="s">
        <v>36</v>
      </c>
      <c r="Q92" s="3"/>
      <c r="R92" s="4">
        <v>46011</v>
      </c>
      <c r="S92" s="3" t="s">
        <v>37</v>
      </c>
      <c r="T92" s="3" t="s">
        <v>38</v>
      </c>
      <c r="U92" s="3" t="s">
        <v>39</v>
      </c>
      <c r="V92" s="5">
        <v>1487.9</v>
      </c>
      <c r="W92" s="3">
        <v>632.36</v>
      </c>
      <c r="X92" s="3">
        <v>598.88</v>
      </c>
      <c r="Y92" s="3">
        <v>256.66000000000003</v>
      </c>
    </row>
    <row r="93" spans="1:25" ht="72.75" x14ac:dyDescent="0.25">
      <c r="A93" s="3" t="s">
        <v>26</v>
      </c>
      <c r="B93" s="3" t="s">
        <v>27</v>
      </c>
      <c r="C93" s="3" t="s">
        <v>28</v>
      </c>
      <c r="D93" s="3" t="s">
        <v>47</v>
      </c>
      <c r="E93" s="3" t="s">
        <v>62</v>
      </c>
      <c r="F93" s="3" t="s">
        <v>49</v>
      </c>
      <c r="G93" s="3" t="s">
        <v>62</v>
      </c>
      <c r="H93" s="3" t="s">
        <v>63</v>
      </c>
      <c r="I93" s="3">
        <v>2025</v>
      </c>
      <c r="J93" s="3" t="str">
        <f>CONCATENATE("54820246285")</f>
        <v>54820246285</v>
      </c>
      <c r="K93" s="3" t="s">
        <v>33</v>
      </c>
      <c r="L93" s="3"/>
      <c r="M93" s="3" t="s">
        <v>34</v>
      </c>
      <c r="N93" s="3" t="str">
        <f>CONCATENATE("GMBCLD82L53D451M")</f>
        <v>GMBCLD82L53D451M</v>
      </c>
      <c r="O93" s="3" t="s">
        <v>177</v>
      </c>
      <c r="P93" s="3" t="s">
        <v>36</v>
      </c>
      <c r="Q93" s="3"/>
      <c r="R93" s="4">
        <v>46011</v>
      </c>
      <c r="S93" s="3" t="s">
        <v>37</v>
      </c>
      <c r="T93" s="3" t="s">
        <v>38</v>
      </c>
      <c r="U93" s="3" t="s">
        <v>39</v>
      </c>
      <c r="V93" s="5">
        <v>1235.74</v>
      </c>
      <c r="W93" s="3">
        <v>525.19000000000005</v>
      </c>
      <c r="X93" s="3">
        <v>497.39</v>
      </c>
      <c r="Y93" s="3">
        <v>213.16</v>
      </c>
    </row>
    <row r="94" spans="1:25" ht="60.75" x14ac:dyDescent="0.25">
      <c r="A94" s="3" t="s">
        <v>26</v>
      </c>
      <c r="B94" s="3" t="s">
        <v>27</v>
      </c>
      <c r="C94" s="3" t="s">
        <v>28</v>
      </c>
      <c r="D94" s="3" t="s">
        <v>74</v>
      </c>
      <c r="E94" s="3" t="s">
        <v>130</v>
      </c>
      <c r="F94" s="3" t="s">
        <v>74</v>
      </c>
      <c r="G94" s="3" t="s">
        <v>130</v>
      </c>
      <c r="H94" s="3" t="s">
        <v>85</v>
      </c>
      <c r="I94" s="3">
        <v>2025</v>
      </c>
      <c r="J94" s="3" t="str">
        <f>CONCATENATE("54820283346")</f>
        <v>54820283346</v>
      </c>
      <c r="K94" s="3" t="s">
        <v>33</v>
      </c>
      <c r="L94" s="3"/>
      <c r="M94" s="3" t="s">
        <v>34</v>
      </c>
      <c r="N94" s="3" t="str">
        <f>CONCATENATE("BRNSMN70R54C935I")</f>
        <v>BRNSMN70R54C935I</v>
      </c>
      <c r="O94" s="3" t="s">
        <v>178</v>
      </c>
      <c r="P94" s="3" t="s">
        <v>36</v>
      </c>
      <c r="Q94" s="3"/>
      <c r="R94" s="4">
        <v>46011</v>
      </c>
      <c r="S94" s="3" t="s">
        <v>37</v>
      </c>
      <c r="T94" s="3" t="s">
        <v>38</v>
      </c>
      <c r="U94" s="3" t="s">
        <v>39</v>
      </c>
      <c r="V94" s="5">
        <v>1809.19</v>
      </c>
      <c r="W94" s="3">
        <v>768.91</v>
      </c>
      <c r="X94" s="3">
        <v>728.2</v>
      </c>
      <c r="Y94" s="3">
        <v>312.08</v>
      </c>
    </row>
    <row r="95" spans="1:25" ht="60.75" x14ac:dyDescent="0.25">
      <c r="A95" s="3" t="s">
        <v>26</v>
      </c>
      <c r="B95" s="3" t="s">
        <v>27</v>
      </c>
      <c r="C95" s="3" t="s">
        <v>28</v>
      </c>
      <c r="D95" s="3" t="s">
        <v>40</v>
      </c>
      <c r="E95" s="3" t="s">
        <v>179</v>
      </c>
      <c r="F95" s="3" t="s">
        <v>42</v>
      </c>
      <c r="G95" s="3" t="s">
        <v>179</v>
      </c>
      <c r="H95" s="3" t="s">
        <v>32</v>
      </c>
      <c r="I95" s="3">
        <v>2025</v>
      </c>
      <c r="J95" s="3" t="str">
        <f>CONCATENATE("54820190384")</f>
        <v>54820190384</v>
      </c>
      <c r="K95" s="3" t="s">
        <v>33</v>
      </c>
      <c r="L95" s="3"/>
      <c r="M95" s="3" t="s">
        <v>34</v>
      </c>
      <c r="N95" s="3" t="str">
        <f>CONCATENATE("VLNNCL85B26I156J")</f>
        <v>VLNNCL85B26I156J</v>
      </c>
      <c r="O95" s="3" t="s">
        <v>180</v>
      </c>
      <c r="P95" s="3" t="s">
        <v>36</v>
      </c>
      <c r="Q95" s="3"/>
      <c r="R95" s="4">
        <v>46011</v>
      </c>
      <c r="S95" s="3" t="s">
        <v>37</v>
      </c>
      <c r="T95" s="3" t="s">
        <v>38</v>
      </c>
      <c r="U95" s="3" t="s">
        <v>39</v>
      </c>
      <c r="V95" s="3">
        <v>49.68</v>
      </c>
      <c r="W95" s="3">
        <v>21.11</v>
      </c>
      <c r="X95" s="3">
        <v>20</v>
      </c>
      <c r="Y95" s="3">
        <v>8.57</v>
      </c>
    </row>
    <row r="96" spans="1:25" ht="60.75" x14ac:dyDescent="0.25">
      <c r="A96" s="3" t="s">
        <v>26</v>
      </c>
      <c r="B96" s="3" t="s">
        <v>27</v>
      </c>
      <c r="C96" s="3" t="s">
        <v>28</v>
      </c>
      <c r="D96" s="3" t="s">
        <v>40</v>
      </c>
      <c r="E96" s="3" t="s">
        <v>65</v>
      </c>
      <c r="F96" s="3" t="s">
        <v>42</v>
      </c>
      <c r="G96" s="3" t="s">
        <v>65</v>
      </c>
      <c r="H96" s="3" t="s">
        <v>32</v>
      </c>
      <c r="I96" s="3">
        <v>2025</v>
      </c>
      <c r="J96" s="3" t="str">
        <f>CONCATENATE("54820021399")</f>
        <v>54820021399</v>
      </c>
      <c r="K96" s="3" t="s">
        <v>33</v>
      </c>
      <c r="L96" s="3"/>
      <c r="M96" s="3" t="s">
        <v>34</v>
      </c>
      <c r="N96" s="3" t="str">
        <f>CONCATENATE("CLCFNC80T26I436D")</f>
        <v>CLCFNC80T26I436D</v>
      </c>
      <c r="O96" s="3" t="s">
        <v>181</v>
      </c>
      <c r="P96" s="3" t="s">
        <v>36</v>
      </c>
      <c r="Q96" s="3"/>
      <c r="R96" s="4">
        <v>46011</v>
      </c>
      <c r="S96" s="3" t="s">
        <v>37</v>
      </c>
      <c r="T96" s="3" t="s">
        <v>38</v>
      </c>
      <c r="U96" s="3" t="s">
        <v>39</v>
      </c>
      <c r="V96" s="5">
        <v>5119.75</v>
      </c>
      <c r="W96" s="5">
        <v>2175.89</v>
      </c>
      <c r="X96" s="5">
        <v>2060.6999999999998</v>
      </c>
      <c r="Y96" s="3">
        <v>883.16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40</v>
      </c>
      <c r="E97" s="3" t="s">
        <v>146</v>
      </c>
      <c r="F97" s="3" t="s">
        <v>42</v>
      </c>
      <c r="G97" s="3" t="s">
        <v>146</v>
      </c>
      <c r="H97" s="3" t="s">
        <v>63</v>
      </c>
      <c r="I97" s="3">
        <v>2025</v>
      </c>
      <c r="J97" s="3" t="str">
        <f>CONCATENATE("54820018486")</f>
        <v>54820018486</v>
      </c>
      <c r="K97" s="3" t="s">
        <v>33</v>
      </c>
      <c r="L97" s="3"/>
      <c r="M97" s="3" t="s">
        <v>34</v>
      </c>
      <c r="N97" s="3" t="str">
        <f>CONCATENATE("ZPPRCR90T09A271S")</f>
        <v>ZPPRCR90T09A271S</v>
      </c>
      <c r="O97" s="3" t="s">
        <v>182</v>
      </c>
      <c r="P97" s="3" t="s">
        <v>36</v>
      </c>
      <c r="Q97" s="3"/>
      <c r="R97" s="4">
        <v>46011</v>
      </c>
      <c r="S97" s="3" t="s">
        <v>37</v>
      </c>
      <c r="T97" s="3" t="s">
        <v>38</v>
      </c>
      <c r="U97" s="3" t="s">
        <v>39</v>
      </c>
      <c r="V97" s="5">
        <v>1442.24</v>
      </c>
      <c r="W97" s="3">
        <v>612.95000000000005</v>
      </c>
      <c r="X97" s="3">
        <v>580.5</v>
      </c>
      <c r="Y97" s="3">
        <v>248.79</v>
      </c>
    </row>
    <row r="98" spans="1:25" ht="60.75" x14ac:dyDescent="0.25">
      <c r="A98" s="3" t="s">
        <v>26</v>
      </c>
      <c r="B98" s="3" t="s">
        <v>27</v>
      </c>
      <c r="C98" s="3" t="s">
        <v>28</v>
      </c>
      <c r="D98" s="3" t="s">
        <v>47</v>
      </c>
      <c r="E98" s="3" t="s">
        <v>183</v>
      </c>
      <c r="F98" s="3" t="s">
        <v>49</v>
      </c>
      <c r="G98" s="3" t="s">
        <v>183</v>
      </c>
      <c r="H98" s="3" t="s">
        <v>63</v>
      </c>
      <c r="I98" s="3">
        <v>2025</v>
      </c>
      <c r="J98" s="3" t="str">
        <f>CONCATENATE("54820080031")</f>
        <v>54820080031</v>
      </c>
      <c r="K98" s="3" t="s">
        <v>33</v>
      </c>
      <c r="L98" s="3"/>
      <c r="M98" s="3" t="s">
        <v>34</v>
      </c>
      <c r="N98" s="3" t="str">
        <f>CONCATENATE("BLDMLN73L18E388Z")</f>
        <v>BLDMLN73L18E388Z</v>
      </c>
      <c r="O98" s="3" t="s">
        <v>184</v>
      </c>
      <c r="P98" s="3" t="s">
        <v>36</v>
      </c>
      <c r="Q98" s="3"/>
      <c r="R98" s="4">
        <v>46011</v>
      </c>
      <c r="S98" s="3" t="s">
        <v>37</v>
      </c>
      <c r="T98" s="3" t="s">
        <v>38</v>
      </c>
      <c r="U98" s="3" t="s">
        <v>39</v>
      </c>
      <c r="V98" s="3">
        <v>80.11</v>
      </c>
      <c r="W98" s="3">
        <v>34.049999999999997</v>
      </c>
      <c r="X98" s="3">
        <v>32.24</v>
      </c>
      <c r="Y98" s="3">
        <v>13.82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29</v>
      </c>
      <c r="E99" s="3" t="s">
        <v>30</v>
      </c>
      <c r="F99" s="3" t="s">
        <v>31</v>
      </c>
      <c r="G99" s="3" t="s">
        <v>30</v>
      </c>
      <c r="H99" s="3" t="s">
        <v>32</v>
      </c>
      <c r="I99" s="3">
        <v>2025</v>
      </c>
      <c r="J99" s="3" t="str">
        <f>CONCATENATE("54820022181")</f>
        <v>54820022181</v>
      </c>
      <c r="K99" s="3" t="s">
        <v>33</v>
      </c>
      <c r="L99" s="3"/>
      <c r="M99" s="3" t="s">
        <v>34</v>
      </c>
      <c r="N99" s="3" t="str">
        <f>CONCATENATE("MSCMLN89C13L117K")</f>
        <v>MSCMLN89C13L117K</v>
      </c>
      <c r="O99" s="3" t="s">
        <v>185</v>
      </c>
      <c r="P99" s="3" t="s">
        <v>36</v>
      </c>
      <c r="Q99" s="3"/>
      <c r="R99" s="4">
        <v>46011</v>
      </c>
      <c r="S99" s="3" t="s">
        <v>37</v>
      </c>
      <c r="T99" s="3" t="s">
        <v>38</v>
      </c>
      <c r="U99" s="3" t="s">
        <v>39</v>
      </c>
      <c r="V99" s="5">
        <v>6234.15</v>
      </c>
      <c r="W99" s="5">
        <v>2649.51</v>
      </c>
      <c r="X99" s="5">
        <v>2509.25</v>
      </c>
      <c r="Y99" s="5">
        <v>1075.3900000000001</v>
      </c>
    </row>
    <row r="100" spans="1:25" ht="36.75" x14ac:dyDescent="0.25">
      <c r="A100" s="3" t="s">
        <v>26</v>
      </c>
      <c r="B100" s="3" t="s">
        <v>27</v>
      </c>
      <c r="C100" s="3" t="s">
        <v>28</v>
      </c>
      <c r="D100" s="3" t="s">
        <v>29</v>
      </c>
      <c r="E100" s="3" t="s">
        <v>77</v>
      </c>
      <c r="F100" s="3" t="s">
        <v>31</v>
      </c>
      <c r="G100" s="3" t="s">
        <v>77</v>
      </c>
      <c r="H100" s="3" t="s">
        <v>32</v>
      </c>
      <c r="I100" s="3">
        <v>2025</v>
      </c>
      <c r="J100" s="3" t="str">
        <f>CONCATENATE("54820078092")</f>
        <v>54820078092</v>
      </c>
      <c r="K100" s="3" t="s">
        <v>33</v>
      </c>
      <c r="L100" s="3"/>
      <c r="M100" s="3" t="s">
        <v>34</v>
      </c>
      <c r="N100" s="3" t="str">
        <f>CONCATENATE("01345240434")</f>
        <v>01345240434</v>
      </c>
      <c r="O100" s="3" t="s">
        <v>186</v>
      </c>
      <c r="P100" s="3" t="s">
        <v>36</v>
      </c>
      <c r="Q100" s="3"/>
      <c r="R100" s="4">
        <v>46011</v>
      </c>
      <c r="S100" s="3" t="s">
        <v>37</v>
      </c>
      <c r="T100" s="3" t="s">
        <v>38</v>
      </c>
      <c r="U100" s="3" t="s">
        <v>39</v>
      </c>
      <c r="V100" s="3">
        <v>873.12</v>
      </c>
      <c r="W100" s="3">
        <v>371.08</v>
      </c>
      <c r="X100" s="3">
        <v>351.43</v>
      </c>
      <c r="Y100" s="3">
        <v>150.61000000000001</v>
      </c>
    </row>
    <row r="101" spans="1:25" ht="36.75" x14ac:dyDescent="0.25">
      <c r="A101" s="3" t="s">
        <v>26</v>
      </c>
      <c r="B101" s="3" t="s">
        <v>27</v>
      </c>
      <c r="C101" s="3" t="s">
        <v>28</v>
      </c>
      <c r="D101" s="3" t="s">
        <v>29</v>
      </c>
      <c r="E101" s="3" t="s">
        <v>68</v>
      </c>
      <c r="F101" s="3" t="s">
        <v>31</v>
      </c>
      <c r="G101" s="3" t="s">
        <v>68</v>
      </c>
      <c r="H101" s="3" t="s">
        <v>85</v>
      </c>
      <c r="I101" s="3">
        <v>2025</v>
      </c>
      <c r="J101" s="3" t="str">
        <f>CONCATENATE("54820269808")</f>
        <v>54820269808</v>
      </c>
      <c r="K101" s="3" t="s">
        <v>33</v>
      </c>
      <c r="L101" s="3"/>
      <c r="M101" s="3" t="s">
        <v>34</v>
      </c>
      <c r="N101" s="3" t="str">
        <f>CONCATENATE("02077180434")</f>
        <v>02077180434</v>
      </c>
      <c r="O101" s="3" t="s">
        <v>187</v>
      </c>
      <c r="P101" s="3" t="s">
        <v>36</v>
      </c>
      <c r="Q101" s="3"/>
      <c r="R101" s="4">
        <v>46011</v>
      </c>
      <c r="S101" s="3" t="s">
        <v>37</v>
      </c>
      <c r="T101" s="3" t="s">
        <v>38</v>
      </c>
      <c r="U101" s="3" t="s">
        <v>39</v>
      </c>
      <c r="V101" s="5">
        <v>8504.3799999999992</v>
      </c>
      <c r="W101" s="5">
        <v>3614.36</v>
      </c>
      <c r="X101" s="5">
        <v>3423.01</v>
      </c>
      <c r="Y101" s="5">
        <v>1467.01</v>
      </c>
    </row>
    <row r="102" spans="1:25" ht="36.75" x14ac:dyDescent="0.25">
      <c r="A102" s="3" t="s">
        <v>26</v>
      </c>
      <c r="B102" s="3" t="s">
        <v>27</v>
      </c>
      <c r="C102" s="3" t="s">
        <v>28</v>
      </c>
      <c r="D102" s="3" t="s">
        <v>54</v>
      </c>
      <c r="E102" s="3" t="s">
        <v>72</v>
      </c>
      <c r="F102" s="3" t="s">
        <v>56</v>
      </c>
      <c r="G102" s="3" t="s">
        <v>72</v>
      </c>
      <c r="H102" s="3" t="s">
        <v>43</v>
      </c>
      <c r="I102" s="3">
        <v>2025</v>
      </c>
      <c r="J102" s="3" t="str">
        <f>CONCATENATE("54820020227")</f>
        <v>54820020227</v>
      </c>
      <c r="K102" s="3" t="s">
        <v>33</v>
      </c>
      <c r="L102" s="3"/>
      <c r="M102" s="3" t="s">
        <v>34</v>
      </c>
      <c r="N102" s="3" t="str">
        <f>CONCATENATE("02229300419")</f>
        <v>02229300419</v>
      </c>
      <c r="O102" s="3" t="s">
        <v>188</v>
      </c>
      <c r="P102" s="3" t="s">
        <v>36</v>
      </c>
      <c r="Q102" s="3"/>
      <c r="R102" s="4">
        <v>46011</v>
      </c>
      <c r="S102" s="3" t="s">
        <v>37</v>
      </c>
      <c r="T102" s="3" t="s">
        <v>38</v>
      </c>
      <c r="U102" s="3" t="s">
        <v>39</v>
      </c>
      <c r="V102" s="5">
        <v>1224.29</v>
      </c>
      <c r="W102" s="3">
        <v>520.32000000000005</v>
      </c>
      <c r="X102" s="3">
        <v>492.78</v>
      </c>
      <c r="Y102" s="3">
        <v>211.19</v>
      </c>
    </row>
    <row r="103" spans="1:25" ht="60.75" x14ac:dyDescent="0.25">
      <c r="A103" s="3" t="s">
        <v>26</v>
      </c>
      <c r="B103" s="3" t="s">
        <v>27</v>
      </c>
      <c r="C103" s="3" t="s">
        <v>28</v>
      </c>
      <c r="D103" s="3" t="s">
        <v>40</v>
      </c>
      <c r="E103" s="3" t="s">
        <v>107</v>
      </c>
      <c r="F103" s="3" t="s">
        <v>42</v>
      </c>
      <c r="G103" s="3" t="s">
        <v>107</v>
      </c>
      <c r="H103" s="3" t="s">
        <v>85</v>
      </c>
      <c r="I103" s="3">
        <v>2025</v>
      </c>
      <c r="J103" s="3" t="str">
        <f>CONCATENATE("54820054804")</f>
        <v>54820054804</v>
      </c>
      <c r="K103" s="3" t="s">
        <v>33</v>
      </c>
      <c r="L103" s="3"/>
      <c r="M103" s="3" t="s">
        <v>34</v>
      </c>
      <c r="N103" s="3" t="str">
        <f>CONCATENATE("BNCSVR53R13L295D")</f>
        <v>BNCSVR53R13L295D</v>
      </c>
      <c r="O103" s="3" t="s">
        <v>189</v>
      </c>
      <c r="P103" s="3" t="s">
        <v>36</v>
      </c>
      <c r="Q103" s="3"/>
      <c r="R103" s="4">
        <v>46011</v>
      </c>
      <c r="S103" s="3" t="s">
        <v>37</v>
      </c>
      <c r="T103" s="3" t="s">
        <v>38</v>
      </c>
      <c r="U103" s="3" t="s">
        <v>39</v>
      </c>
      <c r="V103" s="3">
        <v>784.01</v>
      </c>
      <c r="W103" s="3">
        <v>333.2</v>
      </c>
      <c r="X103" s="3">
        <v>315.56</v>
      </c>
      <c r="Y103" s="3">
        <v>135.25</v>
      </c>
    </row>
    <row r="104" spans="1:25" ht="36.75" x14ac:dyDescent="0.25">
      <c r="A104" s="3" t="s">
        <v>26</v>
      </c>
      <c r="B104" s="3" t="s">
        <v>27</v>
      </c>
      <c r="C104" s="3" t="s">
        <v>28</v>
      </c>
      <c r="D104" s="3" t="s">
        <v>54</v>
      </c>
      <c r="E104" s="3" t="s">
        <v>55</v>
      </c>
      <c r="F104" s="3" t="s">
        <v>56</v>
      </c>
      <c r="G104" s="3" t="s">
        <v>55</v>
      </c>
      <c r="H104" s="3" t="s">
        <v>43</v>
      </c>
      <c r="I104" s="3">
        <v>2025</v>
      </c>
      <c r="J104" s="3" t="str">
        <f>CONCATENATE("54820277926")</f>
        <v>54820277926</v>
      </c>
      <c r="K104" s="3" t="s">
        <v>33</v>
      </c>
      <c r="L104" s="3"/>
      <c r="M104" s="3" t="s">
        <v>34</v>
      </c>
      <c r="N104" s="3" t="str">
        <f>CONCATENATE("02585740414")</f>
        <v>02585740414</v>
      </c>
      <c r="O104" s="3" t="s">
        <v>190</v>
      </c>
      <c r="P104" s="3" t="s">
        <v>36</v>
      </c>
      <c r="Q104" s="3"/>
      <c r="R104" s="4">
        <v>46011</v>
      </c>
      <c r="S104" s="3" t="s">
        <v>37</v>
      </c>
      <c r="T104" s="3" t="s">
        <v>38</v>
      </c>
      <c r="U104" s="3" t="s">
        <v>39</v>
      </c>
      <c r="V104" s="5">
        <v>7921.13</v>
      </c>
      <c r="W104" s="5">
        <v>3366.48</v>
      </c>
      <c r="X104" s="5">
        <v>3188.25</v>
      </c>
      <c r="Y104" s="5">
        <v>1366.4</v>
      </c>
    </row>
    <row r="105" spans="1:25" ht="36.75" x14ac:dyDescent="0.25">
      <c r="A105" s="3" t="s">
        <v>26</v>
      </c>
      <c r="B105" s="3" t="s">
        <v>27</v>
      </c>
      <c r="C105" s="3" t="s">
        <v>28</v>
      </c>
      <c r="D105" s="3" t="s">
        <v>29</v>
      </c>
      <c r="E105" s="3" t="s">
        <v>77</v>
      </c>
      <c r="F105" s="3" t="s">
        <v>31</v>
      </c>
      <c r="G105" s="3" t="s">
        <v>77</v>
      </c>
      <c r="H105" s="3" t="s">
        <v>32</v>
      </c>
      <c r="I105" s="3">
        <v>2025</v>
      </c>
      <c r="J105" s="3" t="str">
        <f>CONCATENATE("54820113410")</f>
        <v>54820113410</v>
      </c>
      <c r="K105" s="3" t="s">
        <v>33</v>
      </c>
      <c r="L105" s="3"/>
      <c r="M105" s="3" t="s">
        <v>34</v>
      </c>
      <c r="N105" s="3" t="str">
        <f>CONCATENATE("00275150431")</f>
        <v>00275150431</v>
      </c>
      <c r="O105" s="3" t="s">
        <v>191</v>
      </c>
      <c r="P105" s="3" t="s">
        <v>36</v>
      </c>
      <c r="Q105" s="3"/>
      <c r="R105" s="4">
        <v>46011</v>
      </c>
      <c r="S105" s="3" t="s">
        <v>37</v>
      </c>
      <c r="T105" s="3" t="s">
        <v>38</v>
      </c>
      <c r="U105" s="3" t="s">
        <v>39</v>
      </c>
      <c r="V105" s="3">
        <v>154.33000000000001</v>
      </c>
      <c r="W105" s="3">
        <v>65.59</v>
      </c>
      <c r="X105" s="3">
        <v>62.12</v>
      </c>
      <c r="Y105" s="3">
        <v>26.62</v>
      </c>
    </row>
    <row r="106" spans="1:25" ht="36.75" x14ac:dyDescent="0.25">
      <c r="A106" s="3" t="s">
        <v>26</v>
      </c>
      <c r="B106" s="3" t="s">
        <v>27</v>
      </c>
      <c r="C106" s="3" t="s">
        <v>28</v>
      </c>
      <c r="D106" s="3" t="s">
        <v>47</v>
      </c>
      <c r="E106" s="3" t="s">
        <v>62</v>
      </c>
      <c r="F106" s="3" t="s">
        <v>49</v>
      </c>
      <c r="G106" s="3" t="s">
        <v>62</v>
      </c>
      <c r="H106" s="3" t="s">
        <v>32</v>
      </c>
      <c r="I106" s="3">
        <v>2025</v>
      </c>
      <c r="J106" s="3" t="str">
        <f>CONCATENATE("54820153796")</f>
        <v>54820153796</v>
      </c>
      <c r="K106" s="3" t="s">
        <v>33</v>
      </c>
      <c r="L106" s="3"/>
      <c r="M106" s="3" t="s">
        <v>34</v>
      </c>
      <c r="N106" s="3" t="str">
        <f>CONCATENATE("02182330429")</f>
        <v>02182330429</v>
      </c>
      <c r="O106" s="3" t="s">
        <v>192</v>
      </c>
      <c r="P106" s="3" t="s">
        <v>36</v>
      </c>
      <c r="Q106" s="3"/>
      <c r="R106" s="4">
        <v>46011</v>
      </c>
      <c r="S106" s="3" t="s">
        <v>37</v>
      </c>
      <c r="T106" s="3" t="s">
        <v>38</v>
      </c>
      <c r="U106" s="3" t="s">
        <v>39</v>
      </c>
      <c r="V106" s="3">
        <v>414.22</v>
      </c>
      <c r="W106" s="3">
        <v>176.04</v>
      </c>
      <c r="X106" s="3">
        <v>166.72</v>
      </c>
      <c r="Y106" s="3">
        <v>71.459999999999994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40</v>
      </c>
      <c r="E107" s="3" t="s">
        <v>58</v>
      </c>
      <c r="F107" s="3" t="s">
        <v>42</v>
      </c>
      <c r="G107" s="3" t="s">
        <v>58</v>
      </c>
      <c r="H107" s="3" t="s">
        <v>43</v>
      </c>
      <c r="I107" s="3">
        <v>2025</v>
      </c>
      <c r="J107" s="3" t="str">
        <f>CONCATENATE("54820030473")</f>
        <v>54820030473</v>
      </c>
      <c r="K107" s="3" t="s">
        <v>33</v>
      </c>
      <c r="L107" s="3"/>
      <c r="M107" s="3" t="s">
        <v>34</v>
      </c>
      <c r="N107" s="3" t="str">
        <f>CONCATENATE("FSCFRC91S13L500O")</f>
        <v>FSCFRC91S13L500O</v>
      </c>
      <c r="O107" s="3" t="s">
        <v>193</v>
      </c>
      <c r="P107" s="3" t="s">
        <v>36</v>
      </c>
      <c r="Q107" s="3"/>
      <c r="R107" s="4">
        <v>46011</v>
      </c>
      <c r="S107" s="3" t="s">
        <v>37</v>
      </c>
      <c r="T107" s="3" t="s">
        <v>38</v>
      </c>
      <c r="U107" s="3" t="s">
        <v>39</v>
      </c>
      <c r="V107" s="3">
        <v>509.48</v>
      </c>
      <c r="W107" s="3">
        <v>216.53</v>
      </c>
      <c r="X107" s="3">
        <v>205.07</v>
      </c>
      <c r="Y107" s="3">
        <v>87.88</v>
      </c>
    </row>
    <row r="108" spans="1:25" ht="36.75" x14ac:dyDescent="0.25">
      <c r="A108" s="3" t="s">
        <v>26</v>
      </c>
      <c r="B108" s="3" t="s">
        <v>27</v>
      </c>
      <c r="C108" s="3" t="s">
        <v>28</v>
      </c>
      <c r="D108" s="3" t="s">
        <v>29</v>
      </c>
      <c r="E108" s="3" t="s">
        <v>79</v>
      </c>
      <c r="F108" s="3" t="s">
        <v>31</v>
      </c>
      <c r="G108" s="3" t="s">
        <v>79</v>
      </c>
      <c r="H108" s="3" t="s">
        <v>32</v>
      </c>
      <c r="I108" s="3">
        <v>2025</v>
      </c>
      <c r="J108" s="3" t="str">
        <f>CONCATENATE("54820051255")</f>
        <v>54820051255</v>
      </c>
      <c r="K108" s="3" t="s">
        <v>33</v>
      </c>
      <c r="L108" s="3"/>
      <c r="M108" s="3" t="s">
        <v>34</v>
      </c>
      <c r="N108" s="3" t="str">
        <f>CONCATENATE("01909630434")</f>
        <v>01909630434</v>
      </c>
      <c r="O108" s="3" t="s">
        <v>194</v>
      </c>
      <c r="P108" s="3" t="s">
        <v>36</v>
      </c>
      <c r="Q108" s="3"/>
      <c r="R108" s="4">
        <v>46011</v>
      </c>
      <c r="S108" s="3" t="s">
        <v>37</v>
      </c>
      <c r="T108" s="3" t="s">
        <v>38</v>
      </c>
      <c r="U108" s="3" t="s">
        <v>39</v>
      </c>
      <c r="V108" s="3">
        <v>69.8</v>
      </c>
      <c r="W108" s="3">
        <v>29.67</v>
      </c>
      <c r="X108" s="3">
        <v>28.09</v>
      </c>
      <c r="Y108" s="3">
        <v>12.04</v>
      </c>
    </row>
    <row r="109" spans="1:25" ht="36.75" x14ac:dyDescent="0.25">
      <c r="A109" s="3" t="s">
        <v>26</v>
      </c>
      <c r="B109" s="3" t="s">
        <v>27</v>
      </c>
      <c r="C109" s="3" t="s">
        <v>28</v>
      </c>
      <c r="D109" s="3" t="s">
        <v>29</v>
      </c>
      <c r="E109" s="3" t="s">
        <v>30</v>
      </c>
      <c r="F109" s="3" t="s">
        <v>31</v>
      </c>
      <c r="G109" s="3" t="s">
        <v>30</v>
      </c>
      <c r="H109" s="3" t="s">
        <v>32</v>
      </c>
      <c r="I109" s="3">
        <v>2025</v>
      </c>
      <c r="J109" s="3" t="str">
        <f>CONCATENATE("54820074794")</f>
        <v>54820074794</v>
      </c>
      <c r="K109" s="3" t="s">
        <v>33</v>
      </c>
      <c r="L109" s="3"/>
      <c r="M109" s="3" t="s">
        <v>34</v>
      </c>
      <c r="N109" s="3" t="str">
        <f>CONCATENATE("01781710437")</f>
        <v>01781710437</v>
      </c>
      <c r="O109" s="3" t="s">
        <v>195</v>
      </c>
      <c r="P109" s="3" t="s">
        <v>36</v>
      </c>
      <c r="Q109" s="3"/>
      <c r="R109" s="4">
        <v>46011</v>
      </c>
      <c r="S109" s="3" t="s">
        <v>37</v>
      </c>
      <c r="T109" s="3" t="s">
        <v>38</v>
      </c>
      <c r="U109" s="3" t="s">
        <v>39</v>
      </c>
      <c r="V109" s="5">
        <v>8429.7199999999993</v>
      </c>
      <c r="W109" s="5">
        <v>3582.63</v>
      </c>
      <c r="X109" s="5">
        <v>3392.96</v>
      </c>
      <c r="Y109" s="5">
        <v>1454.13</v>
      </c>
    </row>
    <row r="110" spans="1:25" ht="36.75" x14ac:dyDescent="0.25">
      <c r="A110" s="3" t="s">
        <v>26</v>
      </c>
      <c r="B110" s="3" t="s">
        <v>27</v>
      </c>
      <c r="C110" s="3" t="s">
        <v>28</v>
      </c>
      <c r="D110" s="3" t="s">
        <v>40</v>
      </c>
      <c r="E110" s="3" t="s">
        <v>196</v>
      </c>
      <c r="F110" s="3" t="s">
        <v>42</v>
      </c>
      <c r="G110" s="3" t="s">
        <v>196</v>
      </c>
      <c r="H110" s="3" t="s">
        <v>63</v>
      </c>
      <c r="I110" s="3">
        <v>2025</v>
      </c>
      <c r="J110" s="3" t="str">
        <f>CONCATENATE("54820140447")</f>
        <v>54820140447</v>
      </c>
      <c r="K110" s="3" t="s">
        <v>33</v>
      </c>
      <c r="L110" s="3"/>
      <c r="M110" s="3" t="s">
        <v>34</v>
      </c>
      <c r="N110" s="3" t="str">
        <f>CONCATENATE("01878840436")</f>
        <v>01878840436</v>
      </c>
      <c r="O110" s="3" t="s">
        <v>197</v>
      </c>
      <c r="P110" s="3" t="s">
        <v>36</v>
      </c>
      <c r="Q110" s="3"/>
      <c r="R110" s="4">
        <v>46011</v>
      </c>
      <c r="S110" s="3" t="s">
        <v>37</v>
      </c>
      <c r="T110" s="3" t="s">
        <v>38</v>
      </c>
      <c r="U110" s="3" t="s">
        <v>39</v>
      </c>
      <c r="V110" s="5">
        <v>3441.84</v>
      </c>
      <c r="W110" s="5">
        <v>1462.78</v>
      </c>
      <c r="X110" s="5">
        <v>1385.34</v>
      </c>
      <c r="Y110" s="3">
        <v>593.72</v>
      </c>
    </row>
    <row r="111" spans="1:25" ht="60.75" x14ac:dyDescent="0.25">
      <c r="A111" s="3" t="s">
        <v>26</v>
      </c>
      <c r="B111" s="3" t="s">
        <v>27</v>
      </c>
      <c r="C111" s="3" t="s">
        <v>28</v>
      </c>
      <c r="D111" s="3" t="s">
        <v>47</v>
      </c>
      <c r="E111" s="3" t="s">
        <v>62</v>
      </c>
      <c r="F111" s="3" t="s">
        <v>49</v>
      </c>
      <c r="G111" s="3" t="s">
        <v>62</v>
      </c>
      <c r="H111" s="3" t="s">
        <v>63</v>
      </c>
      <c r="I111" s="3">
        <v>2025</v>
      </c>
      <c r="J111" s="3" t="str">
        <f>CONCATENATE("54820211925")</f>
        <v>54820211925</v>
      </c>
      <c r="K111" s="3" t="s">
        <v>33</v>
      </c>
      <c r="L111" s="3"/>
      <c r="M111" s="3" t="s">
        <v>34</v>
      </c>
      <c r="N111" s="3" t="str">
        <f>CONCATENATE("MNCVBR60D02I461U")</f>
        <v>MNCVBR60D02I461U</v>
      </c>
      <c r="O111" s="3" t="s">
        <v>198</v>
      </c>
      <c r="P111" s="3" t="s">
        <v>36</v>
      </c>
      <c r="Q111" s="3"/>
      <c r="R111" s="4">
        <v>46011</v>
      </c>
      <c r="S111" s="3" t="s">
        <v>37</v>
      </c>
      <c r="T111" s="3" t="s">
        <v>38</v>
      </c>
      <c r="U111" s="3" t="s">
        <v>39</v>
      </c>
      <c r="V111" s="3">
        <v>794.83</v>
      </c>
      <c r="W111" s="3">
        <v>337.8</v>
      </c>
      <c r="X111" s="3">
        <v>319.92</v>
      </c>
      <c r="Y111" s="3">
        <v>137.11000000000001</v>
      </c>
    </row>
    <row r="112" spans="1:25" ht="60.75" x14ac:dyDescent="0.25">
      <c r="A112" s="3" t="s">
        <v>26</v>
      </c>
      <c r="B112" s="3" t="s">
        <v>27</v>
      </c>
      <c r="C112" s="3" t="s">
        <v>28</v>
      </c>
      <c r="D112" s="3" t="s">
        <v>199</v>
      </c>
      <c r="E112" s="3" t="s">
        <v>200</v>
      </c>
      <c r="F112" s="3" t="s">
        <v>201</v>
      </c>
      <c r="G112" s="3" t="s">
        <v>200</v>
      </c>
      <c r="H112" s="3" t="s">
        <v>63</v>
      </c>
      <c r="I112" s="3">
        <v>2025</v>
      </c>
      <c r="J112" s="3" t="str">
        <f>CONCATENATE("54820288576")</f>
        <v>54820288576</v>
      </c>
      <c r="K112" s="3" t="s">
        <v>33</v>
      </c>
      <c r="L112" s="3"/>
      <c r="M112" s="3" t="s">
        <v>34</v>
      </c>
      <c r="N112" s="3" t="str">
        <f>CONCATENATE("MRLTRB42L02C524J")</f>
        <v>MRLTRB42L02C524J</v>
      </c>
      <c r="O112" s="3" t="s">
        <v>202</v>
      </c>
      <c r="P112" s="3" t="s">
        <v>36</v>
      </c>
      <c r="Q112" s="3"/>
      <c r="R112" s="4">
        <v>46011</v>
      </c>
      <c r="S112" s="3" t="s">
        <v>37</v>
      </c>
      <c r="T112" s="3" t="s">
        <v>38</v>
      </c>
      <c r="U112" s="3" t="s">
        <v>39</v>
      </c>
      <c r="V112" s="3">
        <v>87.73</v>
      </c>
      <c r="W112" s="3">
        <v>37.29</v>
      </c>
      <c r="X112" s="3">
        <v>35.31</v>
      </c>
      <c r="Y112" s="3">
        <v>15.13</v>
      </c>
    </row>
    <row r="113" spans="1:25" ht="36.75" x14ac:dyDescent="0.25">
      <c r="A113" s="3" t="s">
        <v>26</v>
      </c>
      <c r="B113" s="3" t="s">
        <v>27</v>
      </c>
      <c r="C113" s="3" t="s">
        <v>28</v>
      </c>
      <c r="D113" s="3" t="s">
        <v>40</v>
      </c>
      <c r="E113" s="3" t="s">
        <v>58</v>
      </c>
      <c r="F113" s="3" t="s">
        <v>42</v>
      </c>
      <c r="G113" s="3" t="s">
        <v>58</v>
      </c>
      <c r="H113" s="3" t="s">
        <v>43</v>
      </c>
      <c r="I113" s="3">
        <v>2025</v>
      </c>
      <c r="J113" s="3" t="str">
        <f>CONCATENATE("54820241559")</f>
        <v>54820241559</v>
      </c>
      <c r="K113" s="3" t="s">
        <v>33</v>
      </c>
      <c r="L113" s="3"/>
      <c r="M113" s="3" t="s">
        <v>34</v>
      </c>
      <c r="N113" s="3" t="str">
        <f>CONCATENATE("01407050416")</f>
        <v>01407050416</v>
      </c>
      <c r="O113" s="3" t="s">
        <v>203</v>
      </c>
      <c r="P113" s="3" t="s">
        <v>36</v>
      </c>
      <c r="Q113" s="3"/>
      <c r="R113" s="4">
        <v>46011</v>
      </c>
      <c r="S113" s="3" t="s">
        <v>37</v>
      </c>
      <c r="T113" s="3" t="s">
        <v>38</v>
      </c>
      <c r="U113" s="3" t="s">
        <v>39</v>
      </c>
      <c r="V113" s="3">
        <v>93.1</v>
      </c>
      <c r="W113" s="3">
        <v>39.57</v>
      </c>
      <c r="X113" s="3">
        <v>37.47</v>
      </c>
      <c r="Y113" s="3">
        <v>16.059999999999999</v>
      </c>
    </row>
    <row r="114" spans="1:25" ht="60.75" x14ac:dyDescent="0.25">
      <c r="A114" s="3" t="s">
        <v>26</v>
      </c>
      <c r="B114" s="3" t="s">
        <v>27</v>
      </c>
      <c r="C114" s="3" t="s">
        <v>28</v>
      </c>
      <c r="D114" s="3" t="s">
        <v>40</v>
      </c>
      <c r="E114" s="3" t="s">
        <v>100</v>
      </c>
      <c r="F114" s="3" t="s">
        <v>42</v>
      </c>
      <c r="G114" s="3" t="s">
        <v>100</v>
      </c>
      <c r="H114" s="3" t="s">
        <v>63</v>
      </c>
      <c r="I114" s="3">
        <v>2025</v>
      </c>
      <c r="J114" s="3" t="str">
        <f>CONCATENATE("54820089628")</f>
        <v>54820089628</v>
      </c>
      <c r="K114" s="3" t="s">
        <v>33</v>
      </c>
      <c r="L114" s="3"/>
      <c r="M114" s="3" t="s">
        <v>34</v>
      </c>
      <c r="N114" s="3" t="str">
        <f>CONCATENATE("STRRNZ60S18D451J")</f>
        <v>STRRNZ60S18D451J</v>
      </c>
      <c r="O114" s="3" t="s">
        <v>204</v>
      </c>
      <c r="P114" s="3" t="s">
        <v>36</v>
      </c>
      <c r="Q114" s="3"/>
      <c r="R114" s="4">
        <v>46011</v>
      </c>
      <c r="S114" s="3" t="s">
        <v>37</v>
      </c>
      <c r="T114" s="3" t="s">
        <v>38</v>
      </c>
      <c r="U114" s="3" t="s">
        <v>39</v>
      </c>
      <c r="V114" s="3">
        <v>290.35000000000002</v>
      </c>
      <c r="W114" s="3">
        <v>123.4</v>
      </c>
      <c r="X114" s="3">
        <v>116.87</v>
      </c>
      <c r="Y114" s="3">
        <v>50.08</v>
      </c>
    </row>
    <row r="115" spans="1:25" ht="60.75" x14ac:dyDescent="0.25">
      <c r="A115" s="3" t="s">
        <v>26</v>
      </c>
      <c r="B115" s="3" t="s">
        <v>27</v>
      </c>
      <c r="C115" s="3" t="s">
        <v>28</v>
      </c>
      <c r="D115" s="3" t="s">
        <v>54</v>
      </c>
      <c r="E115" s="3" t="s">
        <v>88</v>
      </c>
      <c r="F115" s="3" t="s">
        <v>56</v>
      </c>
      <c r="G115" s="3" t="s">
        <v>88</v>
      </c>
      <c r="H115" s="3" t="s">
        <v>85</v>
      </c>
      <c r="I115" s="3">
        <v>2025</v>
      </c>
      <c r="J115" s="3" t="str">
        <f>CONCATENATE("54820145958")</f>
        <v>54820145958</v>
      </c>
      <c r="K115" s="3" t="s">
        <v>33</v>
      </c>
      <c r="L115" s="3"/>
      <c r="M115" s="3" t="s">
        <v>34</v>
      </c>
      <c r="N115" s="3" t="str">
        <f>CONCATENATE("PCFMSM69L17F205T")</f>
        <v>PCFMSM69L17F205T</v>
      </c>
      <c r="O115" s="3" t="s">
        <v>205</v>
      </c>
      <c r="P115" s="3" t="s">
        <v>36</v>
      </c>
      <c r="Q115" s="3"/>
      <c r="R115" s="4">
        <v>46011</v>
      </c>
      <c r="S115" s="3" t="s">
        <v>37</v>
      </c>
      <c r="T115" s="3" t="s">
        <v>38</v>
      </c>
      <c r="U115" s="3" t="s">
        <v>39</v>
      </c>
      <c r="V115" s="3">
        <v>112.44</v>
      </c>
      <c r="W115" s="3">
        <v>47.79</v>
      </c>
      <c r="X115" s="3">
        <v>45.26</v>
      </c>
      <c r="Y115" s="3">
        <v>19.39</v>
      </c>
    </row>
    <row r="116" spans="1:25" ht="60.75" x14ac:dyDescent="0.25">
      <c r="A116" s="3" t="s">
        <v>26</v>
      </c>
      <c r="B116" s="3" t="s">
        <v>27</v>
      </c>
      <c r="C116" s="3" t="s">
        <v>28</v>
      </c>
      <c r="D116" s="3" t="s">
        <v>40</v>
      </c>
      <c r="E116" s="3" t="s">
        <v>206</v>
      </c>
      <c r="F116" s="3" t="s">
        <v>42</v>
      </c>
      <c r="G116" s="3" t="s">
        <v>206</v>
      </c>
      <c r="H116" s="3" t="s">
        <v>32</v>
      </c>
      <c r="I116" s="3">
        <v>2025</v>
      </c>
      <c r="J116" s="3" t="str">
        <f>CONCATENATE("54820122965")</f>
        <v>54820122965</v>
      </c>
      <c r="K116" s="3" t="s">
        <v>33</v>
      </c>
      <c r="L116" s="3"/>
      <c r="M116" s="3" t="s">
        <v>34</v>
      </c>
      <c r="N116" s="3" t="str">
        <f>CONCATENATE("TMBMLC61R54H501Y")</f>
        <v>TMBMLC61R54H501Y</v>
      </c>
      <c r="O116" s="3" t="s">
        <v>207</v>
      </c>
      <c r="P116" s="3" t="s">
        <v>36</v>
      </c>
      <c r="Q116" s="3"/>
      <c r="R116" s="4">
        <v>46011</v>
      </c>
      <c r="S116" s="3" t="s">
        <v>37</v>
      </c>
      <c r="T116" s="3" t="s">
        <v>38</v>
      </c>
      <c r="U116" s="3" t="s">
        <v>39</v>
      </c>
      <c r="V116" s="5">
        <v>1507.97</v>
      </c>
      <c r="W116" s="3">
        <v>640.89</v>
      </c>
      <c r="X116" s="3">
        <v>606.96</v>
      </c>
      <c r="Y116" s="3">
        <v>260.12</v>
      </c>
    </row>
    <row r="117" spans="1:25" ht="60.75" x14ac:dyDescent="0.25">
      <c r="A117" s="3" t="s">
        <v>26</v>
      </c>
      <c r="B117" s="3" t="s">
        <v>27</v>
      </c>
      <c r="C117" s="3" t="s">
        <v>28</v>
      </c>
      <c r="D117" s="3" t="s">
        <v>40</v>
      </c>
      <c r="E117" s="3" t="s">
        <v>122</v>
      </c>
      <c r="F117" s="3" t="s">
        <v>42</v>
      </c>
      <c r="G117" s="3" t="s">
        <v>122</v>
      </c>
      <c r="H117" s="3" t="s">
        <v>43</v>
      </c>
      <c r="I117" s="3">
        <v>2025</v>
      </c>
      <c r="J117" s="3" t="str">
        <f>CONCATENATE("54820151980")</f>
        <v>54820151980</v>
      </c>
      <c r="K117" s="3" t="s">
        <v>33</v>
      </c>
      <c r="L117" s="3"/>
      <c r="M117" s="3" t="s">
        <v>34</v>
      </c>
      <c r="N117" s="3" t="str">
        <f>CONCATENATE("TBRTMS89R31L500M")</f>
        <v>TBRTMS89R31L500M</v>
      </c>
      <c r="O117" s="3" t="s">
        <v>208</v>
      </c>
      <c r="P117" s="3" t="s">
        <v>36</v>
      </c>
      <c r="Q117" s="3"/>
      <c r="R117" s="4">
        <v>46011</v>
      </c>
      <c r="S117" s="3" t="s">
        <v>37</v>
      </c>
      <c r="T117" s="3" t="s">
        <v>38</v>
      </c>
      <c r="U117" s="3" t="s">
        <v>39</v>
      </c>
      <c r="V117" s="3">
        <v>296.18</v>
      </c>
      <c r="W117" s="3">
        <v>125.88</v>
      </c>
      <c r="X117" s="3">
        <v>119.21</v>
      </c>
      <c r="Y117" s="3">
        <v>51.09</v>
      </c>
    </row>
    <row r="118" spans="1:25" ht="36.75" x14ac:dyDescent="0.25">
      <c r="A118" s="3" t="s">
        <v>26</v>
      </c>
      <c r="B118" s="3" t="s">
        <v>27</v>
      </c>
      <c r="C118" s="3" t="s">
        <v>28</v>
      </c>
      <c r="D118" s="3" t="s">
        <v>29</v>
      </c>
      <c r="E118" s="3" t="s">
        <v>30</v>
      </c>
      <c r="F118" s="3" t="s">
        <v>31</v>
      </c>
      <c r="G118" s="3" t="s">
        <v>30</v>
      </c>
      <c r="H118" s="3" t="s">
        <v>32</v>
      </c>
      <c r="I118" s="3">
        <v>2025</v>
      </c>
      <c r="J118" s="3" t="str">
        <f>CONCATENATE("54820067673")</f>
        <v>54820067673</v>
      </c>
      <c r="K118" s="3" t="s">
        <v>33</v>
      </c>
      <c r="L118" s="3"/>
      <c r="M118" s="3" t="s">
        <v>34</v>
      </c>
      <c r="N118" s="3" t="str">
        <f>CONCATENATE("01011100433")</f>
        <v>01011100433</v>
      </c>
      <c r="O118" s="3" t="s">
        <v>209</v>
      </c>
      <c r="P118" s="3" t="s">
        <v>36</v>
      </c>
      <c r="Q118" s="3"/>
      <c r="R118" s="4">
        <v>46011</v>
      </c>
      <c r="S118" s="3" t="s">
        <v>37</v>
      </c>
      <c r="T118" s="3" t="s">
        <v>38</v>
      </c>
      <c r="U118" s="3" t="s">
        <v>39</v>
      </c>
      <c r="V118" s="3">
        <v>718.19</v>
      </c>
      <c r="W118" s="3">
        <v>305.23</v>
      </c>
      <c r="X118" s="3">
        <v>289.07</v>
      </c>
      <c r="Y118" s="3">
        <v>123.89</v>
      </c>
    </row>
    <row r="119" spans="1:25" ht="36.75" x14ac:dyDescent="0.25">
      <c r="A119" s="3" t="s">
        <v>26</v>
      </c>
      <c r="B119" s="3" t="s">
        <v>27</v>
      </c>
      <c r="C119" s="3" t="s">
        <v>28</v>
      </c>
      <c r="D119" s="3" t="s">
        <v>40</v>
      </c>
      <c r="E119" s="3" t="s">
        <v>107</v>
      </c>
      <c r="F119" s="3" t="s">
        <v>42</v>
      </c>
      <c r="G119" s="3" t="s">
        <v>107</v>
      </c>
      <c r="H119" s="3" t="s">
        <v>85</v>
      </c>
      <c r="I119" s="3">
        <v>2025</v>
      </c>
      <c r="J119" s="3" t="str">
        <f>CONCATENATE("54820241435")</f>
        <v>54820241435</v>
      </c>
      <c r="K119" s="3" t="s">
        <v>33</v>
      </c>
      <c r="L119" s="3"/>
      <c r="M119" s="3" t="s">
        <v>34</v>
      </c>
      <c r="N119" s="3" t="str">
        <f>CONCATENATE("01532790449")</f>
        <v>01532790449</v>
      </c>
      <c r="O119" s="3" t="s">
        <v>210</v>
      </c>
      <c r="P119" s="3" t="s">
        <v>36</v>
      </c>
      <c r="Q119" s="3"/>
      <c r="R119" s="4">
        <v>46011</v>
      </c>
      <c r="S119" s="3" t="s">
        <v>37</v>
      </c>
      <c r="T119" s="3" t="s">
        <v>38</v>
      </c>
      <c r="U119" s="3" t="s">
        <v>39</v>
      </c>
      <c r="V119" s="5">
        <v>7580.88</v>
      </c>
      <c r="W119" s="5">
        <v>3221.87</v>
      </c>
      <c r="X119" s="5">
        <v>3051.3</v>
      </c>
      <c r="Y119" s="5">
        <v>1307.71</v>
      </c>
    </row>
    <row r="120" spans="1:25" ht="60.75" x14ac:dyDescent="0.25">
      <c r="A120" s="3" t="s">
        <v>26</v>
      </c>
      <c r="B120" s="3" t="s">
        <v>27</v>
      </c>
      <c r="C120" s="3" t="s">
        <v>28</v>
      </c>
      <c r="D120" s="3" t="s">
        <v>47</v>
      </c>
      <c r="E120" s="3" t="s">
        <v>48</v>
      </c>
      <c r="F120" s="3" t="s">
        <v>49</v>
      </c>
      <c r="G120" s="3" t="s">
        <v>48</v>
      </c>
      <c r="H120" s="3" t="s">
        <v>43</v>
      </c>
      <c r="I120" s="3">
        <v>2025</v>
      </c>
      <c r="J120" s="3" t="str">
        <f>CONCATENATE("54820208525")</f>
        <v>54820208525</v>
      </c>
      <c r="K120" s="3" t="s">
        <v>33</v>
      </c>
      <c r="L120" s="3"/>
      <c r="M120" s="3" t="s">
        <v>34</v>
      </c>
      <c r="N120" s="3" t="str">
        <f>CONCATENATE("PRSDVD84P20L500Y")</f>
        <v>PRSDVD84P20L500Y</v>
      </c>
      <c r="O120" s="3" t="s">
        <v>211</v>
      </c>
      <c r="P120" s="3" t="s">
        <v>36</v>
      </c>
      <c r="Q120" s="3"/>
      <c r="R120" s="4">
        <v>46011</v>
      </c>
      <c r="S120" s="3" t="s">
        <v>37</v>
      </c>
      <c r="T120" s="3" t="s">
        <v>38</v>
      </c>
      <c r="U120" s="3" t="s">
        <v>39</v>
      </c>
      <c r="V120" s="5">
        <v>4595.3599999999997</v>
      </c>
      <c r="W120" s="5">
        <v>1953.03</v>
      </c>
      <c r="X120" s="5">
        <v>1849.63</v>
      </c>
      <c r="Y120" s="3">
        <v>792.7</v>
      </c>
    </row>
    <row r="121" spans="1:25" ht="60.75" x14ac:dyDescent="0.25">
      <c r="A121" s="3" t="s">
        <v>26</v>
      </c>
      <c r="B121" s="3" t="s">
        <v>27</v>
      </c>
      <c r="C121" s="3" t="s">
        <v>28</v>
      </c>
      <c r="D121" s="3" t="s">
        <v>40</v>
      </c>
      <c r="E121" s="3" t="s">
        <v>100</v>
      </c>
      <c r="F121" s="3" t="s">
        <v>42</v>
      </c>
      <c r="G121" s="3" t="s">
        <v>100</v>
      </c>
      <c r="H121" s="3" t="s">
        <v>63</v>
      </c>
      <c r="I121" s="3">
        <v>2025</v>
      </c>
      <c r="J121" s="3" t="str">
        <f>CONCATENATE("54820201306")</f>
        <v>54820201306</v>
      </c>
      <c r="K121" s="3" t="s">
        <v>33</v>
      </c>
      <c r="L121" s="3"/>
      <c r="M121" s="3" t="s">
        <v>34</v>
      </c>
      <c r="N121" s="3" t="str">
        <f>CONCATENATE("LOINTL73T25D451L")</f>
        <v>LOINTL73T25D451L</v>
      </c>
      <c r="O121" s="3" t="s">
        <v>212</v>
      </c>
      <c r="P121" s="3" t="s">
        <v>36</v>
      </c>
      <c r="Q121" s="3"/>
      <c r="R121" s="4">
        <v>46011</v>
      </c>
      <c r="S121" s="3" t="s">
        <v>37</v>
      </c>
      <c r="T121" s="3" t="s">
        <v>38</v>
      </c>
      <c r="U121" s="3" t="s">
        <v>39</v>
      </c>
      <c r="V121" s="5">
        <v>8670.7900000000009</v>
      </c>
      <c r="W121" s="5">
        <v>3685.09</v>
      </c>
      <c r="X121" s="5">
        <v>3489.99</v>
      </c>
      <c r="Y121" s="5">
        <v>1495.71</v>
      </c>
    </row>
    <row r="122" spans="1:25" ht="60.75" x14ac:dyDescent="0.25">
      <c r="A122" s="3" t="s">
        <v>26</v>
      </c>
      <c r="B122" s="3" t="s">
        <v>27</v>
      </c>
      <c r="C122" s="3" t="s">
        <v>28</v>
      </c>
      <c r="D122" s="3" t="s">
        <v>40</v>
      </c>
      <c r="E122" s="3" t="s">
        <v>65</v>
      </c>
      <c r="F122" s="3" t="s">
        <v>42</v>
      </c>
      <c r="G122" s="3" t="s">
        <v>65</v>
      </c>
      <c r="H122" s="3" t="s">
        <v>32</v>
      </c>
      <c r="I122" s="3">
        <v>2025</v>
      </c>
      <c r="J122" s="3" t="str">
        <f>CONCATENATE("54820076443")</f>
        <v>54820076443</v>
      </c>
      <c r="K122" s="3" t="s">
        <v>33</v>
      </c>
      <c r="L122" s="3"/>
      <c r="M122" s="3" t="s">
        <v>34</v>
      </c>
      <c r="N122" s="3" t="str">
        <f>CONCATENATE("GVNDLM60D22C582C")</f>
        <v>GVNDLM60D22C582C</v>
      </c>
      <c r="O122" s="3" t="s">
        <v>213</v>
      </c>
      <c r="P122" s="3" t="s">
        <v>36</v>
      </c>
      <c r="Q122" s="3"/>
      <c r="R122" s="4">
        <v>46011</v>
      </c>
      <c r="S122" s="3" t="s">
        <v>37</v>
      </c>
      <c r="T122" s="3" t="s">
        <v>38</v>
      </c>
      <c r="U122" s="3" t="s">
        <v>39</v>
      </c>
      <c r="V122" s="5">
        <v>1353.41</v>
      </c>
      <c r="W122" s="3">
        <v>575.20000000000005</v>
      </c>
      <c r="X122" s="3">
        <v>544.75</v>
      </c>
      <c r="Y122" s="3">
        <v>233.46</v>
      </c>
    </row>
    <row r="123" spans="1:25" ht="60.75" x14ac:dyDescent="0.25">
      <c r="A123" s="3" t="s">
        <v>26</v>
      </c>
      <c r="B123" s="3" t="s">
        <v>27</v>
      </c>
      <c r="C123" s="3" t="s">
        <v>28</v>
      </c>
      <c r="D123" s="3" t="s">
        <v>29</v>
      </c>
      <c r="E123" s="3" t="s">
        <v>68</v>
      </c>
      <c r="F123" s="3" t="s">
        <v>31</v>
      </c>
      <c r="G123" s="3" t="s">
        <v>68</v>
      </c>
      <c r="H123" s="3" t="s">
        <v>32</v>
      </c>
      <c r="I123" s="3">
        <v>2025</v>
      </c>
      <c r="J123" s="3" t="str">
        <f>CONCATENATE("54820015466")</f>
        <v>54820015466</v>
      </c>
      <c r="K123" s="3" t="s">
        <v>33</v>
      </c>
      <c r="L123" s="3"/>
      <c r="M123" s="3" t="s">
        <v>34</v>
      </c>
      <c r="N123" s="3" t="str">
        <f>CONCATENATE("PLTPRZ84S54B474V")</f>
        <v>PLTPRZ84S54B474V</v>
      </c>
      <c r="O123" s="3" t="s">
        <v>214</v>
      </c>
      <c r="P123" s="3" t="s">
        <v>36</v>
      </c>
      <c r="Q123" s="3"/>
      <c r="R123" s="4">
        <v>46011</v>
      </c>
      <c r="S123" s="3" t="s">
        <v>37</v>
      </c>
      <c r="T123" s="3" t="s">
        <v>38</v>
      </c>
      <c r="U123" s="3" t="s">
        <v>39</v>
      </c>
      <c r="V123" s="5">
        <v>6551.84</v>
      </c>
      <c r="W123" s="5">
        <v>2784.53</v>
      </c>
      <c r="X123" s="5">
        <v>2637.12</v>
      </c>
      <c r="Y123" s="5">
        <v>1130.19</v>
      </c>
    </row>
    <row r="124" spans="1:25" ht="36.75" x14ac:dyDescent="0.25">
      <c r="A124" s="3" t="s">
        <v>26</v>
      </c>
      <c r="B124" s="3" t="s">
        <v>27</v>
      </c>
      <c r="C124" s="3" t="s">
        <v>28</v>
      </c>
      <c r="D124" s="3" t="s">
        <v>54</v>
      </c>
      <c r="E124" s="3" t="s">
        <v>215</v>
      </c>
      <c r="F124" s="3" t="s">
        <v>56</v>
      </c>
      <c r="G124" s="3" t="s">
        <v>215</v>
      </c>
      <c r="H124" s="3" t="s">
        <v>63</v>
      </c>
      <c r="I124" s="3">
        <v>2025</v>
      </c>
      <c r="J124" s="3" t="str">
        <f>CONCATENATE("54820049796")</f>
        <v>54820049796</v>
      </c>
      <c r="K124" s="3" t="s">
        <v>33</v>
      </c>
      <c r="L124" s="3"/>
      <c r="M124" s="3" t="s">
        <v>34</v>
      </c>
      <c r="N124" s="3" t="str">
        <f>CONCATENATE("02709490425")</f>
        <v>02709490425</v>
      </c>
      <c r="O124" s="3" t="s">
        <v>216</v>
      </c>
      <c r="P124" s="3" t="s">
        <v>36</v>
      </c>
      <c r="Q124" s="3"/>
      <c r="R124" s="4">
        <v>46011</v>
      </c>
      <c r="S124" s="3" t="s">
        <v>37</v>
      </c>
      <c r="T124" s="3" t="s">
        <v>38</v>
      </c>
      <c r="U124" s="3" t="s">
        <v>39</v>
      </c>
      <c r="V124" s="3">
        <v>671.88</v>
      </c>
      <c r="W124" s="3">
        <v>285.55</v>
      </c>
      <c r="X124" s="3">
        <v>270.43</v>
      </c>
      <c r="Y124" s="3">
        <v>115.9</v>
      </c>
    </row>
    <row r="125" spans="1:25" ht="60.75" x14ac:dyDescent="0.25">
      <c r="A125" s="3" t="s">
        <v>26</v>
      </c>
      <c r="B125" s="3" t="s">
        <v>27</v>
      </c>
      <c r="C125" s="3" t="s">
        <v>28</v>
      </c>
      <c r="D125" s="3" t="s">
        <v>29</v>
      </c>
      <c r="E125" s="3" t="s">
        <v>79</v>
      </c>
      <c r="F125" s="3" t="s">
        <v>31</v>
      </c>
      <c r="G125" s="3" t="s">
        <v>79</v>
      </c>
      <c r="H125" s="3" t="s">
        <v>32</v>
      </c>
      <c r="I125" s="3">
        <v>2025</v>
      </c>
      <c r="J125" s="3" t="str">
        <f>CONCATENATE("54820371588")</f>
        <v>54820371588</v>
      </c>
      <c r="K125" s="3" t="s">
        <v>33</v>
      </c>
      <c r="L125" s="3"/>
      <c r="M125" s="3" t="s">
        <v>34</v>
      </c>
      <c r="N125" s="3" t="str">
        <f>CONCATENATE("FBBPLA66R19B398Q")</f>
        <v>FBBPLA66R19B398Q</v>
      </c>
      <c r="O125" s="3" t="s">
        <v>217</v>
      </c>
      <c r="P125" s="3" t="s">
        <v>36</v>
      </c>
      <c r="Q125" s="3"/>
      <c r="R125" s="4">
        <v>46011</v>
      </c>
      <c r="S125" s="3" t="s">
        <v>37</v>
      </c>
      <c r="T125" s="3" t="s">
        <v>38</v>
      </c>
      <c r="U125" s="3" t="s">
        <v>39</v>
      </c>
      <c r="V125" s="5">
        <v>7545.73</v>
      </c>
      <c r="W125" s="5">
        <v>3206.94</v>
      </c>
      <c r="X125" s="5">
        <v>3037.16</v>
      </c>
      <c r="Y125" s="5">
        <v>1301.6300000000001</v>
      </c>
    </row>
    <row r="126" spans="1:25" ht="60.75" x14ac:dyDescent="0.25">
      <c r="A126" s="3" t="s">
        <v>26</v>
      </c>
      <c r="B126" s="3" t="s">
        <v>27</v>
      </c>
      <c r="C126" s="3" t="s">
        <v>28</v>
      </c>
      <c r="D126" s="3" t="s">
        <v>29</v>
      </c>
      <c r="E126" s="3" t="s">
        <v>77</v>
      </c>
      <c r="F126" s="3" t="s">
        <v>31</v>
      </c>
      <c r="G126" s="3" t="s">
        <v>77</v>
      </c>
      <c r="H126" s="3" t="s">
        <v>32</v>
      </c>
      <c r="I126" s="3">
        <v>2025</v>
      </c>
      <c r="J126" s="3" t="str">
        <f>CONCATENATE("54820130406")</f>
        <v>54820130406</v>
      </c>
      <c r="K126" s="3" t="s">
        <v>33</v>
      </c>
      <c r="L126" s="3"/>
      <c r="M126" s="3" t="s">
        <v>34</v>
      </c>
      <c r="N126" s="3" t="str">
        <f>CONCATENATE("CRFPPN66A10M078Z")</f>
        <v>CRFPPN66A10M078Z</v>
      </c>
      <c r="O126" s="3" t="s">
        <v>218</v>
      </c>
      <c r="P126" s="3" t="s">
        <v>36</v>
      </c>
      <c r="Q126" s="3"/>
      <c r="R126" s="4">
        <v>46011</v>
      </c>
      <c r="S126" s="3" t="s">
        <v>37</v>
      </c>
      <c r="T126" s="3" t="s">
        <v>38</v>
      </c>
      <c r="U126" s="3" t="s">
        <v>39</v>
      </c>
      <c r="V126" s="5">
        <v>7276.95</v>
      </c>
      <c r="W126" s="5">
        <v>3092.7</v>
      </c>
      <c r="X126" s="5">
        <v>2928.97</v>
      </c>
      <c r="Y126" s="5">
        <v>1255.28</v>
      </c>
    </row>
    <row r="127" spans="1:25" ht="60.75" x14ac:dyDescent="0.25">
      <c r="A127" s="3" t="s">
        <v>26</v>
      </c>
      <c r="B127" s="3" t="s">
        <v>27</v>
      </c>
      <c r="C127" s="3" t="s">
        <v>28</v>
      </c>
      <c r="D127" s="3" t="s">
        <v>40</v>
      </c>
      <c r="E127" s="3" t="s">
        <v>219</v>
      </c>
      <c r="F127" s="3" t="s">
        <v>42</v>
      </c>
      <c r="G127" s="3" t="s">
        <v>219</v>
      </c>
      <c r="H127" s="3" t="s">
        <v>85</v>
      </c>
      <c r="I127" s="3">
        <v>2025</v>
      </c>
      <c r="J127" s="3" t="str">
        <f>CONCATENATE("54820035431")</f>
        <v>54820035431</v>
      </c>
      <c r="K127" s="3" t="s">
        <v>33</v>
      </c>
      <c r="L127" s="3"/>
      <c r="M127" s="3" t="s">
        <v>34</v>
      </c>
      <c r="N127" s="3" t="str">
        <f>CONCATENATE("DRSSTM77L22A462F")</f>
        <v>DRSSTM77L22A462F</v>
      </c>
      <c r="O127" s="3" t="s">
        <v>220</v>
      </c>
      <c r="P127" s="3" t="s">
        <v>36</v>
      </c>
      <c r="Q127" s="3"/>
      <c r="R127" s="4">
        <v>46011</v>
      </c>
      <c r="S127" s="3" t="s">
        <v>37</v>
      </c>
      <c r="T127" s="3" t="s">
        <v>38</v>
      </c>
      <c r="U127" s="3" t="s">
        <v>39</v>
      </c>
      <c r="V127" s="5">
        <v>2241.41</v>
      </c>
      <c r="W127" s="3">
        <v>952.6</v>
      </c>
      <c r="X127" s="3">
        <v>902.17</v>
      </c>
      <c r="Y127" s="3">
        <v>386.64</v>
      </c>
    </row>
    <row r="128" spans="1:25" ht="60.75" x14ac:dyDescent="0.25">
      <c r="A128" s="3" t="s">
        <v>26</v>
      </c>
      <c r="B128" s="3" t="s">
        <v>27</v>
      </c>
      <c r="C128" s="3" t="s">
        <v>28</v>
      </c>
      <c r="D128" s="3" t="s">
        <v>40</v>
      </c>
      <c r="E128" s="3" t="s">
        <v>58</v>
      </c>
      <c r="F128" s="3" t="s">
        <v>42</v>
      </c>
      <c r="G128" s="3" t="s">
        <v>58</v>
      </c>
      <c r="H128" s="3" t="s">
        <v>43</v>
      </c>
      <c r="I128" s="3">
        <v>2025</v>
      </c>
      <c r="J128" s="3" t="str">
        <f>CONCATENATE("54820043237")</f>
        <v>54820043237</v>
      </c>
      <c r="K128" s="3" t="s">
        <v>33</v>
      </c>
      <c r="L128" s="3"/>
      <c r="M128" s="3" t="s">
        <v>34</v>
      </c>
      <c r="N128" s="3" t="str">
        <f>CONCATENATE("MRCLSN66E08B352N")</f>
        <v>MRCLSN66E08B352N</v>
      </c>
      <c r="O128" s="3" t="s">
        <v>221</v>
      </c>
      <c r="P128" s="3" t="s">
        <v>36</v>
      </c>
      <c r="Q128" s="3"/>
      <c r="R128" s="4">
        <v>46011</v>
      </c>
      <c r="S128" s="3" t="s">
        <v>37</v>
      </c>
      <c r="T128" s="3" t="s">
        <v>38</v>
      </c>
      <c r="U128" s="3" t="s">
        <v>39</v>
      </c>
      <c r="V128" s="3">
        <v>93.88</v>
      </c>
      <c r="W128" s="3">
        <v>39.9</v>
      </c>
      <c r="X128" s="3">
        <v>37.79</v>
      </c>
      <c r="Y128" s="3">
        <v>16.190000000000001</v>
      </c>
    </row>
    <row r="129" spans="1:25" ht="60.75" x14ac:dyDescent="0.25">
      <c r="A129" s="3" t="s">
        <v>26</v>
      </c>
      <c r="B129" s="3" t="s">
        <v>27</v>
      </c>
      <c r="C129" s="3" t="s">
        <v>28</v>
      </c>
      <c r="D129" s="3" t="s">
        <v>40</v>
      </c>
      <c r="E129" s="3" t="s">
        <v>60</v>
      </c>
      <c r="F129" s="3" t="s">
        <v>42</v>
      </c>
      <c r="G129" s="3" t="s">
        <v>60</v>
      </c>
      <c r="H129" s="3" t="s">
        <v>32</v>
      </c>
      <c r="I129" s="3">
        <v>2025</v>
      </c>
      <c r="J129" s="3" t="str">
        <f>CONCATENATE("54820234018")</f>
        <v>54820234018</v>
      </c>
      <c r="K129" s="3" t="s">
        <v>33</v>
      </c>
      <c r="L129" s="3"/>
      <c r="M129" s="3" t="s">
        <v>34</v>
      </c>
      <c r="N129" s="3" t="str">
        <f>CONCATENATE("GVNLNI55C67M078Y")</f>
        <v>GVNLNI55C67M078Y</v>
      </c>
      <c r="O129" s="3" t="s">
        <v>222</v>
      </c>
      <c r="P129" s="3" t="s">
        <v>36</v>
      </c>
      <c r="Q129" s="3"/>
      <c r="R129" s="4">
        <v>46011</v>
      </c>
      <c r="S129" s="3" t="s">
        <v>37</v>
      </c>
      <c r="T129" s="3" t="s">
        <v>38</v>
      </c>
      <c r="U129" s="3" t="s">
        <v>39</v>
      </c>
      <c r="V129" s="3">
        <v>153.86000000000001</v>
      </c>
      <c r="W129" s="3">
        <v>65.39</v>
      </c>
      <c r="X129" s="3">
        <v>61.93</v>
      </c>
      <c r="Y129" s="3">
        <v>26.54</v>
      </c>
    </row>
    <row r="130" spans="1:25" ht="60.75" x14ac:dyDescent="0.25">
      <c r="A130" s="3" t="s">
        <v>26</v>
      </c>
      <c r="B130" s="3" t="s">
        <v>27</v>
      </c>
      <c r="C130" s="3" t="s">
        <v>28</v>
      </c>
      <c r="D130" s="3" t="s">
        <v>40</v>
      </c>
      <c r="E130" s="3" t="s">
        <v>100</v>
      </c>
      <c r="F130" s="3" t="s">
        <v>42</v>
      </c>
      <c r="G130" s="3" t="s">
        <v>100</v>
      </c>
      <c r="H130" s="3" t="s">
        <v>63</v>
      </c>
      <c r="I130" s="3">
        <v>2025</v>
      </c>
      <c r="J130" s="3" t="str">
        <f>CONCATENATE("54820202338")</f>
        <v>54820202338</v>
      </c>
      <c r="K130" s="3" t="s">
        <v>33</v>
      </c>
      <c r="L130" s="3"/>
      <c r="M130" s="3" t="s">
        <v>34</v>
      </c>
      <c r="N130" s="3" t="str">
        <f>CONCATENATE("FRRRNG41S28D451L")</f>
        <v>FRRRNG41S28D451L</v>
      </c>
      <c r="O130" s="3" t="s">
        <v>223</v>
      </c>
      <c r="P130" s="3" t="s">
        <v>36</v>
      </c>
      <c r="Q130" s="3"/>
      <c r="R130" s="4">
        <v>46011</v>
      </c>
      <c r="S130" s="3" t="s">
        <v>37</v>
      </c>
      <c r="T130" s="3" t="s">
        <v>38</v>
      </c>
      <c r="U130" s="3" t="s">
        <v>39</v>
      </c>
      <c r="V130" s="3">
        <v>98.17</v>
      </c>
      <c r="W130" s="3">
        <v>41.72</v>
      </c>
      <c r="X130" s="3">
        <v>39.51</v>
      </c>
      <c r="Y130" s="3">
        <v>16.940000000000001</v>
      </c>
    </row>
    <row r="131" spans="1:25" ht="36.75" x14ac:dyDescent="0.25">
      <c r="A131" s="3" t="s">
        <v>26</v>
      </c>
      <c r="B131" s="3" t="s">
        <v>27</v>
      </c>
      <c r="C131" s="3" t="s">
        <v>28</v>
      </c>
      <c r="D131" s="3" t="s">
        <v>47</v>
      </c>
      <c r="E131" s="3" t="s">
        <v>155</v>
      </c>
      <c r="F131" s="3" t="s">
        <v>49</v>
      </c>
      <c r="G131" s="3" t="s">
        <v>155</v>
      </c>
      <c r="H131" s="3" t="s">
        <v>43</v>
      </c>
      <c r="I131" s="3">
        <v>2025</v>
      </c>
      <c r="J131" s="3" t="str">
        <f>CONCATENATE("54820279179")</f>
        <v>54820279179</v>
      </c>
      <c r="K131" s="3" t="s">
        <v>33</v>
      </c>
      <c r="L131" s="3"/>
      <c r="M131" s="3" t="s">
        <v>34</v>
      </c>
      <c r="N131" s="3" t="str">
        <f>CONCATENATE("02621430418")</f>
        <v>02621430418</v>
      </c>
      <c r="O131" s="3" t="s">
        <v>224</v>
      </c>
      <c r="P131" s="3" t="s">
        <v>36</v>
      </c>
      <c r="Q131" s="3"/>
      <c r="R131" s="4">
        <v>46011</v>
      </c>
      <c r="S131" s="3" t="s">
        <v>37</v>
      </c>
      <c r="T131" s="3" t="s">
        <v>38</v>
      </c>
      <c r="U131" s="3" t="s">
        <v>39</v>
      </c>
      <c r="V131" s="5">
        <v>3465.09</v>
      </c>
      <c r="W131" s="5">
        <v>1472.66</v>
      </c>
      <c r="X131" s="5">
        <v>1394.7</v>
      </c>
      <c r="Y131" s="3">
        <v>597.73</v>
      </c>
    </row>
    <row r="132" spans="1:25" ht="60.75" x14ac:dyDescent="0.25">
      <c r="A132" s="3" t="s">
        <v>26</v>
      </c>
      <c r="B132" s="3" t="s">
        <v>27</v>
      </c>
      <c r="C132" s="3" t="s">
        <v>28</v>
      </c>
      <c r="D132" s="3" t="s">
        <v>40</v>
      </c>
      <c r="E132" s="3" t="s">
        <v>107</v>
      </c>
      <c r="F132" s="3" t="s">
        <v>42</v>
      </c>
      <c r="G132" s="3" t="s">
        <v>107</v>
      </c>
      <c r="H132" s="3" t="s">
        <v>85</v>
      </c>
      <c r="I132" s="3">
        <v>2025</v>
      </c>
      <c r="J132" s="3" t="str">
        <f>CONCATENATE("54820185582")</f>
        <v>54820185582</v>
      </c>
      <c r="K132" s="3" t="s">
        <v>33</v>
      </c>
      <c r="L132" s="3"/>
      <c r="M132" s="3" t="s">
        <v>34</v>
      </c>
      <c r="N132" s="3" t="str">
        <f>CONCATENATE("PMPDTL66P50A462S")</f>
        <v>PMPDTL66P50A462S</v>
      </c>
      <c r="O132" s="3" t="s">
        <v>225</v>
      </c>
      <c r="P132" s="3" t="s">
        <v>36</v>
      </c>
      <c r="Q132" s="3"/>
      <c r="R132" s="4">
        <v>46011</v>
      </c>
      <c r="S132" s="3" t="s">
        <v>37</v>
      </c>
      <c r="T132" s="3" t="s">
        <v>38</v>
      </c>
      <c r="U132" s="3" t="s">
        <v>39</v>
      </c>
      <c r="V132" s="5">
        <v>1610.32</v>
      </c>
      <c r="W132" s="3">
        <v>684.39</v>
      </c>
      <c r="X132" s="3">
        <v>648.15</v>
      </c>
      <c r="Y132" s="3">
        <v>277.77999999999997</v>
      </c>
    </row>
    <row r="133" spans="1:25" ht="72.75" x14ac:dyDescent="0.25">
      <c r="A133" s="3" t="s">
        <v>26</v>
      </c>
      <c r="B133" s="3" t="s">
        <v>27</v>
      </c>
      <c r="C133" s="3" t="s">
        <v>28</v>
      </c>
      <c r="D133" s="3" t="s">
        <v>29</v>
      </c>
      <c r="E133" s="3" t="s">
        <v>77</v>
      </c>
      <c r="F133" s="3" t="s">
        <v>31</v>
      </c>
      <c r="G133" s="3" t="s">
        <v>77</v>
      </c>
      <c r="H133" s="3" t="s">
        <v>85</v>
      </c>
      <c r="I133" s="3">
        <v>2025</v>
      </c>
      <c r="J133" s="3" t="str">
        <f>CONCATENATE("54820017595")</f>
        <v>54820017595</v>
      </c>
      <c r="K133" s="3" t="s">
        <v>33</v>
      </c>
      <c r="L133" s="3"/>
      <c r="M133" s="3" t="s">
        <v>34</v>
      </c>
      <c r="N133" s="3" t="str">
        <f>CONCATENATE("STFGCM59M04A462G")</f>
        <v>STFGCM59M04A462G</v>
      </c>
      <c r="O133" s="3" t="s">
        <v>226</v>
      </c>
      <c r="P133" s="3" t="s">
        <v>36</v>
      </c>
      <c r="Q133" s="3"/>
      <c r="R133" s="4">
        <v>46011</v>
      </c>
      <c r="S133" s="3" t="s">
        <v>37</v>
      </c>
      <c r="T133" s="3" t="s">
        <v>38</v>
      </c>
      <c r="U133" s="3" t="s">
        <v>39</v>
      </c>
      <c r="V133" s="5">
        <v>1858.77</v>
      </c>
      <c r="W133" s="3">
        <v>789.98</v>
      </c>
      <c r="X133" s="3">
        <v>748.15</v>
      </c>
      <c r="Y133" s="3">
        <v>320.64</v>
      </c>
    </row>
    <row r="134" spans="1:25" ht="60.75" x14ac:dyDescent="0.25">
      <c r="A134" s="3" t="s">
        <v>26</v>
      </c>
      <c r="B134" s="3" t="s">
        <v>27</v>
      </c>
      <c r="C134" s="3" t="s">
        <v>28</v>
      </c>
      <c r="D134" s="3" t="s">
        <v>29</v>
      </c>
      <c r="E134" s="3" t="s">
        <v>30</v>
      </c>
      <c r="F134" s="3" t="s">
        <v>31</v>
      </c>
      <c r="G134" s="3" t="s">
        <v>30</v>
      </c>
      <c r="H134" s="3" t="s">
        <v>32</v>
      </c>
      <c r="I134" s="3">
        <v>2025</v>
      </c>
      <c r="J134" s="3" t="str">
        <f>CONCATENATE("54820023247")</f>
        <v>54820023247</v>
      </c>
      <c r="K134" s="3" t="s">
        <v>33</v>
      </c>
      <c r="L134" s="3"/>
      <c r="M134" s="3" t="s">
        <v>34</v>
      </c>
      <c r="N134" s="3" t="str">
        <f>CONCATENATE("PLONRT52T46C267N")</f>
        <v>PLONRT52T46C267N</v>
      </c>
      <c r="O134" s="3" t="s">
        <v>227</v>
      </c>
      <c r="P134" s="3" t="s">
        <v>36</v>
      </c>
      <c r="Q134" s="3"/>
      <c r="R134" s="4">
        <v>46011</v>
      </c>
      <c r="S134" s="3" t="s">
        <v>37</v>
      </c>
      <c r="T134" s="3" t="s">
        <v>38</v>
      </c>
      <c r="U134" s="3" t="s">
        <v>39</v>
      </c>
      <c r="V134" s="3">
        <v>411.86</v>
      </c>
      <c r="W134" s="3">
        <v>175.04</v>
      </c>
      <c r="X134" s="3">
        <v>165.77</v>
      </c>
      <c r="Y134" s="3">
        <v>71.05</v>
      </c>
    </row>
    <row r="135" spans="1:25" ht="60.75" x14ac:dyDescent="0.25">
      <c r="A135" s="3" t="s">
        <v>26</v>
      </c>
      <c r="B135" s="3" t="s">
        <v>27</v>
      </c>
      <c r="C135" s="3" t="s">
        <v>28</v>
      </c>
      <c r="D135" s="3" t="s">
        <v>47</v>
      </c>
      <c r="E135" s="3" t="s">
        <v>155</v>
      </c>
      <c r="F135" s="3" t="s">
        <v>49</v>
      </c>
      <c r="G135" s="3" t="s">
        <v>155</v>
      </c>
      <c r="H135" s="3" t="s">
        <v>43</v>
      </c>
      <c r="I135" s="3">
        <v>2025</v>
      </c>
      <c r="J135" s="3" t="str">
        <f>CONCATENATE("54820029285")</f>
        <v>54820029285</v>
      </c>
      <c r="K135" s="3" t="s">
        <v>33</v>
      </c>
      <c r="L135" s="3"/>
      <c r="M135" s="3" t="s">
        <v>34</v>
      </c>
      <c r="N135" s="3" t="str">
        <f>CONCATENATE("GVNFNC60T05F467G")</f>
        <v>GVNFNC60T05F467G</v>
      </c>
      <c r="O135" s="3" t="s">
        <v>228</v>
      </c>
      <c r="P135" s="3" t="s">
        <v>36</v>
      </c>
      <c r="Q135" s="3"/>
      <c r="R135" s="4">
        <v>46011</v>
      </c>
      <c r="S135" s="3" t="s">
        <v>37</v>
      </c>
      <c r="T135" s="3" t="s">
        <v>38</v>
      </c>
      <c r="U135" s="3" t="s">
        <v>39</v>
      </c>
      <c r="V135" s="5">
        <v>3722.3</v>
      </c>
      <c r="W135" s="5">
        <v>1581.98</v>
      </c>
      <c r="X135" s="5">
        <v>1498.23</v>
      </c>
      <c r="Y135" s="3">
        <v>642.09</v>
      </c>
    </row>
    <row r="136" spans="1:25" ht="72.75" x14ac:dyDescent="0.25">
      <c r="A136" s="3" t="s">
        <v>26</v>
      </c>
      <c r="B136" s="3" t="s">
        <v>27</v>
      </c>
      <c r="C136" s="3" t="s">
        <v>28</v>
      </c>
      <c r="D136" s="3" t="s">
        <v>40</v>
      </c>
      <c r="E136" s="3" t="s">
        <v>219</v>
      </c>
      <c r="F136" s="3" t="s">
        <v>42</v>
      </c>
      <c r="G136" s="3" t="s">
        <v>219</v>
      </c>
      <c r="H136" s="3" t="s">
        <v>85</v>
      </c>
      <c r="I136" s="3">
        <v>2025</v>
      </c>
      <c r="J136" s="3" t="str">
        <f>CONCATENATE("54820049457")</f>
        <v>54820049457</v>
      </c>
      <c r="K136" s="3" t="s">
        <v>33</v>
      </c>
      <c r="L136" s="3"/>
      <c r="M136" s="3" t="s">
        <v>34</v>
      </c>
      <c r="N136" s="3" t="str">
        <f>CONCATENATE("GCHMRZ62R23A462D")</f>
        <v>GCHMRZ62R23A462D</v>
      </c>
      <c r="O136" s="3" t="s">
        <v>229</v>
      </c>
      <c r="P136" s="3" t="s">
        <v>36</v>
      </c>
      <c r="Q136" s="3"/>
      <c r="R136" s="4">
        <v>46011</v>
      </c>
      <c r="S136" s="3" t="s">
        <v>37</v>
      </c>
      <c r="T136" s="3" t="s">
        <v>38</v>
      </c>
      <c r="U136" s="3" t="s">
        <v>39</v>
      </c>
      <c r="V136" s="5">
        <v>1004.51</v>
      </c>
      <c r="W136" s="3">
        <v>426.92</v>
      </c>
      <c r="X136" s="3">
        <v>404.32</v>
      </c>
      <c r="Y136" s="3">
        <v>173.27</v>
      </c>
    </row>
    <row r="137" spans="1:25" ht="60.75" x14ac:dyDescent="0.25">
      <c r="A137" s="3" t="s">
        <v>26</v>
      </c>
      <c r="B137" s="3" t="s">
        <v>27</v>
      </c>
      <c r="C137" s="3" t="s">
        <v>28</v>
      </c>
      <c r="D137" s="3" t="s">
        <v>40</v>
      </c>
      <c r="E137" s="3" t="s">
        <v>60</v>
      </c>
      <c r="F137" s="3" t="s">
        <v>42</v>
      </c>
      <c r="G137" s="3" t="s">
        <v>60</v>
      </c>
      <c r="H137" s="3" t="s">
        <v>32</v>
      </c>
      <c r="I137" s="3">
        <v>2025</v>
      </c>
      <c r="J137" s="3" t="str">
        <f>CONCATENATE("54820254842")</f>
        <v>54820254842</v>
      </c>
      <c r="K137" s="3" t="s">
        <v>33</v>
      </c>
      <c r="L137" s="3"/>
      <c r="M137" s="3" t="s">
        <v>34</v>
      </c>
      <c r="N137" s="3" t="str">
        <f>CONCATENATE("TTVBRN34P25M078D")</f>
        <v>TTVBRN34P25M078D</v>
      </c>
      <c r="O137" s="3" t="s">
        <v>230</v>
      </c>
      <c r="P137" s="3" t="s">
        <v>36</v>
      </c>
      <c r="Q137" s="3"/>
      <c r="R137" s="4">
        <v>46011</v>
      </c>
      <c r="S137" s="3" t="s">
        <v>37</v>
      </c>
      <c r="T137" s="3" t="s">
        <v>38</v>
      </c>
      <c r="U137" s="3" t="s">
        <v>39</v>
      </c>
      <c r="V137" s="5">
        <v>5521.1</v>
      </c>
      <c r="W137" s="5">
        <v>2346.4699999999998</v>
      </c>
      <c r="X137" s="5">
        <v>2222.2399999999998</v>
      </c>
      <c r="Y137" s="3">
        <v>952.39</v>
      </c>
    </row>
    <row r="138" spans="1:25" ht="60.75" x14ac:dyDescent="0.25">
      <c r="A138" s="3" t="s">
        <v>26</v>
      </c>
      <c r="B138" s="3" t="s">
        <v>27</v>
      </c>
      <c r="C138" s="3" t="s">
        <v>28</v>
      </c>
      <c r="D138" s="3" t="s">
        <v>40</v>
      </c>
      <c r="E138" s="3" t="s">
        <v>60</v>
      </c>
      <c r="F138" s="3" t="s">
        <v>42</v>
      </c>
      <c r="G138" s="3" t="s">
        <v>60</v>
      </c>
      <c r="H138" s="3" t="s">
        <v>32</v>
      </c>
      <c r="I138" s="3">
        <v>2025</v>
      </c>
      <c r="J138" s="3" t="str">
        <f>CONCATENATE("54820219647")</f>
        <v>54820219647</v>
      </c>
      <c r="K138" s="3" t="s">
        <v>33</v>
      </c>
      <c r="L138" s="3"/>
      <c r="M138" s="3" t="s">
        <v>34</v>
      </c>
      <c r="N138" s="3" t="str">
        <f>CONCATENATE("LCRGZL42S45B474Q")</f>
        <v>LCRGZL42S45B474Q</v>
      </c>
      <c r="O138" s="3" t="s">
        <v>231</v>
      </c>
      <c r="P138" s="3" t="s">
        <v>36</v>
      </c>
      <c r="Q138" s="3"/>
      <c r="R138" s="4">
        <v>46011</v>
      </c>
      <c r="S138" s="3" t="s">
        <v>37</v>
      </c>
      <c r="T138" s="3" t="s">
        <v>38</v>
      </c>
      <c r="U138" s="3" t="s">
        <v>39</v>
      </c>
      <c r="V138" s="5">
        <v>2904.24</v>
      </c>
      <c r="W138" s="5">
        <v>1234.3</v>
      </c>
      <c r="X138" s="5">
        <v>1168.96</v>
      </c>
      <c r="Y138" s="3">
        <v>500.98</v>
      </c>
    </row>
    <row r="139" spans="1:25" ht="72.75" x14ac:dyDescent="0.25">
      <c r="A139" s="3" t="s">
        <v>26</v>
      </c>
      <c r="B139" s="3" t="s">
        <v>27</v>
      </c>
      <c r="C139" s="3" t="s">
        <v>28</v>
      </c>
      <c r="D139" s="3" t="s">
        <v>40</v>
      </c>
      <c r="E139" s="3" t="s">
        <v>58</v>
      </c>
      <c r="F139" s="3" t="s">
        <v>42</v>
      </c>
      <c r="G139" s="3" t="s">
        <v>58</v>
      </c>
      <c r="H139" s="3" t="s">
        <v>43</v>
      </c>
      <c r="I139" s="3">
        <v>2025</v>
      </c>
      <c r="J139" s="3" t="str">
        <f>CONCATENATE("54820073416")</f>
        <v>54820073416</v>
      </c>
      <c r="K139" s="3" t="s">
        <v>33</v>
      </c>
      <c r="L139" s="3"/>
      <c r="M139" s="3" t="s">
        <v>34</v>
      </c>
      <c r="N139" s="3" t="str">
        <f>CONCATENATE("RMNRRT58D21B352C")</f>
        <v>RMNRRT58D21B352C</v>
      </c>
      <c r="O139" s="3" t="s">
        <v>232</v>
      </c>
      <c r="P139" s="3" t="s">
        <v>36</v>
      </c>
      <c r="Q139" s="3"/>
      <c r="R139" s="4">
        <v>46011</v>
      </c>
      <c r="S139" s="3" t="s">
        <v>37</v>
      </c>
      <c r="T139" s="3" t="s">
        <v>38</v>
      </c>
      <c r="U139" s="3" t="s">
        <v>39</v>
      </c>
      <c r="V139" s="3">
        <v>602.35</v>
      </c>
      <c r="W139" s="3">
        <v>256</v>
      </c>
      <c r="X139" s="3">
        <v>242.45</v>
      </c>
      <c r="Y139" s="3">
        <v>103.9</v>
      </c>
    </row>
    <row r="140" spans="1:25" ht="36.75" x14ac:dyDescent="0.25">
      <c r="A140" s="3" t="s">
        <v>26</v>
      </c>
      <c r="B140" s="3" t="s">
        <v>27</v>
      </c>
      <c r="C140" s="3" t="s">
        <v>28</v>
      </c>
      <c r="D140" s="3" t="s">
        <v>29</v>
      </c>
      <c r="E140" s="3" t="s">
        <v>51</v>
      </c>
      <c r="F140" s="3" t="s">
        <v>31</v>
      </c>
      <c r="G140" s="3" t="s">
        <v>51</v>
      </c>
      <c r="H140" s="3" t="s">
        <v>43</v>
      </c>
      <c r="I140" s="3">
        <v>2025</v>
      </c>
      <c r="J140" s="3" t="str">
        <f>CONCATENATE("54820053384")</f>
        <v>54820053384</v>
      </c>
      <c r="K140" s="3" t="s">
        <v>33</v>
      </c>
      <c r="L140" s="3"/>
      <c r="M140" s="3" t="s">
        <v>34</v>
      </c>
      <c r="N140" s="3" t="str">
        <f>CONCATENATE("02596540415")</f>
        <v>02596540415</v>
      </c>
      <c r="O140" s="3" t="s">
        <v>233</v>
      </c>
      <c r="P140" s="3" t="s">
        <v>36</v>
      </c>
      <c r="Q140" s="3"/>
      <c r="R140" s="4">
        <v>46011</v>
      </c>
      <c r="S140" s="3" t="s">
        <v>37</v>
      </c>
      <c r="T140" s="3" t="s">
        <v>38</v>
      </c>
      <c r="U140" s="3" t="s">
        <v>39</v>
      </c>
      <c r="V140" s="3">
        <v>505.75</v>
      </c>
      <c r="W140" s="3">
        <v>214.94</v>
      </c>
      <c r="X140" s="3">
        <v>203.56</v>
      </c>
      <c r="Y140" s="3">
        <v>87.25</v>
      </c>
    </row>
    <row r="141" spans="1:25" ht="60.75" x14ac:dyDescent="0.25">
      <c r="A141" s="3" t="s">
        <v>26</v>
      </c>
      <c r="B141" s="3" t="s">
        <v>27</v>
      </c>
      <c r="C141" s="3" t="s">
        <v>28</v>
      </c>
      <c r="D141" s="3" t="s">
        <v>40</v>
      </c>
      <c r="E141" s="3" t="s">
        <v>100</v>
      </c>
      <c r="F141" s="3" t="s">
        <v>42</v>
      </c>
      <c r="G141" s="3" t="s">
        <v>100</v>
      </c>
      <c r="H141" s="3" t="s">
        <v>63</v>
      </c>
      <c r="I141" s="3">
        <v>2025</v>
      </c>
      <c r="J141" s="3" t="str">
        <f>CONCATENATE("54820028873")</f>
        <v>54820028873</v>
      </c>
      <c r="K141" s="3" t="s">
        <v>33</v>
      </c>
      <c r="L141" s="3"/>
      <c r="M141" s="3" t="s">
        <v>34</v>
      </c>
      <c r="N141" s="3" t="str">
        <f>CONCATENATE("SPRCRN40C68C524T")</f>
        <v>SPRCRN40C68C524T</v>
      </c>
      <c r="O141" s="3" t="s">
        <v>234</v>
      </c>
      <c r="P141" s="3" t="s">
        <v>36</v>
      </c>
      <c r="Q141" s="3"/>
      <c r="R141" s="4">
        <v>46011</v>
      </c>
      <c r="S141" s="3" t="s">
        <v>37</v>
      </c>
      <c r="T141" s="3" t="s">
        <v>38</v>
      </c>
      <c r="U141" s="3" t="s">
        <v>39</v>
      </c>
      <c r="V141" s="3">
        <v>958.13</v>
      </c>
      <c r="W141" s="3">
        <v>407.21</v>
      </c>
      <c r="X141" s="3">
        <v>385.65</v>
      </c>
      <c r="Y141" s="3">
        <v>165.27</v>
      </c>
    </row>
    <row r="142" spans="1:25" ht="60.75" x14ac:dyDescent="0.25">
      <c r="A142" s="3" t="s">
        <v>26</v>
      </c>
      <c r="B142" s="3" t="s">
        <v>27</v>
      </c>
      <c r="C142" s="3" t="s">
        <v>28</v>
      </c>
      <c r="D142" s="3" t="s">
        <v>47</v>
      </c>
      <c r="E142" s="3" t="s">
        <v>155</v>
      </c>
      <c r="F142" s="3" t="s">
        <v>49</v>
      </c>
      <c r="G142" s="3" t="s">
        <v>155</v>
      </c>
      <c r="H142" s="3" t="s">
        <v>43</v>
      </c>
      <c r="I142" s="3">
        <v>2025</v>
      </c>
      <c r="J142" s="3" t="str">
        <f>CONCATENATE("54820067368")</f>
        <v>54820067368</v>
      </c>
      <c r="K142" s="3" t="s">
        <v>33</v>
      </c>
      <c r="L142" s="3"/>
      <c r="M142" s="3" t="s">
        <v>34</v>
      </c>
      <c r="N142" s="3" t="str">
        <f>CONCATENATE("CVLLRT80P15C933H")</f>
        <v>CVLLRT80P15C933H</v>
      </c>
      <c r="O142" s="3" t="s">
        <v>235</v>
      </c>
      <c r="P142" s="3" t="s">
        <v>36</v>
      </c>
      <c r="Q142" s="3"/>
      <c r="R142" s="4">
        <v>46011</v>
      </c>
      <c r="S142" s="3" t="s">
        <v>37</v>
      </c>
      <c r="T142" s="3" t="s">
        <v>38</v>
      </c>
      <c r="U142" s="3" t="s">
        <v>39</v>
      </c>
      <c r="V142" s="5">
        <v>1367.52</v>
      </c>
      <c r="W142" s="3">
        <v>581.20000000000005</v>
      </c>
      <c r="X142" s="3">
        <v>550.42999999999995</v>
      </c>
      <c r="Y142" s="3">
        <v>235.89</v>
      </c>
    </row>
    <row r="143" spans="1:25" ht="60.75" x14ac:dyDescent="0.25">
      <c r="A143" s="3" t="s">
        <v>26</v>
      </c>
      <c r="B143" s="3" t="s">
        <v>27</v>
      </c>
      <c r="C143" s="3" t="s">
        <v>28</v>
      </c>
      <c r="D143" s="3" t="s">
        <v>47</v>
      </c>
      <c r="E143" s="3" t="s">
        <v>62</v>
      </c>
      <c r="F143" s="3" t="s">
        <v>49</v>
      </c>
      <c r="G143" s="3" t="s">
        <v>62</v>
      </c>
      <c r="H143" s="3" t="s">
        <v>63</v>
      </c>
      <c r="I143" s="3">
        <v>2025</v>
      </c>
      <c r="J143" s="3" t="str">
        <f>CONCATENATE("54820163175")</f>
        <v>54820163175</v>
      </c>
      <c r="K143" s="3" t="s">
        <v>33</v>
      </c>
      <c r="L143" s="3"/>
      <c r="M143" s="3" t="s">
        <v>34</v>
      </c>
      <c r="N143" s="3" t="str">
        <f>CONCATENATE("FRBMNL69A46D451E")</f>
        <v>FRBMNL69A46D451E</v>
      </c>
      <c r="O143" s="3" t="s">
        <v>236</v>
      </c>
      <c r="P143" s="3" t="s">
        <v>36</v>
      </c>
      <c r="Q143" s="3"/>
      <c r="R143" s="4">
        <v>46011</v>
      </c>
      <c r="S143" s="3" t="s">
        <v>37</v>
      </c>
      <c r="T143" s="3" t="s">
        <v>38</v>
      </c>
      <c r="U143" s="3" t="s">
        <v>39</v>
      </c>
      <c r="V143" s="5">
        <v>2002.67</v>
      </c>
      <c r="W143" s="3">
        <v>851.13</v>
      </c>
      <c r="X143" s="3">
        <v>806.07</v>
      </c>
      <c r="Y143" s="3">
        <v>345.47</v>
      </c>
    </row>
    <row r="144" spans="1:25" ht="60.75" x14ac:dyDescent="0.25">
      <c r="A144" s="3" t="s">
        <v>26</v>
      </c>
      <c r="B144" s="3" t="s">
        <v>27</v>
      </c>
      <c r="C144" s="3" t="s">
        <v>28</v>
      </c>
      <c r="D144" s="3" t="s">
        <v>29</v>
      </c>
      <c r="E144" s="3" t="s">
        <v>77</v>
      </c>
      <c r="F144" s="3" t="s">
        <v>31</v>
      </c>
      <c r="G144" s="3" t="s">
        <v>77</v>
      </c>
      <c r="H144" s="3" t="s">
        <v>32</v>
      </c>
      <c r="I144" s="3">
        <v>2025</v>
      </c>
      <c r="J144" s="3" t="str">
        <f>CONCATENATE("54820169933")</f>
        <v>54820169933</v>
      </c>
      <c r="K144" s="3" t="s">
        <v>33</v>
      </c>
      <c r="L144" s="3"/>
      <c r="M144" s="3" t="s">
        <v>34</v>
      </c>
      <c r="N144" s="3" t="str">
        <f>CONCATENATE("MSSLCU84B21I156H")</f>
        <v>MSSLCU84B21I156H</v>
      </c>
      <c r="O144" s="3" t="s">
        <v>237</v>
      </c>
      <c r="P144" s="3" t="s">
        <v>36</v>
      </c>
      <c r="Q144" s="3"/>
      <c r="R144" s="4">
        <v>46011</v>
      </c>
      <c r="S144" s="3" t="s">
        <v>37</v>
      </c>
      <c r="T144" s="3" t="s">
        <v>38</v>
      </c>
      <c r="U144" s="3" t="s">
        <v>39</v>
      </c>
      <c r="V144" s="5">
        <v>7408.6</v>
      </c>
      <c r="W144" s="5">
        <v>3148.66</v>
      </c>
      <c r="X144" s="5">
        <v>2981.96</v>
      </c>
      <c r="Y144" s="5">
        <v>1277.98</v>
      </c>
    </row>
    <row r="145" spans="1:25" ht="36.75" x14ac:dyDescent="0.25">
      <c r="A145" s="3" t="s">
        <v>26</v>
      </c>
      <c r="B145" s="3" t="s">
        <v>27</v>
      </c>
      <c r="C145" s="3" t="s">
        <v>28</v>
      </c>
      <c r="D145" s="3" t="s">
        <v>40</v>
      </c>
      <c r="E145" s="3" t="s">
        <v>100</v>
      </c>
      <c r="F145" s="3" t="s">
        <v>42</v>
      </c>
      <c r="G145" s="3" t="s">
        <v>100</v>
      </c>
      <c r="H145" s="3" t="s">
        <v>63</v>
      </c>
      <c r="I145" s="3">
        <v>2025</v>
      </c>
      <c r="J145" s="3" t="str">
        <f>CONCATENATE("54820239264")</f>
        <v>54820239264</v>
      </c>
      <c r="K145" s="3" t="s">
        <v>33</v>
      </c>
      <c r="L145" s="3"/>
      <c r="M145" s="3" t="s">
        <v>34</v>
      </c>
      <c r="N145" s="3" t="str">
        <f>CONCATENATE("02395070424")</f>
        <v>02395070424</v>
      </c>
      <c r="O145" s="3" t="s">
        <v>238</v>
      </c>
      <c r="P145" s="3" t="s">
        <v>36</v>
      </c>
      <c r="Q145" s="3"/>
      <c r="R145" s="4">
        <v>46011</v>
      </c>
      <c r="S145" s="3" t="s">
        <v>37</v>
      </c>
      <c r="T145" s="3" t="s">
        <v>38</v>
      </c>
      <c r="U145" s="3" t="s">
        <v>39</v>
      </c>
      <c r="V145" s="5">
        <v>8437.67</v>
      </c>
      <c r="W145" s="5">
        <v>3586.01</v>
      </c>
      <c r="X145" s="5">
        <v>3396.16</v>
      </c>
      <c r="Y145" s="5">
        <v>1455.5</v>
      </c>
    </row>
    <row r="146" spans="1:25" ht="36.75" x14ac:dyDescent="0.25">
      <c r="A146" s="3" t="s">
        <v>26</v>
      </c>
      <c r="B146" s="3" t="s">
        <v>27</v>
      </c>
      <c r="C146" s="3" t="s">
        <v>28</v>
      </c>
      <c r="D146" s="3" t="s">
        <v>40</v>
      </c>
      <c r="E146" s="3" t="s">
        <v>58</v>
      </c>
      <c r="F146" s="3" t="s">
        <v>42</v>
      </c>
      <c r="G146" s="3" t="s">
        <v>58</v>
      </c>
      <c r="H146" s="3" t="s">
        <v>43</v>
      </c>
      <c r="I146" s="3">
        <v>2025</v>
      </c>
      <c r="J146" s="3" t="str">
        <f>CONCATENATE("54820242391")</f>
        <v>54820242391</v>
      </c>
      <c r="K146" s="3" t="s">
        <v>33</v>
      </c>
      <c r="L146" s="3"/>
      <c r="M146" s="3" t="s">
        <v>34</v>
      </c>
      <c r="N146" s="3" t="str">
        <f>CONCATENATE("02212780411")</f>
        <v>02212780411</v>
      </c>
      <c r="O146" s="3" t="s">
        <v>239</v>
      </c>
      <c r="P146" s="3" t="s">
        <v>36</v>
      </c>
      <c r="Q146" s="3"/>
      <c r="R146" s="4">
        <v>46011</v>
      </c>
      <c r="S146" s="3" t="s">
        <v>37</v>
      </c>
      <c r="T146" s="3" t="s">
        <v>38</v>
      </c>
      <c r="U146" s="3" t="s">
        <v>39</v>
      </c>
      <c r="V146" s="5">
        <v>7804.87</v>
      </c>
      <c r="W146" s="5">
        <v>3317.07</v>
      </c>
      <c r="X146" s="5">
        <v>3141.46</v>
      </c>
      <c r="Y146" s="5">
        <v>1346.34</v>
      </c>
    </row>
    <row r="147" spans="1:25" ht="60.75" x14ac:dyDescent="0.25">
      <c r="A147" s="3" t="s">
        <v>26</v>
      </c>
      <c r="B147" s="3" t="s">
        <v>27</v>
      </c>
      <c r="C147" s="3" t="s">
        <v>28</v>
      </c>
      <c r="D147" s="3" t="s">
        <v>40</v>
      </c>
      <c r="E147" s="3" t="s">
        <v>41</v>
      </c>
      <c r="F147" s="3" t="s">
        <v>42</v>
      </c>
      <c r="G147" s="3" t="s">
        <v>41</v>
      </c>
      <c r="H147" s="3" t="s">
        <v>43</v>
      </c>
      <c r="I147" s="3">
        <v>2025</v>
      </c>
      <c r="J147" s="3" t="str">
        <f>CONCATENATE("54820069844")</f>
        <v>54820069844</v>
      </c>
      <c r="K147" s="3" t="s">
        <v>33</v>
      </c>
      <c r="L147" s="3"/>
      <c r="M147" s="3" t="s">
        <v>34</v>
      </c>
      <c r="N147" s="3" t="str">
        <f>CONCATENATE("RGGPRN34B22D749Y")</f>
        <v>RGGPRN34B22D749Y</v>
      </c>
      <c r="O147" s="3" t="s">
        <v>240</v>
      </c>
      <c r="P147" s="3" t="s">
        <v>36</v>
      </c>
      <c r="Q147" s="3"/>
      <c r="R147" s="4">
        <v>46011</v>
      </c>
      <c r="S147" s="3" t="s">
        <v>37</v>
      </c>
      <c r="T147" s="3" t="s">
        <v>38</v>
      </c>
      <c r="U147" s="3" t="s">
        <v>39</v>
      </c>
      <c r="V147" s="3">
        <v>596.36</v>
      </c>
      <c r="W147" s="3">
        <v>253.45</v>
      </c>
      <c r="X147" s="3">
        <v>240.03</v>
      </c>
      <c r="Y147" s="3">
        <v>102.88</v>
      </c>
    </row>
    <row r="148" spans="1:25" ht="60.75" x14ac:dyDescent="0.25">
      <c r="A148" s="3" t="s">
        <v>26</v>
      </c>
      <c r="B148" s="3" t="s">
        <v>27</v>
      </c>
      <c r="C148" s="3" t="s">
        <v>28</v>
      </c>
      <c r="D148" s="3" t="s">
        <v>47</v>
      </c>
      <c r="E148" s="3" t="s">
        <v>62</v>
      </c>
      <c r="F148" s="3" t="s">
        <v>49</v>
      </c>
      <c r="G148" s="3" t="s">
        <v>62</v>
      </c>
      <c r="H148" s="3" t="s">
        <v>63</v>
      </c>
      <c r="I148" s="3">
        <v>2025</v>
      </c>
      <c r="J148" s="3" t="str">
        <f>CONCATENATE("54820089214")</f>
        <v>54820089214</v>
      </c>
      <c r="K148" s="3" t="s">
        <v>33</v>
      </c>
      <c r="L148" s="3"/>
      <c r="M148" s="3" t="s">
        <v>34</v>
      </c>
      <c r="N148" s="3" t="str">
        <f>CONCATENATE("MSCSMN91H23I608Y")</f>
        <v>MSCSMN91H23I608Y</v>
      </c>
      <c r="O148" s="3" t="s">
        <v>241</v>
      </c>
      <c r="P148" s="3" t="s">
        <v>36</v>
      </c>
      <c r="Q148" s="3"/>
      <c r="R148" s="4">
        <v>46011</v>
      </c>
      <c r="S148" s="3" t="s">
        <v>37</v>
      </c>
      <c r="T148" s="3" t="s">
        <v>38</v>
      </c>
      <c r="U148" s="3" t="s">
        <v>39</v>
      </c>
      <c r="V148" s="3">
        <v>743.51</v>
      </c>
      <c r="W148" s="3">
        <v>315.99</v>
      </c>
      <c r="X148" s="3">
        <v>299.26</v>
      </c>
      <c r="Y148" s="3">
        <v>128.26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40</v>
      </c>
      <c r="E149" s="3" t="s">
        <v>196</v>
      </c>
      <c r="F149" s="3" t="s">
        <v>42</v>
      </c>
      <c r="G149" s="3" t="s">
        <v>196</v>
      </c>
      <c r="H149" s="3" t="s">
        <v>63</v>
      </c>
      <c r="I149" s="3">
        <v>2025</v>
      </c>
      <c r="J149" s="3" t="str">
        <f>CONCATENATE("54820109533")</f>
        <v>54820109533</v>
      </c>
      <c r="K149" s="3" t="s">
        <v>33</v>
      </c>
      <c r="L149" s="3"/>
      <c r="M149" s="3" t="s">
        <v>34</v>
      </c>
      <c r="N149" s="3" t="str">
        <f>CONCATENATE("CMRCLD68S07I653R")</f>
        <v>CMRCLD68S07I653R</v>
      </c>
      <c r="O149" s="3" t="s">
        <v>242</v>
      </c>
      <c r="P149" s="3" t="s">
        <v>36</v>
      </c>
      <c r="Q149" s="3"/>
      <c r="R149" s="4">
        <v>46011</v>
      </c>
      <c r="S149" s="3" t="s">
        <v>37</v>
      </c>
      <c r="T149" s="3" t="s">
        <v>38</v>
      </c>
      <c r="U149" s="3" t="s">
        <v>39</v>
      </c>
      <c r="V149" s="3">
        <v>242.05</v>
      </c>
      <c r="W149" s="3">
        <v>102.87</v>
      </c>
      <c r="X149" s="3">
        <v>97.43</v>
      </c>
      <c r="Y149" s="3">
        <v>41.75</v>
      </c>
    </row>
    <row r="150" spans="1:25" ht="60.75" x14ac:dyDescent="0.25">
      <c r="A150" s="3" t="s">
        <v>26</v>
      </c>
      <c r="B150" s="3" t="s">
        <v>27</v>
      </c>
      <c r="C150" s="3" t="s">
        <v>28</v>
      </c>
      <c r="D150" s="3" t="s">
        <v>74</v>
      </c>
      <c r="E150" s="3" t="s">
        <v>130</v>
      </c>
      <c r="F150" s="3" t="s">
        <v>74</v>
      </c>
      <c r="G150" s="3" t="s">
        <v>130</v>
      </c>
      <c r="H150" s="3" t="s">
        <v>85</v>
      </c>
      <c r="I150" s="3">
        <v>2025</v>
      </c>
      <c r="J150" s="3" t="str">
        <f>CONCATENATE("54820137518")</f>
        <v>54820137518</v>
      </c>
      <c r="K150" s="3" t="s">
        <v>33</v>
      </c>
      <c r="L150" s="3"/>
      <c r="M150" s="3" t="s">
        <v>34</v>
      </c>
      <c r="N150" s="3" t="str">
        <f>CONCATENATE("CVTDNL67E14A462F")</f>
        <v>CVTDNL67E14A462F</v>
      </c>
      <c r="O150" s="3" t="s">
        <v>243</v>
      </c>
      <c r="P150" s="3" t="s">
        <v>36</v>
      </c>
      <c r="Q150" s="3"/>
      <c r="R150" s="4">
        <v>46011</v>
      </c>
      <c r="S150" s="3" t="s">
        <v>37</v>
      </c>
      <c r="T150" s="3" t="s">
        <v>38</v>
      </c>
      <c r="U150" s="3" t="s">
        <v>39</v>
      </c>
      <c r="V150" s="3">
        <v>718.35</v>
      </c>
      <c r="W150" s="3">
        <v>305.3</v>
      </c>
      <c r="X150" s="3">
        <v>289.14</v>
      </c>
      <c r="Y150" s="3">
        <v>123.91</v>
      </c>
    </row>
    <row r="151" spans="1:25" ht="60.75" x14ac:dyDescent="0.25">
      <c r="A151" s="3" t="s">
        <v>26</v>
      </c>
      <c r="B151" s="3" t="s">
        <v>27</v>
      </c>
      <c r="C151" s="3" t="s">
        <v>28</v>
      </c>
      <c r="D151" s="3" t="s">
        <v>40</v>
      </c>
      <c r="E151" s="3" t="s">
        <v>146</v>
      </c>
      <c r="F151" s="3" t="s">
        <v>42</v>
      </c>
      <c r="G151" s="3" t="s">
        <v>146</v>
      </c>
      <c r="H151" s="3" t="s">
        <v>63</v>
      </c>
      <c r="I151" s="3">
        <v>2025</v>
      </c>
      <c r="J151" s="3" t="str">
        <f>CONCATENATE("54820122627")</f>
        <v>54820122627</v>
      </c>
      <c r="K151" s="3" t="s">
        <v>33</v>
      </c>
      <c r="L151" s="3"/>
      <c r="M151" s="3" t="s">
        <v>34</v>
      </c>
      <c r="N151" s="3" t="str">
        <f>CONCATENATE("BDCNDR73T03A366K")</f>
        <v>BDCNDR73T03A366K</v>
      </c>
      <c r="O151" s="3" t="s">
        <v>244</v>
      </c>
      <c r="P151" s="3" t="s">
        <v>36</v>
      </c>
      <c r="Q151" s="3"/>
      <c r="R151" s="4">
        <v>46011</v>
      </c>
      <c r="S151" s="3" t="s">
        <v>37</v>
      </c>
      <c r="T151" s="3" t="s">
        <v>38</v>
      </c>
      <c r="U151" s="3" t="s">
        <v>39</v>
      </c>
      <c r="V151" s="5">
        <v>1891.15</v>
      </c>
      <c r="W151" s="3">
        <v>803.74</v>
      </c>
      <c r="X151" s="3">
        <v>761.19</v>
      </c>
      <c r="Y151" s="3">
        <v>326.22000000000003</v>
      </c>
    </row>
    <row r="152" spans="1:25" ht="60.75" x14ac:dyDescent="0.25">
      <c r="A152" s="3" t="s">
        <v>26</v>
      </c>
      <c r="B152" s="3" t="s">
        <v>27</v>
      </c>
      <c r="C152" s="3" t="s">
        <v>28</v>
      </c>
      <c r="D152" s="3" t="s">
        <v>40</v>
      </c>
      <c r="E152" s="3" t="s">
        <v>112</v>
      </c>
      <c r="F152" s="3" t="s">
        <v>42</v>
      </c>
      <c r="G152" s="3" t="s">
        <v>112</v>
      </c>
      <c r="H152" s="3" t="s">
        <v>43</v>
      </c>
      <c r="I152" s="3">
        <v>2025</v>
      </c>
      <c r="J152" s="3" t="str">
        <f>CONCATENATE("54820158589")</f>
        <v>54820158589</v>
      </c>
      <c r="K152" s="3" t="s">
        <v>33</v>
      </c>
      <c r="L152" s="3"/>
      <c r="M152" s="3" t="s">
        <v>34</v>
      </c>
      <c r="N152" s="3" t="str">
        <f>CONCATENATE("MTTSMN70S19I459M")</f>
        <v>MTTSMN70S19I459M</v>
      </c>
      <c r="O152" s="3" t="s">
        <v>245</v>
      </c>
      <c r="P152" s="3" t="s">
        <v>36</v>
      </c>
      <c r="Q152" s="3"/>
      <c r="R152" s="4">
        <v>46011</v>
      </c>
      <c r="S152" s="3" t="s">
        <v>37</v>
      </c>
      <c r="T152" s="3" t="s">
        <v>38</v>
      </c>
      <c r="U152" s="3" t="s">
        <v>39</v>
      </c>
      <c r="V152" s="3">
        <v>560.19000000000005</v>
      </c>
      <c r="W152" s="3">
        <v>238.08</v>
      </c>
      <c r="X152" s="3">
        <v>225.48</v>
      </c>
      <c r="Y152" s="3">
        <v>96.63</v>
      </c>
    </row>
    <row r="153" spans="1:25" ht="36.75" x14ac:dyDescent="0.25">
      <c r="A153" s="3" t="s">
        <v>26</v>
      </c>
      <c r="B153" s="3" t="s">
        <v>27</v>
      </c>
      <c r="C153" s="3" t="s">
        <v>28</v>
      </c>
      <c r="D153" s="3" t="s">
        <v>40</v>
      </c>
      <c r="E153" s="3" t="s">
        <v>196</v>
      </c>
      <c r="F153" s="3" t="s">
        <v>42</v>
      </c>
      <c r="G153" s="3" t="s">
        <v>196</v>
      </c>
      <c r="H153" s="3" t="s">
        <v>63</v>
      </c>
      <c r="I153" s="3">
        <v>2025</v>
      </c>
      <c r="J153" s="3" t="str">
        <f>CONCATENATE("54820047287")</f>
        <v>54820047287</v>
      </c>
      <c r="K153" s="3" t="s">
        <v>33</v>
      </c>
      <c r="L153" s="3"/>
      <c r="M153" s="3" t="s">
        <v>34</v>
      </c>
      <c r="N153" s="3" t="str">
        <f>CONCATENATE("02200520423")</f>
        <v>02200520423</v>
      </c>
      <c r="O153" s="3" t="s">
        <v>246</v>
      </c>
      <c r="P153" s="3" t="s">
        <v>36</v>
      </c>
      <c r="Q153" s="3"/>
      <c r="R153" s="4">
        <v>46011</v>
      </c>
      <c r="S153" s="3" t="s">
        <v>37</v>
      </c>
      <c r="T153" s="3" t="s">
        <v>38</v>
      </c>
      <c r="U153" s="3" t="s">
        <v>39</v>
      </c>
      <c r="V153" s="5">
        <v>4047.69</v>
      </c>
      <c r="W153" s="5">
        <v>1720.27</v>
      </c>
      <c r="X153" s="5">
        <v>1629.2</v>
      </c>
      <c r="Y153" s="3">
        <v>698.22</v>
      </c>
    </row>
    <row r="154" spans="1:25" ht="36.75" x14ac:dyDescent="0.25">
      <c r="A154" s="3" t="s">
        <v>26</v>
      </c>
      <c r="B154" s="3" t="s">
        <v>27</v>
      </c>
      <c r="C154" s="3" t="s">
        <v>28</v>
      </c>
      <c r="D154" s="3" t="s">
        <v>40</v>
      </c>
      <c r="E154" s="3" t="s">
        <v>65</v>
      </c>
      <c r="F154" s="3" t="s">
        <v>42</v>
      </c>
      <c r="G154" s="3" t="s">
        <v>65</v>
      </c>
      <c r="H154" s="3" t="s">
        <v>32</v>
      </c>
      <c r="I154" s="3">
        <v>2025</v>
      </c>
      <c r="J154" s="3" t="str">
        <f>CONCATENATE("54820167101")</f>
        <v>54820167101</v>
      </c>
      <c r="K154" s="3" t="s">
        <v>33</v>
      </c>
      <c r="L154" s="3"/>
      <c r="M154" s="3" t="s">
        <v>34</v>
      </c>
      <c r="N154" s="3" t="str">
        <f>CONCATENATE("01746490430")</f>
        <v>01746490430</v>
      </c>
      <c r="O154" s="3" t="s">
        <v>247</v>
      </c>
      <c r="P154" s="3" t="s">
        <v>36</v>
      </c>
      <c r="Q154" s="3"/>
      <c r="R154" s="4">
        <v>46011</v>
      </c>
      <c r="S154" s="3" t="s">
        <v>37</v>
      </c>
      <c r="T154" s="3" t="s">
        <v>38</v>
      </c>
      <c r="U154" s="3" t="s">
        <v>39</v>
      </c>
      <c r="V154" s="5">
        <v>2482.77</v>
      </c>
      <c r="W154" s="5">
        <v>1055.18</v>
      </c>
      <c r="X154" s="3">
        <v>999.31</v>
      </c>
      <c r="Y154" s="3">
        <v>428.28</v>
      </c>
    </row>
    <row r="155" spans="1:25" ht="60.75" x14ac:dyDescent="0.25">
      <c r="A155" s="3" t="s">
        <v>26</v>
      </c>
      <c r="B155" s="3" t="s">
        <v>27</v>
      </c>
      <c r="C155" s="3" t="s">
        <v>28</v>
      </c>
      <c r="D155" s="3" t="s">
        <v>47</v>
      </c>
      <c r="E155" s="3" t="s">
        <v>174</v>
      </c>
      <c r="F155" s="3" t="s">
        <v>49</v>
      </c>
      <c r="G155" s="3" t="s">
        <v>174</v>
      </c>
      <c r="H155" s="3" t="s">
        <v>43</v>
      </c>
      <c r="I155" s="3">
        <v>2025</v>
      </c>
      <c r="J155" s="3" t="str">
        <f>CONCATENATE("54820123385")</f>
        <v>54820123385</v>
      </c>
      <c r="K155" s="3" t="s">
        <v>33</v>
      </c>
      <c r="L155" s="3"/>
      <c r="M155" s="3" t="s">
        <v>34</v>
      </c>
      <c r="N155" s="3" t="str">
        <f>CONCATENATE("SBBGPP74B11B352Z")</f>
        <v>SBBGPP74B11B352Z</v>
      </c>
      <c r="O155" s="3" t="s">
        <v>248</v>
      </c>
      <c r="P155" s="3" t="s">
        <v>36</v>
      </c>
      <c r="Q155" s="3"/>
      <c r="R155" s="4">
        <v>46011</v>
      </c>
      <c r="S155" s="3" t="s">
        <v>37</v>
      </c>
      <c r="T155" s="3" t="s">
        <v>38</v>
      </c>
      <c r="U155" s="3" t="s">
        <v>39</v>
      </c>
      <c r="V155" s="3">
        <v>405.99</v>
      </c>
      <c r="W155" s="3">
        <v>172.55</v>
      </c>
      <c r="X155" s="3">
        <v>163.41</v>
      </c>
      <c r="Y155" s="3">
        <v>70.03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47</v>
      </c>
      <c r="E156" s="3" t="s">
        <v>91</v>
      </c>
      <c r="F156" s="3" t="s">
        <v>49</v>
      </c>
      <c r="G156" s="3" t="s">
        <v>91</v>
      </c>
      <c r="H156" s="3" t="s">
        <v>85</v>
      </c>
      <c r="I156" s="3">
        <v>2025</v>
      </c>
      <c r="J156" s="3" t="str">
        <f>CONCATENATE("54810887098")</f>
        <v>54810887098</v>
      </c>
      <c r="K156" s="3" t="s">
        <v>33</v>
      </c>
      <c r="L156" s="3"/>
      <c r="M156" s="3" t="s">
        <v>92</v>
      </c>
      <c r="N156" s="3" t="str">
        <f>CONCATENATE("MRCLGN53M69E207K")</f>
        <v>MRCLGN53M69E207K</v>
      </c>
      <c r="O156" s="3" t="s">
        <v>93</v>
      </c>
      <c r="P156" s="3" t="s">
        <v>36</v>
      </c>
      <c r="Q156" s="3"/>
      <c r="R156" s="4">
        <v>45995</v>
      </c>
      <c r="S156" s="3" t="s">
        <v>37</v>
      </c>
      <c r="T156" s="3" t="s">
        <v>38</v>
      </c>
      <c r="U156" s="3" t="s">
        <v>39</v>
      </c>
      <c r="V156" s="5">
        <v>1160.44</v>
      </c>
      <c r="W156" s="3">
        <v>493.19</v>
      </c>
      <c r="X156" s="3">
        <v>467.08</v>
      </c>
      <c r="Y156" s="3">
        <v>200.17</v>
      </c>
    </row>
    <row r="157" spans="1:25" ht="36.75" x14ac:dyDescent="0.25">
      <c r="A157" s="3" t="s">
        <v>26</v>
      </c>
      <c r="B157" s="3" t="s">
        <v>27</v>
      </c>
      <c r="C157" s="3" t="s">
        <v>28</v>
      </c>
      <c r="D157" s="3" t="s">
        <v>54</v>
      </c>
      <c r="E157" s="3" t="s">
        <v>215</v>
      </c>
      <c r="F157" s="3" t="s">
        <v>56</v>
      </c>
      <c r="G157" s="3" t="s">
        <v>215</v>
      </c>
      <c r="H157" s="3" t="s">
        <v>63</v>
      </c>
      <c r="I157" s="3">
        <v>2025</v>
      </c>
      <c r="J157" s="3" t="str">
        <f>CONCATENATE("54810399029")</f>
        <v>54810399029</v>
      </c>
      <c r="K157" s="3" t="s">
        <v>33</v>
      </c>
      <c r="L157" s="3"/>
      <c r="M157" s="3" t="s">
        <v>249</v>
      </c>
      <c r="N157" s="3" t="str">
        <f>CONCATENATE("02783040427")</f>
        <v>02783040427</v>
      </c>
      <c r="O157" s="3" t="s">
        <v>250</v>
      </c>
      <c r="P157" s="3" t="s">
        <v>36</v>
      </c>
      <c r="Q157" s="3"/>
      <c r="R157" s="4">
        <v>46013</v>
      </c>
      <c r="S157" s="3" t="s">
        <v>37</v>
      </c>
      <c r="T157" s="3" t="s">
        <v>38</v>
      </c>
      <c r="U157" s="3" t="s">
        <v>39</v>
      </c>
      <c r="V157" s="5">
        <v>3075.49</v>
      </c>
      <c r="W157" s="5">
        <v>1307.08</v>
      </c>
      <c r="X157" s="5">
        <v>1237.8800000000001</v>
      </c>
      <c r="Y157" s="3">
        <v>530.53</v>
      </c>
    </row>
    <row r="158" spans="1:25" ht="60.75" x14ac:dyDescent="0.25">
      <c r="A158" s="3" t="s">
        <v>26</v>
      </c>
      <c r="B158" s="3" t="s">
        <v>27</v>
      </c>
      <c r="C158" s="3" t="s">
        <v>28</v>
      </c>
      <c r="D158" s="3" t="s">
        <v>29</v>
      </c>
      <c r="E158" s="3" t="s">
        <v>77</v>
      </c>
      <c r="F158" s="3" t="s">
        <v>31</v>
      </c>
      <c r="G158" s="3" t="s">
        <v>77</v>
      </c>
      <c r="H158" s="3" t="s">
        <v>32</v>
      </c>
      <c r="I158" s="3">
        <v>2025</v>
      </c>
      <c r="J158" s="3" t="str">
        <f>CONCATENATE("54810077583")</f>
        <v>54810077583</v>
      </c>
      <c r="K158" s="3" t="s">
        <v>33</v>
      </c>
      <c r="L158" s="3"/>
      <c r="M158" s="3" t="s">
        <v>249</v>
      </c>
      <c r="N158" s="3" t="str">
        <f>CONCATENATE("CPPTZN72T50E783X")</f>
        <v>CPPTZN72T50E783X</v>
      </c>
      <c r="O158" s="3" t="s">
        <v>251</v>
      </c>
      <c r="P158" s="3" t="s">
        <v>36</v>
      </c>
      <c r="Q158" s="3"/>
      <c r="R158" s="4">
        <v>46013</v>
      </c>
      <c r="S158" s="3" t="s">
        <v>37</v>
      </c>
      <c r="T158" s="3" t="s">
        <v>38</v>
      </c>
      <c r="U158" s="3" t="s">
        <v>39</v>
      </c>
      <c r="V158" s="3">
        <v>643.76</v>
      </c>
      <c r="W158" s="3">
        <v>273.60000000000002</v>
      </c>
      <c r="X158" s="3">
        <v>259.11</v>
      </c>
      <c r="Y158" s="3">
        <v>111.05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29</v>
      </c>
      <c r="E159" s="3" t="s">
        <v>77</v>
      </c>
      <c r="F159" s="3" t="s">
        <v>31</v>
      </c>
      <c r="G159" s="3" t="s">
        <v>77</v>
      </c>
      <c r="H159" s="3" t="s">
        <v>85</v>
      </c>
      <c r="I159" s="3">
        <v>2025</v>
      </c>
      <c r="J159" s="3" t="str">
        <f>CONCATENATE("54810084811")</f>
        <v>54810084811</v>
      </c>
      <c r="K159" s="3" t="s">
        <v>33</v>
      </c>
      <c r="L159" s="3"/>
      <c r="M159" s="3" t="s">
        <v>249</v>
      </c>
      <c r="N159" s="3" t="str">
        <f>CONCATENATE("PSQLSN53S60A252J")</f>
        <v>PSQLSN53S60A252J</v>
      </c>
      <c r="O159" s="3" t="s">
        <v>110</v>
      </c>
      <c r="P159" s="3" t="s">
        <v>36</v>
      </c>
      <c r="Q159" s="3"/>
      <c r="R159" s="4">
        <v>46013</v>
      </c>
      <c r="S159" s="3" t="s">
        <v>37</v>
      </c>
      <c r="T159" s="3" t="s">
        <v>38</v>
      </c>
      <c r="U159" s="3" t="s">
        <v>39</v>
      </c>
      <c r="V159" s="5">
        <v>1355.71</v>
      </c>
      <c r="W159" s="3">
        <v>576.17999999999995</v>
      </c>
      <c r="X159" s="3">
        <v>545.66999999999996</v>
      </c>
      <c r="Y159" s="3">
        <v>233.86</v>
      </c>
    </row>
    <row r="160" spans="1:25" ht="36.75" x14ac:dyDescent="0.25">
      <c r="A160" s="3" t="s">
        <v>26</v>
      </c>
      <c r="B160" s="3" t="s">
        <v>27</v>
      </c>
      <c r="C160" s="3" t="s">
        <v>28</v>
      </c>
      <c r="D160" s="3" t="s">
        <v>29</v>
      </c>
      <c r="E160" s="3" t="s">
        <v>77</v>
      </c>
      <c r="F160" s="3" t="s">
        <v>31</v>
      </c>
      <c r="G160" s="3" t="s">
        <v>77</v>
      </c>
      <c r="H160" s="3" t="s">
        <v>32</v>
      </c>
      <c r="I160" s="3">
        <v>2025</v>
      </c>
      <c r="J160" s="3" t="str">
        <f>CONCATENATE("54810069168")</f>
        <v>54810069168</v>
      </c>
      <c r="K160" s="3" t="s">
        <v>33</v>
      </c>
      <c r="L160" s="3"/>
      <c r="M160" s="3" t="s">
        <v>249</v>
      </c>
      <c r="N160" s="3" t="str">
        <f>CONCATENATE("01885930436")</f>
        <v>01885930436</v>
      </c>
      <c r="O160" s="3" t="s">
        <v>252</v>
      </c>
      <c r="P160" s="3" t="s">
        <v>36</v>
      </c>
      <c r="Q160" s="3"/>
      <c r="R160" s="4">
        <v>46013</v>
      </c>
      <c r="S160" s="3" t="s">
        <v>37</v>
      </c>
      <c r="T160" s="3" t="s">
        <v>38</v>
      </c>
      <c r="U160" s="3" t="s">
        <v>39</v>
      </c>
      <c r="V160" s="3">
        <v>600.79999999999995</v>
      </c>
      <c r="W160" s="3">
        <v>255.34</v>
      </c>
      <c r="X160" s="3">
        <v>241.82</v>
      </c>
      <c r="Y160" s="3">
        <v>103.64</v>
      </c>
    </row>
    <row r="161" spans="1:25" ht="72.75" x14ac:dyDescent="0.25">
      <c r="A161" s="3" t="s">
        <v>26</v>
      </c>
      <c r="B161" s="3" t="s">
        <v>27</v>
      </c>
      <c r="C161" s="3" t="s">
        <v>28</v>
      </c>
      <c r="D161" s="3" t="s">
        <v>253</v>
      </c>
      <c r="E161" s="3" t="s">
        <v>254</v>
      </c>
      <c r="F161" s="3" t="s">
        <v>255</v>
      </c>
      <c r="G161" s="3" t="s">
        <v>254</v>
      </c>
      <c r="H161" s="3" t="s">
        <v>63</v>
      </c>
      <c r="I161" s="3">
        <v>2025</v>
      </c>
      <c r="J161" s="3" t="str">
        <f>CONCATENATE("54810884525")</f>
        <v>54810884525</v>
      </c>
      <c r="K161" s="3" t="s">
        <v>33</v>
      </c>
      <c r="L161" s="3"/>
      <c r="M161" s="3" t="s">
        <v>249</v>
      </c>
      <c r="N161" s="3" t="str">
        <f>CONCATENATE("BNDMCM03T05A271O")</f>
        <v>BNDMCM03T05A271O</v>
      </c>
      <c r="O161" s="3" t="s">
        <v>256</v>
      </c>
      <c r="P161" s="3" t="s">
        <v>36</v>
      </c>
      <c r="Q161" s="3"/>
      <c r="R161" s="4">
        <v>46013</v>
      </c>
      <c r="S161" s="3" t="s">
        <v>37</v>
      </c>
      <c r="T161" s="3" t="s">
        <v>38</v>
      </c>
      <c r="U161" s="3" t="s">
        <v>39</v>
      </c>
      <c r="V161" s="5">
        <v>2202.42</v>
      </c>
      <c r="W161" s="3">
        <v>936.03</v>
      </c>
      <c r="X161" s="3">
        <v>886.47</v>
      </c>
      <c r="Y161" s="3">
        <v>379.92</v>
      </c>
    </row>
    <row r="162" spans="1:25" ht="60.75" x14ac:dyDescent="0.25">
      <c r="A162" s="3" t="s">
        <v>26</v>
      </c>
      <c r="B162" s="3" t="s">
        <v>27</v>
      </c>
      <c r="C162" s="3" t="s">
        <v>28</v>
      </c>
      <c r="D162" s="3" t="s">
        <v>29</v>
      </c>
      <c r="E162" s="3" t="s">
        <v>77</v>
      </c>
      <c r="F162" s="3" t="s">
        <v>31</v>
      </c>
      <c r="G162" s="3" t="s">
        <v>77</v>
      </c>
      <c r="H162" s="3" t="s">
        <v>32</v>
      </c>
      <c r="I162" s="3">
        <v>2025</v>
      </c>
      <c r="J162" s="3" t="str">
        <f>CONCATENATE("54810072998")</f>
        <v>54810072998</v>
      </c>
      <c r="K162" s="3" t="s">
        <v>33</v>
      </c>
      <c r="L162" s="3"/>
      <c r="M162" s="3" t="s">
        <v>249</v>
      </c>
      <c r="N162" s="3" t="str">
        <f>CONCATENATE("PRGGPP47B55H501J")</f>
        <v>PRGGPP47B55H501J</v>
      </c>
      <c r="O162" s="3" t="s">
        <v>257</v>
      </c>
      <c r="P162" s="3" t="s">
        <v>36</v>
      </c>
      <c r="Q162" s="3"/>
      <c r="R162" s="4">
        <v>46013</v>
      </c>
      <c r="S162" s="3" t="s">
        <v>37</v>
      </c>
      <c r="T162" s="3" t="s">
        <v>38</v>
      </c>
      <c r="U162" s="3" t="s">
        <v>39</v>
      </c>
      <c r="V162" s="3">
        <v>531.32000000000005</v>
      </c>
      <c r="W162" s="3">
        <v>225.81</v>
      </c>
      <c r="X162" s="3">
        <v>213.86</v>
      </c>
      <c r="Y162" s="3">
        <v>91.65</v>
      </c>
    </row>
    <row r="163" spans="1:25" ht="60.75" x14ac:dyDescent="0.25">
      <c r="A163" s="3" t="s">
        <v>26</v>
      </c>
      <c r="B163" s="3" t="s">
        <v>27</v>
      </c>
      <c r="C163" s="3" t="s">
        <v>28</v>
      </c>
      <c r="D163" s="3" t="s">
        <v>29</v>
      </c>
      <c r="E163" s="3" t="s">
        <v>68</v>
      </c>
      <c r="F163" s="3" t="s">
        <v>31</v>
      </c>
      <c r="G163" s="3" t="s">
        <v>68</v>
      </c>
      <c r="H163" s="3" t="s">
        <v>32</v>
      </c>
      <c r="I163" s="3">
        <v>2025</v>
      </c>
      <c r="J163" s="3" t="str">
        <f>CONCATENATE("54810049038")</f>
        <v>54810049038</v>
      </c>
      <c r="K163" s="3" t="s">
        <v>33</v>
      </c>
      <c r="L163" s="3"/>
      <c r="M163" s="3" t="s">
        <v>92</v>
      </c>
      <c r="N163" s="3" t="str">
        <f>CONCATENATE("PRNFNC76R08L191H")</f>
        <v>PRNFNC76R08L191H</v>
      </c>
      <c r="O163" s="3" t="s">
        <v>258</v>
      </c>
      <c r="P163" s="3" t="s">
        <v>36</v>
      </c>
      <c r="Q163" s="3"/>
      <c r="R163" s="4">
        <v>46011</v>
      </c>
      <c r="S163" s="3" t="s">
        <v>37</v>
      </c>
      <c r="T163" s="3" t="s">
        <v>38</v>
      </c>
      <c r="U163" s="3" t="s">
        <v>39</v>
      </c>
      <c r="V163" s="3">
        <v>512.32000000000005</v>
      </c>
      <c r="W163" s="3">
        <v>217.74</v>
      </c>
      <c r="X163" s="3">
        <v>206.21</v>
      </c>
      <c r="Y163" s="3">
        <v>88.37</v>
      </c>
    </row>
    <row r="164" spans="1:25" ht="60.75" x14ac:dyDescent="0.25">
      <c r="A164" s="3" t="s">
        <v>26</v>
      </c>
      <c r="B164" s="3" t="s">
        <v>27</v>
      </c>
      <c r="C164" s="3" t="s">
        <v>28</v>
      </c>
      <c r="D164" s="3" t="s">
        <v>29</v>
      </c>
      <c r="E164" s="3" t="s">
        <v>68</v>
      </c>
      <c r="F164" s="3" t="s">
        <v>31</v>
      </c>
      <c r="G164" s="3" t="s">
        <v>68</v>
      </c>
      <c r="H164" s="3" t="s">
        <v>32</v>
      </c>
      <c r="I164" s="3">
        <v>2025</v>
      </c>
      <c r="J164" s="3" t="str">
        <f>CONCATENATE("54810787165")</f>
        <v>54810787165</v>
      </c>
      <c r="K164" s="3" t="s">
        <v>33</v>
      </c>
      <c r="L164" s="3"/>
      <c r="M164" s="3" t="s">
        <v>92</v>
      </c>
      <c r="N164" s="3" t="str">
        <f>CONCATENATE("LRIGLN74E07L366T")</f>
        <v>LRIGLN74E07L366T</v>
      </c>
      <c r="O164" s="3" t="s">
        <v>259</v>
      </c>
      <c r="P164" s="3" t="s">
        <v>36</v>
      </c>
      <c r="Q164" s="3"/>
      <c r="R164" s="4">
        <v>46011</v>
      </c>
      <c r="S164" s="3" t="s">
        <v>37</v>
      </c>
      <c r="T164" s="3" t="s">
        <v>38</v>
      </c>
      <c r="U164" s="3" t="s">
        <v>39</v>
      </c>
      <c r="V164" s="3">
        <v>989.6</v>
      </c>
      <c r="W164" s="3">
        <v>420.58</v>
      </c>
      <c r="X164" s="3">
        <v>398.31</v>
      </c>
      <c r="Y164" s="3">
        <v>170.71</v>
      </c>
    </row>
    <row r="165" spans="1:25" ht="36.75" x14ac:dyDescent="0.25">
      <c r="A165" s="3" t="s">
        <v>26</v>
      </c>
      <c r="B165" s="3" t="s">
        <v>27</v>
      </c>
      <c r="C165" s="3" t="s">
        <v>28</v>
      </c>
      <c r="D165" s="3" t="s">
        <v>47</v>
      </c>
      <c r="E165" s="3" t="s">
        <v>260</v>
      </c>
      <c r="F165" s="3" t="s">
        <v>49</v>
      </c>
      <c r="G165" s="3" t="s">
        <v>260</v>
      </c>
      <c r="H165" s="3" t="s">
        <v>43</v>
      </c>
      <c r="I165" s="3">
        <v>2025</v>
      </c>
      <c r="J165" s="3" t="str">
        <f>CONCATENATE("54820198296")</f>
        <v>54820198296</v>
      </c>
      <c r="K165" s="3" t="s">
        <v>33</v>
      </c>
      <c r="L165" s="3"/>
      <c r="M165" s="3" t="s">
        <v>34</v>
      </c>
      <c r="N165" s="3" t="str">
        <f>CONCATENATE("01160920417")</f>
        <v>01160920417</v>
      </c>
      <c r="O165" s="3" t="s">
        <v>261</v>
      </c>
      <c r="P165" s="3" t="s">
        <v>36</v>
      </c>
      <c r="Q165" s="3"/>
      <c r="R165" s="4">
        <v>46011</v>
      </c>
      <c r="S165" s="3" t="s">
        <v>37</v>
      </c>
      <c r="T165" s="3" t="s">
        <v>38</v>
      </c>
      <c r="U165" s="3" t="s">
        <v>39</v>
      </c>
      <c r="V165" s="3">
        <v>198.65</v>
      </c>
      <c r="W165" s="3">
        <v>84.43</v>
      </c>
      <c r="X165" s="3">
        <v>79.959999999999994</v>
      </c>
      <c r="Y165" s="3">
        <v>34.26</v>
      </c>
    </row>
    <row r="166" spans="1:25" ht="60.75" x14ac:dyDescent="0.25">
      <c r="A166" s="3" t="s">
        <v>26</v>
      </c>
      <c r="B166" s="3" t="s">
        <v>27</v>
      </c>
      <c r="C166" s="3" t="s">
        <v>28</v>
      </c>
      <c r="D166" s="3" t="s">
        <v>54</v>
      </c>
      <c r="E166" s="3" t="s">
        <v>215</v>
      </c>
      <c r="F166" s="3" t="s">
        <v>56</v>
      </c>
      <c r="G166" s="3" t="s">
        <v>215</v>
      </c>
      <c r="H166" s="3" t="s">
        <v>63</v>
      </c>
      <c r="I166" s="3">
        <v>2025</v>
      </c>
      <c r="J166" s="3" t="str">
        <f>CONCATENATE("54820118294")</f>
        <v>54820118294</v>
      </c>
      <c r="K166" s="3" t="s">
        <v>33</v>
      </c>
      <c r="L166" s="3"/>
      <c r="M166" s="3" t="s">
        <v>34</v>
      </c>
      <c r="N166" s="3" t="str">
        <f>CONCATENATE("PLMSTR74T41D542P")</f>
        <v>PLMSTR74T41D542P</v>
      </c>
      <c r="O166" s="3" t="s">
        <v>262</v>
      </c>
      <c r="P166" s="3" t="s">
        <v>36</v>
      </c>
      <c r="Q166" s="3"/>
      <c r="R166" s="4">
        <v>46011</v>
      </c>
      <c r="S166" s="3" t="s">
        <v>37</v>
      </c>
      <c r="T166" s="3" t="s">
        <v>38</v>
      </c>
      <c r="U166" s="3" t="s">
        <v>39</v>
      </c>
      <c r="V166" s="5">
        <v>4852.93</v>
      </c>
      <c r="W166" s="5">
        <v>2062.5</v>
      </c>
      <c r="X166" s="5">
        <v>1953.3</v>
      </c>
      <c r="Y166" s="3">
        <v>837.13</v>
      </c>
    </row>
    <row r="167" spans="1:25" ht="72.75" x14ac:dyDescent="0.25">
      <c r="A167" s="3" t="s">
        <v>26</v>
      </c>
      <c r="B167" s="3" t="s">
        <v>27</v>
      </c>
      <c r="C167" s="3" t="s">
        <v>28</v>
      </c>
      <c r="D167" s="3" t="s">
        <v>47</v>
      </c>
      <c r="E167" s="3" t="s">
        <v>174</v>
      </c>
      <c r="F167" s="3" t="s">
        <v>49</v>
      </c>
      <c r="G167" s="3" t="s">
        <v>174</v>
      </c>
      <c r="H167" s="3" t="s">
        <v>43</v>
      </c>
      <c r="I167" s="3">
        <v>2025</v>
      </c>
      <c r="J167" s="3" t="str">
        <f>CONCATENATE("54820196621")</f>
        <v>54820196621</v>
      </c>
      <c r="K167" s="3" t="s">
        <v>33</v>
      </c>
      <c r="L167" s="3"/>
      <c r="M167" s="3" t="s">
        <v>34</v>
      </c>
      <c r="N167" s="3" t="str">
        <f>CONCATENATE("SGRTZN63M58A366N")</f>
        <v>SGRTZN63M58A366N</v>
      </c>
      <c r="O167" s="3" t="s">
        <v>263</v>
      </c>
      <c r="P167" s="3" t="s">
        <v>36</v>
      </c>
      <c r="Q167" s="3"/>
      <c r="R167" s="4">
        <v>46011</v>
      </c>
      <c r="S167" s="3" t="s">
        <v>37</v>
      </c>
      <c r="T167" s="3" t="s">
        <v>38</v>
      </c>
      <c r="U167" s="3" t="s">
        <v>39</v>
      </c>
      <c r="V167" s="3">
        <v>120.8</v>
      </c>
      <c r="W167" s="3">
        <v>51.34</v>
      </c>
      <c r="X167" s="3">
        <v>48.62</v>
      </c>
      <c r="Y167" s="3">
        <v>20.84</v>
      </c>
    </row>
    <row r="168" spans="1:25" ht="60.75" x14ac:dyDescent="0.25">
      <c r="A168" s="3" t="s">
        <v>26</v>
      </c>
      <c r="B168" s="3" t="s">
        <v>27</v>
      </c>
      <c r="C168" s="3" t="s">
        <v>28</v>
      </c>
      <c r="D168" s="3" t="s">
        <v>47</v>
      </c>
      <c r="E168" s="3" t="s">
        <v>62</v>
      </c>
      <c r="F168" s="3" t="s">
        <v>49</v>
      </c>
      <c r="G168" s="3" t="s">
        <v>62</v>
      </c>
      <c r="H168" s="3" t="s">
        <v>63</v>
      </c>
      <c r="I168" s="3">
        <v>2025</v>
      </c>
      <c r="J168" s="3" t="str">
        <f>CONCATENATE("54820163613")</f>
        <v>54820163613</v>
      </c>
      <c r="K168" s="3" t="s">
        <v>33</v>
      </c>
      <c r="L168" s="3"/>
      <c r="M168" s="3" t="s">
        <v>34</v>
      </c>
      <c r="N168" s="3" t="str">
        <f>CONCATENATE("LTNSLV40D66H886Q")</f>
        <v>LTNSLV40D66H886Q</v>
      </c>
      <c r="O168" s="3" t="s">
        <v>264</v>
      </c>
      <c r="P168" s="3" t="s">
        <v>36</v>
      </c>
      <c r="Q168" s="3"/>
      <c r="R168" s="4">
        <v>46011</v>
      </c>
      <c r="S168" s="3" t="s">
        <v>37</v>
      </c>
      <c r="T168" s="3" t="s">
        <v>38</v>
      </c>
      <c r="U168" s="3" t="s">
        <v>39</v>
      </c>
      <c r="V168" s="3">
        <v>459.02</v>
      </c>
      <c r="W168" s="3">
        <v>195.08</v>
      </c>
      <c r="X168" s="3">
        <v>184.76</v>
      </c>
      <c r="Y168" s="3">
        <v>79.180000000000007</v>
      </c>
    </row>
    <row r="169" spans="1:25" ht="60.75" x14ac:dyDescent="0.25">
      <c r="A169" s="3" t="s">
        <v>26</v>
      </c>
      <c r="B169" s="3" t="s">
        <v>27</v>
      </c>
      <c r="C169" s="3" t="s">
        <v>28</v>
      </c>
      <c r="D169" s="3" t="s">
        <v>40</v>
      </c>
      <c r="E169" s="3" t="s">
        <v>58</v>
      </c>
      <c r="F169" s="3" t="s">
        <v>42</v>
      </c>
      <c r="G169" s="3" t="s">
        <v>58</v>
      </c>
      <c r="H169" s="3" t="s">
        <v>43</v>
      </c>
      <c r="I169" s="3">
        <v>2025</v>
      </c>
      <c r="J169" s="3" t="str">
        <f>CONCATENATE("54820223557")</f>
        <v>54820223557</v>
      </c>
      <c r="K169" s="3" t="s">
        <v>33</v>
      </c>
      <c r="L169" s="3"/>
      <c r="M169" s="3" t="s">
        <v>34</v>
      </c>
      <c r="N169" s="3" t="str">
        <f>CONCATENATE("RMTFST55R10G478J")</f>
        <v>RMTFST55R10G478J</v>
      </c>
      <c r="O169" s="3" t="s">
        <v>265</v>
      </c>
      <c r="P169" s="3" t="s">
        <v>36</v>
      </c>
      <c r="Q169" s="3"/>
      <c r="R169" s="4">
        <v>46011</v>
      </c>
      <c r="S169" s="3" t="s">
        <v>37</v>
      </c>
      <c r="T169" s="3" t="s">
        <v>38</v>
      </c>
      <c r="U169" s="3" t="s">
        <v>39</v>
      </c>
      <c r="V169" s="5">
        <v>7522.07</v>
      </c>
      <c r="W169" s="5">
        <v>3196.88</v>
      </c>
      <c r="X169" s="5">
        <v>3027.63</v>
      </c>
      <c r="Y169" s="5">
        <v>1297.56</v>
      </c>
    </row>
    <row r="170" spans="1:25" ht="72.75" x14ac:dyDescent="0.25">
      <c r="A170" s="3" t="s">
        <v>26</v>
      </c>
      <c r="B170" s="3" t="s">
        <v>27</v>
      </c>
      <c r="C170" s="3" t="s">
        <v>28</v>
      </c>
      <c r="D170" s="3" t="s">
        <v>40</v>
      </c>
      <c r="E170" s="3" t="s">
        <v>60</v>
      </c>
      <c r="F170" s="3" t="s">
        <v>42</v>
      </c>
      <c r="G170" s="3" t="s">
        <v>60</v>
      </c>
      <c r="H170" s="3" t="s">
        <v>32</v>
      </c>
      <c r="I170" s="3">
        <v>2025</v>
      </c>
      <c r="J170" s="3" t="str">
        <f>CONCATENATE("54820368162")</f>
        <v>54820368162</v>
      </c>
      <c r="K170" s="3" t="s">
        <v>33</v>
      </c>
      <c r="L170" s="3"/>
      <c r="M170" s="3" t="s">
        <v>34</v>
      </c>
      <c r="N170" s="3" t="str">
        <f>CONCATENATE("PLMTNN63D27G637N")</f>
        <v>PLMTNN63D27G637N</v>
      </c>
      <c r="O170" s="3" t="s">
        <v>266</v>
      </c>
      <c r="P170" s="3" t="s">
        <v>36</v>
      </c>
      <c r="Q170" s="3"/>
      <c r="R170" s="4">
        <v>46011</v>
      </c>
      <c r="S170" s="3" t="s">
        <v>37</v>
      </c>
      <c r="T170" s="3" t="s">
        <v>38</v>
      </c>
      <c r="U170" s="3" t="s">
        <v>39</v>
      </c>
      <c r="V170" s="5">
        <v>1214.48</v>
      </c>
      <c r="W170" s="3">
        <v>516.15</v>
      </c>
      <c r="X170" s="3">
        <v>488.83</v>
      </c>
      <c r="Y170" s="3">
        <v>209.5</v>
      </c>
    </row>
    <row r="171" spans="1:25" ht="72.75" x14ac:dyDescent="0.25">
      <c r="A171" s="3" t="s">
        <v>26</v>
      </c>
      <c r="B171" s="3" t="s">
        <v>27</v>
      </c>
      <c r="C171" s="3" t="s">
        <v>28</v>
      </c>
      <c r="D171" s="3" t="s">
        <v>29</v>
      </c>
      <c r="E171" s="3" t="s">
        <v>77</v>
      </c>
      <c r="F171" s="3" t="s">
        <v>31</v>
      </c>
      <c r="G171" s="3" t="s">
        <v>77</v>
      </c>
      <c r="H171" s="3" t="s">
        <v>32</v>
      </c>
      <c r="I171" s="3">
        <v>2025</v>
      </c>
      <c r="J171" s="3" t="str">
        <f>CONCATENATE("54820413794")</f>
        <v>54820413794</v>
      </c>
      <c r="K171" s="3" t="s">
        <v>33</v>
      </c>
      <c r="L171" s="3"/>
      <c r="M171" s="3" t="s">
        <v>34</v>
      </c>
      <c r="N171" s="3" t="str">
        <f>CONCATENATE("SBSDMN91B16I156V")</f>
        <v>SBSDMN91B16I156V</v>
      </c>
      <c r="O171" s="3" t="s">
        <v>267</v>
      </c>
      <c r="P171" s="3" t="s">
        <v>36</v>
      </c>
      <c r="Q171" s="3"/>
      <c r="R171" s="4">
        <v>46011</v>
      </c>
      <c r="S171" s="3" t="s">
        <v>37</v>
      </c>
      <c r="T171" s="3" t="s">
        <v>38</v>
      </c>
      <c r="U171" s="3" t="s">
        <v>39</v>
      </c>
      <c r="V171" s="5">
        <v>1166.1099999999999</v>
      </c>
      <c r="W171" s="3">
        <v>495.6</v>
      </c>
      <c r="X171" s="3">
        <v>469.36</v>
      </c>
      <c r="Y171" s="3">
        <v>201.15</v>
      </c>
    </row>
    <row r="172" spans="1:25" ht="60.75" x14ac:dyDescent="0.25">
      <c r="A172" s="3" t="s">
        <v>26</v>
      </c>
      <c r="B172" s="3" t="s">
        <v>27</v>
      </c>
      <c r="C172" s="3" t="s">
        <v>28</v>
      </c>
      <c r="D172" s="3" t="s">
        <v>40</v>
      </c>
      <c r="E172" s="3" t="s">
        <v>112</v>
      </c>
      <c r="F172" s="3" t="s">
        <v>42</v>
      </c>
      <c r="G172" s="3" t="s">
        <v>112</v>
      </c>
      <c r="H172" s="3" t="s">
        <v>43</v>
      </c>
      <c r="I172" s="3">
        <v>2025</v>
      </c>
      <c r="J172" s="3" t="str">
        <f>CONCATENATE("54820134580")</f>
        <v>54820134580</v>
      </c>
      <c r="K172" s="3" t="s">
        <v>33</v>
      </c>
      <c r="L172" s="3"/>
      <c r="M172" s="3" t="s">
        <v>34</v>
      </c>
      <c r="N172" s="3" t="str">
        <f>CONCATENATE("MRTDNL86S18I459B")</f>
        <v>MRTDNL86S18I459B</v>
      </c>
      <c r="O172" s="3" t="s">
        <v>268</v>
      </c>
      <c r="P172" s="3" t="s">
        <v>36</v>
      </c>
      <c r="Q172" s="3"/>
      <c r="R172" s="4">
        <v>46011</v>
      </c>
      <c r="S172" s="3" t="s">
        <v>37</v>
      </c>
      <c r="T172" s="3" t="s">
        <v>38</v>
      </c>
      <c r="U172" s="3" t="s">
        <v>39</v>
      </c>
      <c r="V172" s="5">
        <v>1166.79</v>
      </c>
      <c r="W172" s="3">
        <v>495.89</v>
      </c>
      <c r="X172" s="3">
        <v>469.63</v>
      </c>
      <c r="Y172" s="3">
        <v>201.27</v>
      </c>
    </row>
    <row r="173" spans="1:25" ht="36.75" x14ac:dyDescent="0.25">
      <c r="A173" s="3" t="s">
        <v>26</v>
      </c>
      <c r="B173" s="3" t="s">
        <v>27</v>
      </c>
      <c r="C173" s="3" t="s">
        <v>28</v>
      </c>
      <c r="D173" s="3" t="s">
        <v>40</v>
      </c>
      <c r="E173" s="3" t="s">
        <v>65</v>
      </c>
      <c r="F173" s="3" t="s">
        <v>42</v>
      </c>
      <c r="G173" s="3" t="s">
        <v>65</v>
      </c>
      <c r="H173" s="3" t="s">
        <v>32</v>
      </c>
      <c r="I173" s="3">
        <v>2025</v>
      </c>
      <c r="J173" s="3" t="str">
        <f>CONCATENATE("54820210190")</f>
        <v>54820210190</v>
      </c>
      <c r="K173" s="3" t="s">
        <v>33</v>
      </c>
      <c r="L173" s="3"/>
      <c r="M173" s="3" t="s">
        <v>34</v>
      </c>
      <c r="N173" s="3" t="str">
        <f>CONCATENATE("01914540438")</f>
        <v>01914540438</v>
      </c>
      <c r="O173" s="3" t="s">
        <v>269</v>
      </c>
      <c r="P173" s="3" t="s">
        <v>36</v>
      </c>
      <c r="Q173" s="3"/>
      <c r="R173" s="4">
        <v>46011</v>
      </c>
      <c r="S173" s="3" t="s">
        <v>37</v>
      </c>
      <c r="T173" s="3" t="s">
        <v>38</v>
      </c>
      <c r="U173" s="3" t="s">
        <v>39</v>
      </c>
      <c r="V173" s="3">
        <v>541.67999999999995</v>
      </c>
      <c r="W173" s="3">
        <v>230.21</v>
      </c>
      <c r="X173" s="3">
        <v>218.03</v>
      </c>
      <c r="Y173" s="3">
        <v>93.44</v>
      </c>
    </row>
    <row r="174" spans="1:25" ht="36.75" x14ac:dyDescent="0.25">
      <c r="A174" s="3" t="s">
        <v>26</v>
      </c>
      <c r="B174" s="3" t="s">
        <v>27</v>
      </c>
      <c r="C174" s="3" t="s">
        <v>28</v>
      </c>
      <c r="D174" s="3" t="s">
        <v>40</v>
      </c>
      <c r="E174" s="3" t="s">
        <v>100</v>
      </c>
      <c r="F174" s="3" t="s">
        <v>42</v>
      </c>
      <c r="G174" s="3" t="s">
        <v>100</v>
      </c>
      <c r="H174" s="3" t="s">
        <v>63</v>
      </c>
      <c r="I174" s="3">
        <v>2025</v>
      </c>
      <c r="J174" s="3" t="str">
        <f>CONCATENATE("54820211560")</f>
        <v>54820211560</v>
      </c>
      <c r="K174" s="3" t="s">
        <v>33</v>
      </c>
      <c r="L174" s="3"/>
      <c r="M174" s="3" t="s">
        <v>34</v>
      </c>
      <c r="N174" s="3" t="str">
        <f>CONCATENATE("02864190422")</f>
        <v>02864190422</v>
      </c>
      <c r="O174" s="3" t="s">
        <v>270</v>
      </c>
      <c r="P174" s="3" t="s">
        <v>36</v>
      </c>
      <c r="Q174" s="3"/>
      <c r="R174" s="4">
        <v>46011</v>
      </c>
      <c r="S174" s="3" t="s">
        <v>37</v>
      </c>
      <c r="T174" s="3" t="s">
        <v>38</v>
      </c>
      <c r="U174" s="3" t="s">
        <v>39</v>
      </c>
      <c r="V174" s="5">
        <v>4673.8500000000004</v>
      </c>
      <c r="W174" s="5">
        <v>1986.39</v>
      </c>
      <c r="X174" s="5">
        <v>1881.22</v>
      </c>
      <c r="Y174" s="3">
        <v>806.24</v>
      </c>
    </row>
    <row r="175" spans="1:25" ht="60.75" x14ac:dyDescent="0.25">
      <c r="A175" s="3" t="s">
        <v>26</v>
      </c>
      <c r="B175" s="3" t="s">
        <v>27</v>
      </c>
      <c r="C175" s="3" t="s">
        <v>28</v>
      </c>
      <c r="D175" s="3" t="s">
        <v>47</v>
      </c>
      <c r="E175" s="3" t="s">
        <v>91</v>
      </c>
      <c r="F175" s="3" t="s">
        <v>49</v>
      </c>
      <c r="G175" s="3" t="s">
        <v>91</v>
      </c>
      <c r="H175" s="3" t="s">
        <v>85</v>
      </c>
      <c r="I175" s="3">
        <v>2025</v>
      </c>
      <c r="J175" s="3" t="str">
        <f>CONCATENATE("54820202635")</f>
        <v>54820202635</v>
      </c>
      <c r="K175" s="3" t="s">
        <v>33</v>
      </c>
      <c r="L175" s="3"/>
      <c r="M175" s="3" t="s">
        <v>34</v>
      </c>
      <c r="N175" s="3" t="str">
        <f>CONCATENATE("SNTGRL64T09A437R")</f>
        <v>SNTGRL64T09A437R</v>
      </c>
      <c r="O175" s="3" t="s">
        <v>271</v>
      </c>
      <c r="P175" s="3" t="s">
        <v>36</v>
      </c>
      <c r="Q175" s="3"/>
      <c r="R175" s="4">
        <v>46011</v>
      </c>
      <c r="S175" s="3" t="s">
        <v>37</v>
      </c>
      <c r="T175" s="3" t="s">
        <v>38</v>
      </c>
      <c r="U175" s="3" t="s">
        <v>39</v>
      </c>
      <c r="V175" s="5">
        <v>7873.66</v>
      </c>
      <c r="W175" s="5">
        <v>3346.31</v>
      </c>
      <c r="X175" s="5">
        <v>3169.15</v>
      </c>
      <c r="Y175" s="5">
        <v>1358.2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40</v>
      </c>
      <c r="E176" s="3" t="s">
        <v>146</v>
      </c>
      <c r="F176" s="3" t="s">
        <v>42</v>
      </c>
      <c r="G176" s="3" t="s">
        <v>146</v>
      </c>
      <c r="H176" s="3" t="s">
        <v>63</v>
      </c>
      <c r="I176" s="3">
        <v>2025</v>
      </c>
      <c r="J176" s="3" t="str">
        <f>CONCATENATE("54820155288")</f>
        <v>54820155288</v>
      </c>
      <c r="K176" s="3" t="s">
        <v>33</v>
      </c>
      <c r="L176" s="3"/>
      <c r="M176" s="3" t="s">
        <v>34</v>
      </c>
      <c r="N176" s="3" t="str">
        <f>CONCATENATE("GBBPTR48H30I461T")</f>
        <v>GBBPTR48H30I461T</v>
      </c>
      <c r="O176" s="3" t="s">
        <v>272</v>
      </c>
      <c r="P176" s="3" t="s">
        <v>36</v>
      </c>
      <c r="Q176" s="3"/>
      <c r="R176" s="4">
        <v>46011</v>
      </c>
      <c r="S176" s="3" t="s">
        <v>37</v>
      </c>
      <c r="T176" s="3" t="s">
        <v>38</v>
      </c>
      <c r="U176" s="3" t="s">
        <v>39</v>
      </c>
      <c r="V176" s="5">
        <v>3533.48</v>
      </c>
      <c r="W176" s="5">
        <v>1501.73</v>
      </c>
      <c r="X176" s="5">
        <v>1422.23</v>
      </c>
      <c r="Y176" s="3">
        <v>609.52</v>
      </c>
    </row>
    <row r="177" spans="1:25" ht="36.75" x14ac:dyDescent="0.25">
      <c r="A177" s="3" t="s">
        <v>26</v>
      </c>
      <c r="B177" s="3" t="s">
        <v>27</v>
      </c>
      <c r="C177" s="3" t="s">
        <v>28</v>
      </c>
      <c r="D177" s="3" t="s">
        <v>29</v>
      </c>
      <c r="E177" s="3" t="s">
        <v>159</v>
      </c>
      <c r="F177" s="3" t="s">
        <v>31</v>
      </c>
      <c r="G177" s="3" t="s">
        <v>159</v>
      </c>
      <c r="H177" s="3" t="s">
        <v>43</v>
      </c>
      <c r="I177" s="3">
        <v>2025</v>
      </c>
      <c r="J177" s="3" t="str">
        <f>CONCATENATE("54820365812")</f>
        <v>54820365812</v>
      </c>
      <c r="K177" s="3" t="s">
        <v>33</v>
      </c>
      <c r="L177" s="3"/>
      <c r="M177" s="3" t="s">
        <v>34</v>
      </c>
      <c r="N177" s="3" t="str">
        <f>CONCATENATE("02686020419")</f>
        <v>02686020419</v>
      </c>
      <c r="O177" s="3" t="s">
        <v>273</v>
      </c>
      <c r="P177" s="3" t="s">
        <v>36</v>
      </c>
      <c r="Q177" s="3"/>
      <c r="R177" s="4">
        <v>46011</v>
      </c>
      <c r="S177" s="3" t="s">
        <v>37</v>
      </c>
      <c r="T177" s="3" t="s">
        <v>38</v>
      </c>
      <c r="U177" s="3" t="s">
        <v>39</v>
      </c>
      <c r="V177" s="3">
        <v>261.73</v>
      </c>
      <c r="W177" s="3">
        <v>111.24</v>
      </c>
      <c r="X177" s="3">
        <v>105.35</v>
      </c>
      <c r="Y177" s="3">
        <v>45.14</v>
      </c>
    </row>
    <row r="178" spans="1:25" ht="36.75" x14ac:dyDescent="0.25">
      <c r="A178" s="3" t="s">
        <v>26</v>
      </c>
      <c r="B178" s="3" t="s">
        <v>27</v>
      </c>
      <c r="C178" s="3" t="s">
        <v>28</v>
      </c>
      <c r="D178" s="3" t="s">
        <v>40</v>
      </c>
      <c r="E178" s="3" t="s">
        <v>60</v>
      </c>
      <c r="F178" s="3" t="s">
        <v>42</v>
      </c>
      <c r="G178" s="3" t="s">
        <v>60</v>
      </c>
      <c r="H178" s="3" t="s">
        <v>32</v>
      </c>
      <c r="I178" s="3">
        <v>2025</v>
      </c>
      <c r="J178" s="3" t="str">
        <f>CONCATENATE("54820371554")</f>
        <v>54820371554</v>
      </c>
      <c r="K178" s="3" t="s">
        <v>33</v>
      </c>
      <c r="L178" s="3"/>
      <c r="M178" s="3" t="s">
        <v>34</v>
      </c>
      <c r="N178" s="3" t="str">
        <f>CONCATENATE("01717410433")</f>
        <v>01717410433</v>
      </c>
      <c r="O178" s="3" t="s">
        <v>274</v>
      </c>
      <c r="P178" s="3" t="s">
        <v>36</v>
      </c>
      <c r="Q178" s="3"/>
      <c r="R178" s="4">
        <v>46011</v>
      </c>
      <c r="S178" s="3" t="s">
        <v>37</v>
      </c>
      <c r="T178" s="3" t="s">
        <v>38</v>
      </c>
      <c r="U178" s="3" t="s">
        <v>39</v>
      </c>
      <c r="V178" s="3">
        <v>91.86</v>
      </c>
      <c r="W178" s="3">
        <v>39.04</v>
      </c>
      <c r="X178" s="3">
        <v>36.97</v>
      </c>
      <c r="Y178" s="3">
        <v>15.85</v>
      </c>
    </row>
    <row r="179" spans="1:25" ht="60.75" x14ac:dyDescent="0.25">
      <c r="A179" s="3" t="s">
        <v>26</v>
      </c>
      <c r="B179" s="3" t="s">
        <v>27</v>
      </c>
      <c r="C179" s="3" t="s">
        <v>28</v>
      </c>
      <c r="D179" s="3" t="s">
        <v>40</v>
      </c>
      <c r="E179" s="3" t="s">
        <v>60</v>
      </c>
      <c r="F179" s="3" t="s">
        <v>42</v>
      </c>
      <c r="G179" s="3" t="s">
        <v>60</v>
      </c>
      <c r="H179" s="3" t="s">
        <v>32</v>
      </c>
      <c r="I179" s="3">
        <v>2025</v>
      </c>
      <c r="J179" s="3" t="str">
        <f>CONCATENATE("54820034418")</f>
        <v>54820034418</v>
      </c>
      <c r="K179" s="3" t="s">
        <v>33</v>
      </c>
      <c r="L179" s="3"/>
      <c r="M179" s="3" t="s">
        <v>34</v>
      </c>
      <c r="N179" s="3" t="str">
        <f>CONCATENATE("CGNMLT50M09I661R")</f>
        <v>CGNMLT50M09I661R</v>
      </c>
      <c r="O179" s="3" t="s">
        <v>275</v>
      </c>
      <c r="P179" s="3" t="s">
        <v>36</v>
      </c>
      <c r="Q179" s="3"/>
      <c r="R179" s="4">
        <v>46011</v>
      </c>
      <c r="S179" s="3" t="s">
        <v>37</v>
      </c>
      <c r="T179" s="3" t="s">
        <v>38</v>
      </c>
      <c r="U179" s="3" t="s">
        <v>39</v>
      </c>
      <c r="V179" s="5">
        <v>8300.84</v>
      </c>
      <c r="W179" s="5">
        <v>3527.86</v>
      </c>
      <c r="X179" s="5">
        <v>3341.09</v>
      </c>
      <c r="Y179" s="5">
        <v>1431.89</v>
      </c>
    </row>
    <row r="180" spans="1:25" ht="60.75" x14ac:dyDescent="0.25">
      <c r="A180" s="3" t="s">
        <v>26</v>
      </c>
      <c r="B180" s="3" t="s">
        <v>27</v>
      </c>
      <c r="C180" s="3" t="s">
        <v>28</v>
      </c>
      <c r="D180" s="3" t="s">
        <v>40</v>
      </c>
      <c r="E180" s="3" t="s">
        <v>146</v>
      </c>
      <c r="F180" s="3" t="s">
        <v>42</v>
      </c>
      <c r="G180" s="3" t="s">
        <v>146</v>
      </c>
      <c r="H180" s="3" t="s">
        <v>63</v>
      </c>
      <c r="I180" s="3">
        <v>2025</v>
      </c>
      <c r="J180" s="3" t="str">
        <f>CONCATENATE("54820148739")</f>
        <v>54820148739</v>
      </c>
      <c r="K180" s="3" t="s">
        <v>33</v>
      </c>
      <c r="L180" s="3"/>
      <c r="M180" s="3" t="s">
        <v>34</v>
      </c>
      <c r="N180" s="3" t="str">
        <f>CONCATENATE("TTVCLD67D19I461W")</f>
        <v>TTVCLD67D19I461W</v>
      </c>
      <c r="O180" s="3" t="s">
        <v>276</v>
      </c>
      <c r="P180" s="3" t="s">
        <v>36</v>
      </c>
      <c r="Q180" s="3"/>
      <c r="R180" s="4">
        <v>46011</v>
      </c>
      <c r="S180" s="3" t="s">
        <v>37</v>
      </c>
      <c r="T180" s="3" t="s">
        <v>38</v>
      </c>
      <c r="U180" s="3" t="s">
        <v>39</v>
      </c>
      <c r="V180" s="3">
        <v>690.3</v>
      </c>
      <c r="W180" s="3">
        <v>293.38</v>
      </c>
      <c r="X180" s="3">
        <v>277.85000000000002</v>
      </c>
      <c r="Y180" s="3">
        <v>119.07</v>
      </c>
    </row>
    <row r="181" spans="1:25" ht="60.75" x14ac:dyDescent="0.25">
      <c r="A181" s="3" t="s">
        <v>26</v>
      </c>
      <c r="B181" s="3" t="s">
        <v>27</v>
      </c>
      <c r="C181" s="3" t="s">
        <v>28</v>
      </c>
      <c r="D181" s="3" t="s">
        <v>40</v>
      </c>
      <c r="E181" s="3" t="s">
        <v>65</v>
      </c>
      <c r="F181" s="3" t="s">
        <v>42</v>
      </c>
      <c r="G181" s="3" t="s">
        <v>65</v>
      </c>
      <c r="H181" s="3" t="s">
        <v>32</v>
      </c>
      <c r="I181" s="3">
        <v>2025</v>
      </c>
      <c r="J181" s="3" t="str">
        <f>CONCATENATE("54820251921")</f>
        <v>54820251921</v>
      </c>
      <c r="K181" s="3" t="s">
        <v>33</v>
      </c>
      <c r="L181" s="3"/>
      <c r="M181" s="3" t="s">
        <v>34</v>
      </c>
      <c r="N181" s="3" t="str">
        <f>CONCATENATE("BRSDLF63E06I436O")</f>
        <v>BRSDLF63E06I436O</v>
      </c>
      <c r="O181" s="3" t="s">
        <v>277</v>
      </c>
      <c r="P181" s="3" t="s">
        <v>36</v>
      </c>
      <c r="Q181" s="3"/>
      <c r="R181" s="4">
        <v>46011</v>
      </c>
      <c r="S181" s="3" t="s">
        <v>37</v>
      </c>
      <c r="T181" s="3" t="s">
        <v>38</v>
      </c>
      <c r="U181" s="3" t="s">
        <v>39</v>
      </c>
      <c r="V181" s="5">
        <v>7357.29</v>
      </c>
      <c r="W181" s="5">
        <v>3126.85</v>
      </c>
      <c r="X181" s="5">
        <v>2961.31</v>
      </c>
      <c r="Y181" s="5">
        <v>1269.1300000000001</v>
      </c>
    </row>
    <row r="182" spans="1:25" ht="60.75" x14ac:dyDescent="0.25">
      <c r="A182" s="3" t="s">
        <v>26</v>
      </c>
      <c r="B182" s="3" t="s">
        <v>27</v>
      </c>
      <c r="C182" s="3" t="s">
        <v>28</v>
      </c>
      <c r="D182" s="3" t="s">
        <v>47</v>
      </c>
      <c r="E182" s="3" t="s">
        <v>174</v>
      </c>
      <c r="F182" s="3" t="s">
        <v>49</v>
      </c>
      <c r="G182" s="3" t="s">
        <v>174</v>
      </c>
      <c r="H182" s="3" t="s">
        <v>43</v>
      </c>
      <c r="I182" s="3">
        <v>2025</v>
      </c>
      <c r="J182" s="3" t="str">
        <f>CONCATENATE("54820118252")</f>
        <v>54820118252</v>
      </c>
      <c r="K182" s="3" t="s">
        <v>33</v>
      </c>
      <c r="L182" s="3"/>
      <c r="M182" s="3" t="s">
        <v>34</v>
      </c>
      <c r="N182" s="3" t="str">
        <f>CONCATENATE("MLTGRD51R02Z120L")</f>
        <v>MLTGRD51R02Z120L</v>
      </c>
      <c r="O182" s="3" t="s">
        <v>278</v>
      </c>
      <c r="P182" s="3" t="s">
        <v>36</v>
      </c>
      <c r="Q182" s="3"/>
      <c r="R182" s="4">
        <v>46011</v>
      </c>
      <c r="S182" s="3" t="s">
        <v>37</v>
      </c>
      <c r="T182" s="3" t="s">
        <v>38</v>
      </c>
      <c r="U182" s="3" t="s">
        <v>39</v>
      </c>
      <c r="V182" s="3">
        <v>374.27</v>
      </c>
      <c r="W182" s="3">
        <v>159.06</v>
      </c>
      <c r="X182" s="3">
        <v>150.63999999999999</v>
      </c>
      <c r="Y182" s="3">
        <v>64.569999999999993</v>
      </c>
    </row>
    <row r="183" spans="1:25" ht="60.75" x14ac:dyDescent="0.25">
      <c r="A183" s="3" t="s">
        <v>26</v>
      </c>
      <c r="B183" s="3" t="s">
        <v>27</v>
      </c>
      <c r="C183" s="3" t="s">
        <v>28</v>
      </c>
      <c r="D183" s="3" t="s">
        <v>253</v>
      </c>
      <c r="E183" s="3" t="s">
        <v>279</v>
      </c>
      <c r="F183" s="3" t="s">
        <v>255</v>
      </c>
      <c r="G183" s="3" t="s">
        <v>279</v>
      </c>
      <c r="H183" s="3" t="s">
        <v>85</v>
      </c>
      <c r="I183" s="3">
        <v>2025</v>
      </c>
      <c r="J183" s="3" t="str">
        <f>CONCATENATE("54820370036")</f>
        <v>54820370036</v>
      </c>
      <c r="K183" s="3" t="s">
        <v>33</v>
      </c>
      <c r="L183" s="3"/>
      <c r="M183" s="3" t="s">
        <v>34</v>
      </c>
      <c r="N183" s="3" t="str">
        <f>CONCATENATE("FRIFNC81A05F520B")</f>
        <v>FRIFNC81A05F520B</v>
      </c>
      <c r="O183" s="3" t="s">
        <v>280</v>
      </c>
      <c r="P183" s="3" t="s">
        <v>36</v>
      </c>
      <c r="Q183" s="3"/>
      <c r="R183" s="4">
        <v>46011</v>
      </c>
      <c r="S183" s="3" t="s">
        <v>37</v>
      </c>
      <c r="T183" s="3" t="s">
        <v>38</v>
      </c>
      <c r="U183" s="3" t="s">
        <v>39</v>
      </c>
      <c r="V183" s="3">
        <v>368.19</v>
      </c>
      <c r="W183" s="3">
        <v>156.47999999999999</v>
      </c>
      <c r="X183" s="3">
        <v>148.19999999999999</v>
      </c>
      <c r="Y183" s="3">
        <v>63.51</v>
      </c>
    </row>
    <row r="184" spans="1:25" ht="60.75" x14ac:dyDescent="0.25">
      <c r="A184" s="3" t="s">
        <v>26</v>
      </c>
      <c r="B184" s="3" t="s">
        <v>27</v>
      </c>
      <c r="C184" s="3" t="s">
        <v>28</v>
      </c>
      <c r="D184" s="3" t="s">
        <v>40</v>
      </c>
      <c r="E184" s="3" t="s">
        <v>146</v>
      </c>
      <c r="F184" s="3" t="s">
        <v>42</v>
      </c>
      <c r="G184" s="3" t="s">
        <v>146</v>
      </c>
      <c r="H184" s="3" t="s">
        <v>63</v>
      </c>
      <c r="I184" s="3">
        <v>2025</v>
      </c>
      <c r="J184" s="3" t="str">
        <f>CONCATENATE("54820236625")</f>
        <v>54820236625</v>
      </c>
      <c r="K184" s="3" t="s">
        <v>33</v>
      </c>
      <c r="L184" s="3"/>
      <c r="M184" s="3" t="s">
        <v>34</v>
      </c>
      <c r="N184" s="3" t="str">
        <f>CONCATENATE("NCLRRT79D29I461T")</f>
        <v>NCLRRT79D29I461T</v>
      </c>
      <c r="O184" s="3" t="s">
        <v>281</v>
      </c>
      <c r="P184" s="3" t="s">
        <v>36</v>
      </c>
      <c r="Q184" s="3"/>
      <c r="R184" s="4">
        <v>46011</v>
      </c>
      <c r="S184" s="3" t="s">
        <v>37</v>
      </c>
      <c r="T184" s="3" t="s">
        <v>38</v>
      </c>
      <c r="U184" s="3" t="s">
        <v>39</v>
      </c>
      <c r="V184" s="5">
        <v>7220.91</v>
      </c>
      <c r="W184" s="5">
        <v>3068.89</v>
      </c>
      <c r="X184" s="5">
        <v>2906.42</v>
      </c>
      <c r="Y184" s="5">
        <v>1245.5999999999999</v>
      </c>
    </row>
    <row r="185" spans="1:25" ht="60.75" x14ac:dyDescent="0.25">
      <c r="A185" s="3" t="s">
        <v>26</v>
      </c>
      <c r="B185" s="3" t="s">
        <v>27</v>
      </c>
      <c r="C185" s="3" t="s">
        <v>28</v>
      </c>
      <c r="D185" s="3" t="s">
        <v>74</v>
      </c>
      <c r="E185" s="3" t="s">
        <v>127</v>
      </c>
      <c r="F185" s="3" t="s">
        <v>74</v>
      </c>
      <c r="G185" s="3" t="s">
        <v>127</v>
      </c>
      <c r="H185" s="3" t="s">
        <v>32</v>
      </c>
      <c r="I185" s="3">
        <v>2025</v>
      </c>
      <c r="J185" s="3" t="str">
        <f>CONCATENATE("54820421037")</f>
        <v>54820421037</v>
      </c>
      <c r="K185" s="3" t="s">
        <v>33</v>
      </c>
      <c r="L185" s="3"/>
      <c r="M185" s="3" t="s">
        <v>34</v>
      </c>
      <c r="N185" s="3" t="str">
        <f>CONCATENATE("SBBMTT98H09G478K")</f>
        <v>SBBMTT98H09G478K</v>
      </c>
      <c r="O185" s="3" t="s">
        <v>282</v>
      </c>
      <c r="P185" s="3" t="s">
        <v>36</v>
      </c>
      <c r="Q185" s="3"/>
      <c r="R185" s="4">
        <v>46011</v>
      </c>
      <c r="S185" s="3" t="s">
        <v>37</v>
      </c>
      <c r="T185" s="3" t="s">
        <v>38</v>
      </c>
      <c r="U185" s="3" t="s">
        <v>39</v>
      </c>
      <c r="V185" s="3">
        <v>507.61</v>
      </c>
      <c r="W185" s="3">
        <v>215.73</v>
      </c>
      <c r="X185" s="3">
        <v>204.31</v>
      </c>
      <c r="Y185" s="3">
        <v>87.57</v>
      </c>
    </row>
    <row r="186" spans="1:25" ht="60.75" x14ac:dyDescent="0.25">
      <c r="A186" s="3" t="s">
        <v>26</v>
      </c>
      <c r="B186" s="3" t="s">
        <v>27</v>
      </c>
      <c r="C186" s="3" t="s">
        <v>28</v>
      </c>
      <c r="D186" s="3" t="s">
        <v>47</v>
      </c>
      <c r="E186" s="3" t="s">
        <v>62</v>
      </c>
      <c r="F186" s="3" t="s">
        <v>49</v>
      </c>
      <c r="G186" s="3" t="s">
        <v>62</v>
      </c>
      <c r="H186" s="3" t="s">
        <v>63</v>
      </c>
      <c r="I186" s="3">
        <v>2025</v>
      </c>
      <c r="J186" s="3" t="str">
        <f>CONCATENATE("54820141098")</f>
        <v>54820141098</v>
      </c>
      <c r="K186" s="3" t="s">
        <v>33</v>
      </c>
      <c r="L186" s="3"/>
      <c r="M186" s="3" t="s">
        <v>34</v>
      </c>
      <c r="N186" s="3" t="str">
        <f>CONCATENATE("CRQLRT76H11D451U")</f>
        <v>CRQLRT76H11D451U</v>
      </c>
      <c r="O186" s="3" t="s">
        <v>283</v>
      </c>
      <c r="P186" s="3" t="s">
        <v>36</v>
      </c>
      <c r="Q186" s="3"/>
      <c r="R186" s="4">
        <v>46011</v>
      </c>
      <c r="S186" s="3" t="s">
        <v>37</v>
      </c>
      <c r="T186" s="3" t="s">
        <v>38</v>
      </c>
      <c r="U186" s="3" t="s">
        <v>39</v>
      </c>
      <c r="V186" s="5">
        <v>3156.53</v>
      </c>
      <c r="W186" s="5">
        <v>1341.53</v>
      </c>
      <c r="X186" s="5">
        <v>1270.5</v>
      </c>
      <c r="Y186" s="3">
        <v>544.5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29</v>
      </c>
      <c r="E187" s="3" t="s">
        <v>77</v>
      </c>
      <c r="F187" s="3" t="s">
        <v>31</v>
      </c>
      <c r="G187" s="3" t="s">
        <v>77</v>
      </c>
      <c r="H187" s="3" t="s">
        <v>32</v>
      </c>
      <c r="I187" s="3">
        <v>2025</v>
      </c>
      <c r="J187" s="3" t="str">
        <f>CONCATENATE("54820184130")</f>
        <v>54820184130</v>
      </c>
      <c r="K187" s="3" t="s">
        <v>33</v>
      </c>
      <c r="L187" s="3"/>
      <c r="M187" s="3" t="s">
        <v>34</v>
      </c>
      <c r="N187" s="3" t="str">
        <f>CONCATENATE("VNNPRI71C70I436K")</f>
        <v>VNNPRI71C70I436K</v>
      </c>
      <c r="O187" s="3" t="s">
        <v>284</v>
      </c>
      <c r="P187" s="3" t="s">
        <v>36</v>
      </c>
      <c r="Q187" s="3"/>
      <c r="R187" s="4">
        <v>46011</v>
      </c>
      <c r="S187" s="3" t="s">
        <v>37</v>
      </c>
      <c r="T187" s="3" t="s">
        <v>38</v>
      </c>
      <c r="U187" s="3" t="s">
        <v>39</v>
      </c>
      <c r="V187" s="5">
        <v>4507.08</v>
      </c>
      <c r="W187" s="5">
        <v>1915.51</v>
      </c>
      <c r="X187" s="5">
        <v>1814.1</v>
      </c>
      <c r="Y187" s="3">
        <v>777.47</v>
      </c>
    </row>
    <row r="188" spans="1:25" ht="36.75" x14ac:dyDescent="0.25">
      <c r="A188" s="3" t="s">
        <v>26</v>
      </c>
      <c r="B188" s="3" t="s">
        <v>27</v>
      </c>
      <c r="C188" s="3" t="s">
        <v>28</v>
      </c>
      <c r="D188" s="3" t="s">
        <v>47</v>
      </c>
      <c r="E188" s="3" t="s">
        <v>48</v>
      </c>
      <c r="F188" s="3" t="s">
        <v>49</v>
      </c>
      <c r="G188" s="3" t="s">
        <v>48</v>
      </c>
      <c r="H188" s="3" t="s">
        <v>43</v>
      </c>
      <c r="I188" s="3">
        <v>2025</v>
      </c>
      <c r="J188" s="3" t="str">
        <f>CONCATENATE("54820372487")</f>
        <v>54820372487</v>
      </c>
      <c r="K188" s="3" t="s">
        <v>33</v>
      </c>
      <c r="L188" s="3"/>
      <c r="M188" s="3" t="s">
        <v>34</v>
      </c>
      <c r="N188" s="3" t="str">
        <f>CONCATENATE("01387140419")</f>
        <v>01387140419</v>
      </c>
      <c r="O188" s="3" t="s">
        <v>285</v>
      </c>
      <c r="P188" s="3" t="s">
        <v>36</v>
      </c>
      <c r="Q188" s="3"/>
      <c r="R188" s="4">
        <v>46011</v>
      </c>
      <c r="S188" s="3" t="s">
        <v>37</v>
      </c>
      <c r="T188" s="3" t="s">
        <v>38</v>
      </c>
      <c r="U188" s="3" t="s">
        <v>39</v>
      </c>
      <c r="V188" s="5">
        <v>3659.03</v>
      </c>
      <c r="W188" s="5">
        <v>1555.09</v>
      </c>
      <c r="X188" s="5">
        <v>1472.76</v>
      </c>
      <c r="Y188" s="3">
        <v>631.17999999999995</v>
      </c>
    </row>
    <row r="189" spans="1:25" ht="60.75" x14ac:dyDescent="0.25">
      <c r="A189" s="3" t="s">
        <v>26</v>
      </c>
      <c r="B189" s="3" t="s">
        <v>27</v>
      </c>
      <c r="C189" s="3" t="s">
        <v>28</v>
      </c>
      <c r="D189" s="3" t="s">
        <v>29</v>
      </c>
      <c r="E189" s="3" t="s">
        <v>79</v>
      </c>
      <c r="F189" s="3" t="s">
        <v>31</v>
      </c>
      <c r="G189" s="3" t="s">
        <v>79</v>
      </c>
      <c r="H189" s="3" t="s">
        <v>32</v>
      </c>
      <c r="I189" s="3">
        <v>2025</v>
      </c>
      <c r="J189" s="3" t="str">
        <f>CONCATENATE("54820414149")</f>
        <v>54820414149</v>
      </c>
      <c r="K189" s="3" t="s">
        <v>33</v>
      </c>
      <c r="L189" s="3"/>
      <c r="M189" s="3" t="s">
        <v>34</v>
      </c>
      <c r="N189" s="3" t="str">
        <f>CONCATENATE("CCCFRC95R05B474W")</f>
        <v>CCCFRC95R05B474W</v>
      </c>
      <c r="O189" s="3" t="s">
        <v>286</v>
      </c>
      <c r="P189" s="3" t="s">
        <v>36</v>
      </c>
      <c r="Q189" s="3"/>
      <c r="R189" s="4">
        <v>46011</v>
      </c>
      <c r="S189" s="3" t="s">
        <v>37</v>
      </c>
      <c r="T189" s="3" t="s">
        <v>38</v>
      </c>
      <c r="U189" s="3" t="s">
        <v>39</v>
      </c>
      <c r="V189" s="3">
        <v>813.12</v>
      </c>
      <c r="W189" s="3">
        <v>345.58</v>
      </c>
      <c r="X189" s="3">
        <v>327.27999999999997</v>
      </c>
      <c r="Y189" s="3">
        <v>140.26</v>
      </c>
    </row>
    <row r="190" spans="1:25" ht="60.75" x14ac:dyDescent="0.25">
      <c r="A190" s="3" t="s">
        <v>26</v>
      </c>
      <c r="B190" s="3" t="s">
        <v>27</v>
      </c>
      <c r="C190" s="3" t="s">
        <v>28</v>
      </c>
      <c r="D190" s="3" t="s">
        <v>40</v>
      </c>
      <c r="E190" s="3" t="s">
        <v>60</v>
      </c>
      <c r="F190" s="3" t="s">
        <v>42</v>
      </c>
      <c r="G190" s="3" t="s">
        <v>60</v>
      </c>
      <c r="H190" s="3" t="s">
        <v>32</v>
      </c>
      <c r="I190" s="3">
        <v>2025</v>
      </c>
      <c r="J190" s="3" t="str">
        <f>CONCATENATE("54820239678")</f>
        <v>54820239678</v>
      </c>
      <c r="K190" s="3" t="s">
        <v>33</v>
      </c>
      <c r="L190" s="3"/>
      <c r="M190" s="3" t="s">
        <v>34</v>
      </c>
      <c r="N190" s="3" t="str">
        <f>CONCATENATE("SRGFLL53E55H501X")</f>
        <v>SRGFLL53E55H501X</v>
      </c>
      <c r="O190" s="3" t="s">
        <v>287</v>
      </c>
      <c r="P190" s="3" t="s">
        <v>36</v>
      </c>
      <c r="Q190" s="3"/>
      <c r="R190" s="4">
        <v>46011</v>
      </c>
      <c r="S190" s="3" t="s">
        <v>37</v>
      </c>
      <c r="T190" s="3" t="s">
        <v>38</v>
      </c>
      <c r="U190" s="3" t="s">
        <v>39</v>
      </c>
      <c r="V190" s="5">
        <v>5948.24</v>
      </c>
      <c r="W190" s="5">
        <v>2528</v>
      </c>
      <c r="X190" s="5">
        <v>2394.17</v>
      </c>
      <c r="Y190" s="5">
        <v>1026.07</v>
      </c>
    </row>
    <row r="191" spans="1:25" ht="36.75" x14ac:dyDescent="0.25">
      <c r="A191" s="3" t="s">
        <v>26</v>
      </c>
      <c r="B191" s="3" t="s">
        <v>27</v>
      </c>
      <c r="C191" s="3" t="s">
        <v>28</v>
      </c>
      <c r="D191" s="3" t="s">
        <v>40</v>
      </c>
      <c r="E191" s="3" t="s">
        <v>288</v>
      </c>
      <c r="F191" s="3" t="s">
        <v>42</v>
      </c>
      <c r="G191" s="3" t="s">
        <v>288</v>
      </c>
      <c r="H191" s="3" t="s">
        <v>32</v>
      </c>
      <c r="I191" s="3">
        <v>2025</v>
      </c>
      <c r="J191" s="3" t="str">
        <f>CONCATENATE("54820178025")</f>
        <v>54820178025</v>
      </c>
      <c r="K191" s="3" t="s">
        <v>33</v>
      </c>
      <c r="L191" s="3"/>
      <c r="M191" s="3" t="s">
        <v>34</v>
      </c>
      <c r="N191" s="3" t="str">
        <f>CONCATENATE("03501930543")</f>
        <v>03501930543</v>
      </c>
      <c r="O191" s="3" t="s">
        <v>289</v>
      </c>
      <c r="P191" s="3" t="s">
        <v>36</v>
      </c>
      <c r="Q191" s="3"/>
      <c r="R191" s="4">
        <v>46011</v>
      </c>
      <c r="S191" s="3" t="s">
        <v>37</v>
      </c>
      <c r="T191" s="3" t="s">
        <v>38</v>
      </c>
      <c r="U191" s="3" t="s">
        <v>39</v>
      </c>
      <c r="V191" s="3">
        <v>425.68</v>
      </c>
      <c r="W191" s="3">
        <v>180.91</v>
      </c>
      <c r="X191" s="3">
        <v>171.34</v>
      </c>
      <c r="Y191" s="3">
        <v>73.430000000000007</v>
      </c>
    </row>
    <row r="192" spans="1:25" ht="60.75" x14ac:dyDescent="0.25">
      <c r="A192" s="3" t="s">
        <v>26</v>
      </c>
      <c r="B192" s="3" t="s">
        <v>27</v>
      </c>
      <c r="C192" s="3" t="s">
        <v>28</v>
      </c>
      <c r="D192" s="3" t="s">
        <v>40</v>
      </c>
      <c r="E192" s="3" t="s">
        <v>58</v>
      </c>
      <c r="F192" s="3" t="s">
        <v>42</v>
      </c>
      <c r="G192" s="3" t="s">
        <v>58</v>
      </c>
      <c r="H192" s="3" t="s">
        <v>43</v>
      </c>
      <c r="I192" s="3">
        <v>2025</v>
      </c>
      <c r="J192" s="3" t="str">
        <f>CONCATENATE("54820212949")</f>
        <v>54820212949</v>
      </c>
      <c r="K192" s="3" t="s">
        <v>33</v>
      </c>
      <c r="L192" s="3"/>
      <c r="M192" s="3" t="s">
        <v>34</v>
      </c>
      <c r="N192" s="3" t="str">
        <f>CONCATENATE("CBLCST95L18B352H")</f>
        <v>CBLCST95L18B352H</v>
      </c>
      <c r="O192" s="3" t="s">
        <v>290</v>
      </c>
      <c r="P192" s="3" t="s">
        <v>36</v>
      </c>
      <c r="Q192" s="3"/>
      <c r="R192" s="4">
        <v>46011</v>
      </c>
      <c r="S192" s="3" t="s">
        <v>37</v>
      </c>
      <c r="T192" s="3" t="s">
        <v>38</v>
      </c>
      <c r="U192" s="3" t="s">
        <v>39</v>
      </c>
      <c r="V192" s="3">
        <v>956.42</v>
      </c>
      <c r="W192" s="3">
        <v>406.48</v>
      </c>
      <c r="X192" s="3">
        <v>384.96</v>
      </c>
      <c r="Y192" s="3">
        <v>164.98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29</v>
      </c>
      <c r="E193" s="3" t="s">
        <v>159</v>
      </c>
      <c r="F193" s="3" t="s">
        <v>31</v>
      </c>
      <c r="G193" s="3" t="s">
        <v>159</v>
      </c>
      <c r="H193" s="3" t="s">
        <v>43</v>
      </c>
      <c r="I193" s="3">
        <v>2025</v>
      </c>
      <c r="J193" s="3" t="str">
        <f>CONCATENATE("54820089420")</f>
        <v>54820089420</v>
      </c>
      <c r="K193" s="3" t="s">
        <v>33</v>
      </c>
      <c r="L193" s="3"/>
      <c r="M193" s="3" t="s">
        <v>34</v>
      </c>
      <c r="N193" s="3" t="str">
        <f>CONCATENATE("SCCNDR74D28F205Y")</f>
        <v>SCCNDR74D28F205Y</v>
      </c>
      <c r="O193" s="3" t="s">
        <v>291</v>
      </c>
      <c r="P193" s="3" t="s">
        <v>36</v>
      </c>
      <c r="Q193" s="3"/>
      <c r="R193" s="4">
        <v>46011</v>
      </c>
      <c r="S193" s="3" t="s">
        <v>37</v>
      </c>
      <c r="T193" s="3" t="s">
        <v>38</v>
      </c>
      <c r="U193" s="3" t="s">
        <v>39</v>
      </c>
      <c r="V193" s="3">
        <v>193.62</v>
      </c>
      <c r="W193" s="3">
        <v>82.29</v>
      </c>
      <c r="X193" s="3">
        <v>77.930000000000007</v>
      </c>
      <c r="Y193" s="3">
        <v>33.4</v>
      </c>
    </row>
    <row r="194" spans="1:25" ht="60.75" x14ac:dyDescent="0.25">
      <c r="A194" s="3" t="s">
        <v>26</v>
      </c>
      <c r="B194" s="3" t="s">
        <v>27</v>
      </c>
      <c r="C194" s="3" t="s">
        <v>28</v>
      </c>
      <c r="D194" s="3" t="s">
        <v>29</v>
      </c>
      <c r="E194" s="3" t="s">
        <v>77</v>
      </c>
      <c r="F194" s="3" t="s">
        <v>31</v>
      </c>
      <c r="G194" s="3" t="s">
        <v>77</v>
      </c>
      <c r="H194" s="3" t="s">
        <v>32</v>
      </c>
      <c r="I194" s="3">
        <v>2025</v>
      </c>
      <c r="J194" s="3" t="str">
        <f>CONCATENATE("54820086624")</f>
        <v>54820086624</v>
      </c>
      <c r="K194" s="3" t="s">
        <v>33</v>
      </c>
      <c r="L194" s="3"/>
      <c r="M194" s="3" t="s">
        <v>34</v>
      </c>
      <c r="N194" s="3" t="str">
        <f>CONCATENATE("PRSMHL86S54I156V")</f>
        <v>PRSMHL86S54I156V</v>
      </c>
      <c r="O194" s="3" t="s">
        <v>292</v>
      </c>
      <c r="P194" s="3" t="s">
        <v>36</v>
      </c>
      <c r="Q194" s="3"/>
      <c r="R194" s="4">
        <v>46011</v>
      </c>
      <c r="S194" s="3" t="s">
        <v>37</v>
      </c>
      <c r="T194" s="3" t="s">
        <v>38</v>
      </c>
      <c r="U194" s="3" t="s">
        <v>39</v>
      </c>
      <c r="V194" s="3">
        <v>253.76</v>
      </c>
      <c r="W194" s="3">
        <v>107.85</v>
      </c>
      <c r="X194" s="3">
        <v>102.14</v>
      </c>
      <c r="Y194" s="3">
        <v>43.77</v>
      </c>
    </row>
    <row r="195" spans="1:25" ht="60.75" x14ac:dyDescent="0.25">
      <c r="A195" s="3" t="s">
        <v>26</v>
      </c>
      <c r="B195" s="3" t="s">
        <v>27</v>
      </c>
      <c r="C195" s="3" t="s">
        <v>28</v>
      </c>
      <c r="D195" s="3" t="s">
        <v>40</v>
      </c>
      <c r="E195" s="3" t="s">
        <v>107</v>
      </c>
      <c r="F195" s="3" t="s">
        <v>42</v>
      </c>
      <c r="G195" s="3" t="s">
        <v>107</v>
      </c>
      <c r="H195" s="3" t="s">
        <v>85</v>
      </c>
      <c r="I195" s="3">
        <v>2025</v>
      </c>
      <c r="J195" s="3" t="str">
        <f>CONCATENATE("54820039953")</f>
        <v>54820039953</v>
      </c>
      <c r="K195" s="3" t="s">
        <v>33</v>
      </c>
      <c r="L195" s="3"/>
      <c r="M195" s="3" t="s">
        <v>34</v>
      </c>
      <c r="N195" s="3" t="str">
        <f>CONCATENATE("CTLGPP44A24I774O")</f>
        <v>CTLGPP44A24I774O</v>
      </c>
      <c r="O195" s="3" t="s">
        <v>293</v>
      </c>
      <c r="P195" s="3" t="s">
        <v>36</v>
      </c>
      <c r="Q195" s="3"/>
      <c r="R195" s="4">
        <v>46011</v>
      </c>
      <c r="S195" s="3" t="s">
        <v>37</v>
      </c>
      <c r="T195" s="3" t="s">
        <v>38</v>
      </c>
      <c r="U195" s="3" t="s">
        <v>39</v>
      </c>
      <c r="V195" s="3">
        <v>336.52</v>
      </c>
      <c r="W195" s="3">
        <v>143.02000000000001</v>
      </c>
      <c r="X195" s="3">
        <v>135.44999999999999</v>
      </c>
      <c r="Y195" s="3">
        <v>58.05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40</v>
      </c>
      <c r="E196" s="3" t="s">
        <v>58</v>
      </c>
      <c r="F196" s="3" t="s">
        <v>42</v>
      </c>
      <c r="G196" s="3" t="s">
        <v>58</v>
      </c>
      <c r="H196" s="3" t="s">
        <v>43</v>
      </c>
      <c r="I196" s="3">
        <v>2025</v>
      </c>
      <c r="J196" s="3" t="str">
        <f>CONCATENATE("54820078332")</f>
        <v>54820078332</v>
      </c>
      <c r="K196" s="3" t="s">
        <v>33</v>
      </c>
      <c r="L196" s="3"/>
      <c r="M196" s="3" t="s">
        <v>34</v>
      </c>
      <c r="N196" s="3" t="str">
        <f>CONCATENATE("BGTVEA80S62D488B")</f>
        <v>BGTVEA80S62D488B</v>
      </c>
      <c r="O196" s="3" t="s">
        <v>294</v>
      </c>
      <c r="P196" s="3" t="s">
        <v>36</v>
      </c>
      <c r="Q196" s="3"/>
      <c r="R196" s="4">
        <v>46011</v>
      </c>
      <c r="S196" s="3" t="s">
        <v>37</v>
      </c>
      <c r="T196" s="3" t="s">
        <v>38</v>
      </c>
      <c r="U196" s="3" t="s">
        <v>39</v>
      </c>
      <c r="V196" s="5">
        <v>3092.2</v>
      </c>
      <c r="W196" s="5">
        <v>1314.19</v>
      </c>
      <c r="X196" s="5">
        <v>1244.6099999999999</v>
      </c>
      <c r="Y196" s="3">
        <v>533.4</v>
      </c>
    </row>
    <row r="197" spans="1:25" ht="72.75" x14ac:dyDescent="0.25">
      <c r="A197" s="3" t="s">
        <v>26</v>
      </c>
      <c r="B197" s="3" t="s">
        <v>27</v>
      </c>
      <c r="C197" s="3" t="s">
        <v>28</v>
      </c>
      <c r="D197" s="3" t="s">
        <v>40</v>
      </c>
      <c r="E197" s="3" t="s">
        <v>100</v>
      </c>
      <c r="F197" s="3" t="s">
        <v>42</v>
      </c>
      <c r="G197" s="3" t="s">
        <v>100</v>
      </c>
      <c r="H197" s="3" t="s">
        <v>63</v>
      </c>
      <c r="I197" s="3">
        <v>2025</v>
      </c>
      <c r="J197" s="3" t="str">
        <f>CONCATENATE("54820166558")</f>
        <v>54820166558</v>
      </c>
      <c r="K197" s="3" t="s">
        <v>33</v>
      </c>
      <c r="L197" s="3"/>
      <c r="M197" s="3" t="s">
        <v>34</v>
      </c>
      <c r="N197" s="3" t="str">
        <f>CONCATENATE("PDCMTR50A63D451U")</f>
        <v>PDCMTR50A63D451U</v>
      </c>
      <c r="O197" s="3" t="s">
        <v>295</v>
      </c>
      <c r="P197" s="3" t="s">
        <v>36</v>
      </c>
      <c r="Q197" s="3"/>
      <c r="R197" s="4">
        <v>46011</v>
      </c>
      <c r="S197" s="3" t="s">
        <v>37</v>
      </c>
      <c r="T197" s="3" t="s">
        <v>38</v>
      </c>
      <c r="U197" s="3" t="s">
        <v>39</v>
      </c>
      <c r="V197" s="5">
        <v>5064.2299999999996</v>
      </c>
      <c r="W197" s="5">
        <v>2152.3000000000002</v>
      </c>
      <c r="X197" s="5">
        <v>2038.35</v>
      </c>
      <c r="Y197" s="3">
        <v>873.58</v>
      </c>
    </row>
    <row r="198" spans="1:25" ht="60.75" x14ac:dyDescent="0.25">
      <c r="A198" s="3" t="s">
        <v>26</v>
      </c>
      <c r="B198" s="3" t="s">
        <v>27</v>
      </c>
      <c r="C198" s="3" t="s">
        <v>28</v>
      </c>
      <c r="D198" s="3" t="s">
        <v>40</v>
      </c>
      <c r="E198" s="3" t="s">
        <v>146</v>
      </c>
      <c r="F198" s="3" t="s">
        <v>42</v>
      </c>
      <c r="G198" s="3" t="s">
        <v>146</v>
      </c>
      <c r="H198" s="3" t="s">
        <v>63</v>
      </c>
      <c r="I198" s="3">
        <v>2025</v>
      </c>
      <c r="J198" s="3" t="str">
        <f>CONCATENATE("54820236765")</f>
        <v>54820236765</v>
      </c>
      <c r="K198" s="3" t="s">
        <v>33</v>
      </c>
      <c r="L198" s="3"/>
      <c r="M198" s="3" t="s">
        <v>34</v>
      </c>
      <c r="N198" s="3" t="str">
        <f>CONCATENATE("NCLDNL66M09I461N")</f>
        <v>NCLDNL66M09I461N</v>
      </c>
      <c r="O198" s="3" t="s">
        <v>296</v>
      </c>
      <c r="P198" s="3" t="s">
        <v>36</v>
      </c>
      <c r="Q198" s="3"/>
      <c r="R198" s="4">
        <v>46011</v>
      </c>
      <c r="S198" s="3" t="s">
        <v>37</v>
      </c>
      <c r="T198" s="3" t="s">
        <v>38</v>
      </c>
      <c r="U198" s="3" t="s">
        <v>39</v>
      </c>
      <c r="V198" s="3">
        <v>348.57</v>
      </c>
      <c r="W198" s="3">
        <v>148.13999999999999</v>
      </c>
      <c r="X198" s="3">
        <v>140.30000000000001</v>
      </c>
      <c r="Y198" s="3">
        <v>60.13</v>
      </c>
    </row>
    <row r="199" spans="1:25" ht="72.75" x14ac:dyDescent="0.25">
      <c r="A199" s="3" t="s">
        <v>26</v>
      </c>
      <c r="B199" s="3" t="s">
        <v>27</v>
      </c>
      <c r="C199" s="3" t="s">
        <v>28</v>
      </c>
      <c r="D199" s="3" t="s">
        <v>47</v>
      </c>
      <c r="E199" s="3" t="s">
        <v>62</v>
      </c>
      <c r="F199" s="3" t="s">
        <v>49</v>
      </c>
      <c r="G199" s="3" t="s">
        <v>62</v>
      </c>
      <c r="H199" s="3" t="s">
        <v>63</v>
      </c>
      <c r="I199" s="3">
        <v>2025</v>
      </c>
      <c r="J199" s="3" t="str">
        <f>CONCATENATE("54820124722")</f>
        <v>54820124722</v>
      </c>
      <c r="K199" s="3" t="s">
        <v>33</v>
      </c>
      <c r="L199" s="3"/>
      <c r="M199" s="3" t="s">
        <v>34</v>
      </c>
      <c r="N199" s="3" t="str">
        <f>CONCATENATE("CPPMRC77R28A271G")</f>
        <v>CPPMRC77R28A271G</v>
      </c>
      <c r="O199" s="3" t="s">
        <v>297</v>
      </c>
      <c r="P199" s="3" t="s">
        <v>36</v>
      </c>
      <c r="Q199" s="3"/>
      <c r="R199" s="4">
        <v>46011</v>
      </c>
      <c r="S199" s="3" t="s">
        <v>37</v>
      </c>
      <c r="T199" s="3" t="s">
        <v>38</v>
      </c>
      <c r="U199" s="3" t="s">
        <v>39</v>
      </c>
      <c r="V199" s="5">
        <v>2797.65</v>
      </c>
      <c r="W199" s="5">
        <v>1189</v>
      </c>
      <c r="X199" s="5">
        <v>1126.05</v>
      </c>
      <c r="Y199" s="3">
        <v>482.6</v>
      </c>
    </row>
    <row r="200" spans="1:25" ht="60.75" x14ac:dyDescent="0.25">
      <c r="A200" s="3" t="s">
        <v>26</v>
      </c>
      <c r="B200" s="3" t="s">
        <v>27</v>
      </c>
      <c r="C200" s="3" t="s">
        <v>28</v>
      </c>
      <c r="D200" s="3" t="s">
        <v>40</v>
      </c>
      <c r="E200" s="3" t="s">
        <v>122</v>
      </c>
      <c r="F200" s="3" t="s">
        <v>42</v>
      </c>
      <c r="G200" s="3" t="s">
        <v>122</v>
      </c>
      <c r="H200" s="3" t="s">
        <v>43</v>
      </c>
      <c r="I200" s="3">
        <v>2025</v>
      </c>
      <c r="J200" s="3" t="str">
        <f>CONCATENATE("54820145263")</f>
        <v>54820145263</v>
      </c>
      <c r="K200" s="3" t="s">
        <v>33</v>
      </c>
      <c r="L200" s="3"/>
      <c r="M200" s="3" t="s">
        <v>34</v>
      </c>
      <c r="N200" s="3" t="str">
        <f>CONCATENATE("LNADRN47L06D749S")</f>
        <v>LNADRN47L06D749S</v>
      </c>
      <c r="O200" s="3" t="s">
        <v>298</v>
      </c>
      <c r="P200" s="3" t="s">
        <v>36</v>
      </c>
      <c r="Q200" s="3"/>
      <c r="R200" s="4">
        <v>46011</v>
      </c>
      <c r="S200" s="3" t="s">
        <v>37</v>
      </c>
      <c r="T200" s="3" t="s">
        <v>38</v>
      </c>
      <c r="U200" s="3" t="s">
        <v>39</v>
      </c>
      <c r="V200" s="3">
        <v>509.14</v>
      </c>
      <c r="W200" s="3">
        <v>216.38</v>
      </c>
      <c r="X200" s="3">
        <v>204.93</v>
      </c>
      <c r="Y200" s="3">
        <v>87.83</v>
      </c>
    </row>
    <row r="201" spans="1:25" ht="60.75" x14ac:dyDescent="0.25">
      <c r="A201" s="3" t="s">
        <v>26</v>
      </c>
      <c r="B201" s="3" t="s">
        <v>27</v>
      </c>
      <c r="C201" s="3" t="s">
        <v>28</v>
      </c>
      <c r="D201" s="3" t="s">
        <v>29</v>
      </c>
      <c r="E201" s="3" t="s">
        <v>77</v>
      </c>
      <c r="F201" s="3" t="s">
        <v>31</v>
      </c>
      <c r="G201" s="3" t="s">
        <v>77</v>
      </c>
      <c r="H201" s="3" t="s">
        <v>32</v>
      </c>
      <c r="I201" s="3">
        <v>2025</v>
      </c>
      <c r="J201" s="3" t="str">
        <f>CONCATENATE("54820087325")</f>
        <v>54820087325</v>
      </c>
      <c r="K201" s="3" t="s">
        <v>33</v>
      </c>
      <c r="L201" s="3"/>
      <c r="M201" s="3" t="s">
        <v>34</v>
      </c>
      <c r="N201" s="3" t="str">
        <f>CONCATENATE("RCCSFN79A06I156Z")</f>
        <v>RCCSFN79A06I156Z</v>
      </c>
      <c r="O201" s="3" t="s">
        <v>299</v>
      </c>
      <c r="P201" s="3" t="s">
        <v>36</v>
      </c>
      <c r="Q201" s="3"/>
      <c r="R201" s="4">
        <v>46011</v>
      </c>
      <c r="S201" s="3" t="s">
        <v>37</v>
      </c>
      <c r="T201" s="3" t="s">
        <v>38</v>
      </c>
      <c r="U201" s="3" t="s">
        <v>39</v>
      </c>
      <c r="V201" s="5">
        <v>5716.67</v>
      </c>
      <c r="W201" s="5">
        <v>2429.58</v>
      </c>
      <c r="X201" s="5">
        <v>2300.96</v>
      </c>
      <c r="Y201" s="3">
        <v>986.13</v>
      </c>
    </row>
    <row r="202" spans="1:25" ht="60.75" x14ac:dyDescent="0.25">
      <c r="A202" s="3" t="s">
        <v>26</v>
      </c>
      <c r="B202" s="3" t="s">
        <v>27</v>
      </c>
      <c r="C202" s="3" t="s">
        <v>28</v>
      </c>
      <c r="D202" s="3" t="s">
        <v>40</v>
      </c>
      <c r="E202" s="3" t="s">
        <v>300</v>
      </c>
      <c r="F202" s="3" t="s">
        <v>42</v>
      </c>
      <c r="G202" s="3" t="s">
        <v>300</v>
      </c>
      <c r="H202" s="3" t="s">
        <v>43</v>
      </c>
      <c r="I202" s="3">
        <v>2025</v>
      </c>
      <c r="J202" s="3" t="str">
        <f>CONCATENATE("54820271457")</f>
        <v>54820271457</v>
      </c>
      <c r="K202" s="3" t="s">
        <v>33</v>
      </c>
      <c r="L202" s="3"/>
      <c r="M202" s="3" t="s">
        <v>34</v>
      </c>
      <c r="N202" s="3" t="str">
        <f>CONCATENATE("MRCGPL76A02G479C")</f>
        <v>MRCGPL76A02G479C</v>
      </c>
      <c r="O202" s="3" t="s">
        <v>301</v>
      </c>
      <c r="P202" s="3" t="s">
        <v>36</v>
      </c>
      <c r="Q202" s="3"/>
      <c r="R202" s="4">
        <v>46011</v>
      </c>
      <c r="S202" s="3" t="s">
        <v>37</v>
      </c>
      <c r="T202" s="3" t="s">
        <v>38</v>
      </c>
      <c r="U202" s="3" t="s">
        <v>39</v>
      </c>
      <c r="V202" s="5">
        <v>1327.05</v>
      </c>
      <c r="W202" s="3">
        <v>564</v>
      </c>
      <c r="X202" s="3">
        <v>534.14</v>
      </c>
      <c r="Y202" s="3">
        <v>228.91</v>
      </c>
    </row>
    <row r="203" spans="1:25" ht="36.75" x14ac:dyDescent="0.25">
      <c r="A203" s="3" t="s">
        <v>26</v>
      </c>
      <c r="B203" s="3" t="s">
        <v>27</v>
      </c>
      <c r="C203" s="3" t="s">
        <v>28</v>
      </c>
      <c r="D203" s="3" t="s">
        <v>29</v>
      </c>
      <c r="E203" s="3" t="s">
        <v>68</v>
      </c>
      <c r="F203" s="3" t="s">
        <v>31</v>
      </c>
      <c r="G203" s="3" t="s">
        <v>68</v>
      </c>
      <c r="H203" s="3" t="s">
        <v>32</v>
      </c>
      <c r="I203" s="3">
        <v>2025</v>
      </c>
      <c r="J203" s="3" t="str">
        <f>CONCATENATE("54820129903")</f>
        <v>54820129903</v>
      </c>
      <c r="K203" s="3" t="s">
        <v>33</v>
      </c>
      <c r="L203" s="3"/>
      <c r="M203" s="3" t="s">
        <v>34</v>
      </c>
      <c r="N203" s="3" t="str">
        <f>CONCATENATE("01794500437")</f>
        <v>01794500437</v>
      </c>
      <c r="O203" s="3" t="s">
        <v>302</v>
      </c>
      <c r="P203" s="3" t="s">
        <v>36</v>
      </c>
      <c r="Q203" s="3"/>
      <c r="R203" s="4">
        <v>46011</v>
      </c>
      <c r="S203" s="3" t="s">
        <v>37</v>
      </c>
      <c r="T203" s="3" t="s">
        <v>38</v>
      </c>
      <c r="U203" s="3" t="s">
        <v>39</v>
      </c>
      <c r="V203" s="5">
        <v>2482.64</v>
      </c>
      <c r="W203" s="5">
        <v>1055.1199999999999</v>
      </c>
      <c r="X203" s="3">
        <v>999.26</v>
      </c>
      <c r="Y203" s="3">
        <v>428.26</v>
      </c>
    </row>
    <row r="204" spans="1:25" ht="60.75" x14ac:dyDescent="0.25">
      <c r="A204" s="3" t="s">
        <v>26</v>
      </c>
      <c r="B204" s="3" t="s">
        <v>27</v>
      </c>
      <c r="C204" s="3" t="s">
        <v>28</v>
      </c>
      <c r="D204" s="3" t="s">
        <v>40</v>
      </c>
      <c r="E204" s="3" t="s">
        <v>65</v>
      </c>
      <c r="F204" s="3" t="s">
        <v>42</v>
      </c>
      <c r="G204" s="3" t="s">
        <v>65</v>
      </c>
      <c r="H204" s="3" t="s">
        <v>32</v>
      </c>
      <c r="I204" s="3">
        <v>2025</v>
      </c>
      <c r="J204" s="3" t="str">
        <f>CONCATENATE("54820143284")</f>
        <v>54820143284</v>
      </c>
      <c r="K204" s="3" t="s">
        <v>33</v>
      </c>
      <c r="L204" s="3"/>
      <c r="M204" s="3" t="s">
        <v>34</v>
      </c>
      <c r="N204" s="3" t="str">
        <f>CONCATENATE("RSLDNL94T30A252S")</f>
        <v>RSLDNL94T30A252S</v>
      </c>
      <c r="O204" s="3" t="s">
        <v>303</v>
      </c>
      <c r="P204" s="3" t="s">
        <v>36</v>
      </c>
      <c r="Q204" s="3"/>
      <c r="R204" s="4">
        <v>46011</v>
      </c>
      <c r="S204" s="3" t="s">
        <v>37</v>
      </c>
      <c r="T204" s="3" t="s">
        <v>38</v>
      </c>
      <c r="U204" s="3" t="s">
        <v>39</v>
      </c>
      <c r="V204" s="5">
        <v>3028.31</v>
      </c>
      <c r="W204" s="5">
        <v>1287.03</v>
      </c>
      <c r="X204" s="5">
        <v>1218.8900000000001</v>
      </c>
      <c r="Y204" s="3">
        <v>522.39</v>
      </c>
    </row>
    <row r="205" spans="1:25" ht="60.75" x14ac:dyDescent="0.25">
      <c r="A205" s="3" t="s">
        <v>26</v>
      </c>
      <c r="B205" s="3" t="s">
        <v>27</v>
      </c>
      <c r="C205" s="3" t="s">
        <v>28</v>
      </c>
      <c r="D205" s="3" t="s">
        <v>40</v>
      </c>
      <c r="E205" s="3" t="s">
        <v>122</v>
      </c>
      <c r="F205" s="3" t="s">
        <v>42</v>
      </c>
      <c r="G205" s="3" t="s">
        <v>122</v>
      </c>
      <c r="H205" s="3" t="s">
        <v>43</v>
      </c>
      <c r="I205" s="3">
        <v>2025</v>
      </c>
      <c r="J205" s="3" t="str">
        <f>CONCATENATE("54820154125")</f>
        <v>54820154125</v>
      </c>
      <c r="K205" s="3" t="s">
        <v>33</v>
      </c>
      <c r="L205" s="3"/>
      <c r="M205" s="3" t="s">
        <v>34</v>
      </c>
      <c r="N205" s="3" t="str">
        <f>CONCATENATE("SCLVTR47E22L500X")</f>
        <v>SCLVTR47E22L500X</v>
      </c>
      <c r="O205" s="3" t="s">
        <v>304</v>
      </c>
      <c r="P205" s="3" t="s">
        <v>36</v>
      </c>
      <c r="Q205" s="3"/>
      <c r="R205" s="4">
        <v>46011</v>
      </c>
      <c r="S205" s="3" t="s">
        <v>37</v>
      </c>
      <c r="T205" s="3" t="s">
        <v>38</v>
      </c>
      <c r="U205" s="3" t="s">
        <v>39</v>
      </c>
      <c r="V205" s="3">
        <v>747.64</v>
      </c>
      <c r="W205" s="3">
        <v>317.75</v>
      </c>
      <c r="X205" s="3">
        <v>300.93</v>
      </c>
      <c r="Y205" s="3">
        <v>128.96</v>
      </c>
    </row>
    <row r="206" spans="1:25" ht="60.75" x14ac:dyDescent="0.25">
      <c r="A206" s="3" t="s">
        <v>26</v>
      </c>
      <c r="B206" s="3" t="s">
        <v>27</v>
      </c>
      <c r="C206" s="3" t="s">
        <v>28</v>
      </c>
      <c r="D206" s="3" t="s">
        <v>40</v>
      </c>
      <c r="E206" s="3" t="s">
        <v>65</v>
      </c>
      <c r="F206" s="3" t="s">
        <v>42</v>
      </c>
      <c r="G206" s="3" t="s">
        <v>65</v>
      </c>
      <c r="H206" s="3" t="s">
        <v>32</v>
      </c>
      <c r="I206" s="3">
        <v>2025</v>
      </c>
      <c r="J206" s="3" t="str">
        <f>CONCATENATE("54820203104")</f>
        <v>54820203104</v>
      </c>
      <c r="K206" s="3" t="s">
        <v>33</v>
      </c>
      <c r="L206" s="3"/>
      <c r="M206" s="3" t="s">
        <v>34</v>
      </c>
      <c r="N206" s="3" t="str">
        <f>CONCATENATE("BCCNDR74C16I436R")</f>
        <v>BCCNDR74C16I436R</v>
      </c>
      <c r="O206" s="3" t="s">
        <v>305</v>
      </c>
      <c r="P206" s="3" t="s">
        <v>36</v>
      </c>
      <c r="Q206" s="3"/>
      <c r="R206" s="4">
        <v>46011</v>
      </c>
      <c r="S206" s="3" t="s">
        <v>37</v>
      </c>
      <c r="T206" s="3" t="s">
        <v>38</v>
      </c>
      <c r="U206" s="3" t="s">
        <v>39</v>
      </c>
      <c r="V206" s="5">
        <v>4130.93</v>
      </c>
      <c r="W206" s="5">
        <v>1755.65</v>
      </c>
      <c r="X206" s="5">
        <v>1662.7</v>
      </c>
      <c r="Y206" s="3">
        <v>712.58</v>
      </c>
    </row>
    <row r="207" spans="1:25" ht="60.75" x14ac:dyDescent="0.25">
      <c r="A207" s="3" t="s">
        <v>26</v>
      </c>
      <c r="B207" s="3" t="s">
        <v>27</v>
      </c>
      <c r="C207" s="3" t="s">
        <v>28</v>
      </c>
      <c r="D207" s="3" t="s">
        <v>40</v>
      </c>
      <c r="E207" s="3" t="s">
        <v>107</v>
      </c>
      <c r="F207" s="3" t="s">
        <v>42</v>
      </c>
      <c r="G207" s="3" t="s">
        <v>107</v>
      </c>
      <c r="H207" s="3" t="s">
        <v>85</v>
      </c>
      <c r="I207" s="3">
        <v>2025</v>
      </c>
      <c r="J207" s="3" t="str">
        <f>CONCATENATE("54820054754")</f>
        <v>54820054754</v>
      </c>
      <c r="K207" s="3" t="s">
        <v>33</v>
      </c>
      <c r="L207" s="3"/>
      <c r="M207" s="3" t="s">
        <v>34</v>
      </c>
      <c r="N207" s="3" t="str">
        <f>CONCATENATE("BNCDNC62M13L103A")</f>
        <v>BNCDNC62M13L103A</v>
      </c>
      <c r="O207" s="3" t="s">
        <v>306</v>
      </c>
      <c r="P207" s="3" t="s">
        <v>36</v>
      </c>
      <c r="Q207" s="3"/>
      <c r="R207" s="4">
        <v>46011</v>
      </c>
      <c r="S207" s="3" t="s">
        <v>37</v>
      </c>
      <c r="T207" s="3" t="s">
        <v>38</v>
      </c>
      <c r="U207" s="3" t="s">
        <v>39</v>
      </c>
      <c r="V207" s="3">
        <v>530.57000000000005</v>
      </c>
      <c r="W207" s="3">
        <v>225.49</v>
      </c>
      <c r="X207" s="3">
        <v>213.55</v>
      </c>
      <c r="Y207" s="3">
        <v>91.53</v>
      </c>
    </row>
    <row r="208" spans="1:25" ht="60.75" x14ac:dyDescent="0.25">
      <c r="A208" s="3" t="s">
        <v>26</v>
      </c>
      <c r="B208" s="3" t="s">
        <v>27</v>
      </c>
      <c r="C208" s="3" t="s">
        <v>28</v>
      </c>
      <c r="D208" s="3" t="s">
        <v>40</v>
      </c>
      <c r="E208" s="3" t="s">
        <v>107</v>
      </c>
      <c r="F208" s="3" t="s">
        <v>42</v>
      </c>
      <c r="G208" s="3" t="s">
        <v>107</v>
      </c>
      <c r="H208" s="3" t="s">
        <v>85</v>
      </c>
      <c r="I208" s="3">
        <v>2025</v>
      </c>
      <c r="J208" s="3" t="str">
        <f>CONCATENATE("54820026349")</f>
        <v>54820026349</v>
      </c>
      <c r="K208" s="3" t="s">
        <v>33</v>
      </c>
      <c r="L208" s="3"/>
      <c r="M208" s="3" t="s">
        <v>34</v>
      </c>
      <c r="N208" s="3" t="str">
        <f>CONCATENATE("CRZTNN57C16A252X")</f>
        <v>CRZTNN57C16A252X</v>
      </c>
      <c r="O208" s="3" t="s">
        <v>307</v>
      </c>
      <c r="P208" s="3" t="s">
        <v>36</v>
      </c>
      <c r="Q208" s="3"/>
      <c r="R208" s="4">
        <v>46011</v>
      </c>
      <c r="S208" s="3" t="s">
        <v>37</v>
      </c>
      <c r="T208" s="3" t="s">
        <v>38</v>
      </c>
      <c r="U208" s="3" t="s">
        <v>39</v>
      </c>
      <c r="V208" s="3">
        <v>187.89</v>
      </c>
      <c r="W208" s="3">
        <v>79.849999999999994</v>
      </c>
      <c r="X208" s="3">
        <v>75.63</v>
      </c>
      <c r="Y208" s="3">
        <v>32.409999999999997</v>
      </c>
    </row>
    <row r="209" spans="1:25" ht="36.75" x14ac:dyDescent="0.25">
      <c r="A209" s="3" t="s">
        <v>26</v>
      </c>
      <c r="B209" s="3" t="s">
        <v>27</v>
      </c>
      <c r="C209" s="3" t="s">
        <v>28</v>
      </c>
      <c r="D209" s="3" t="s">
        <v>29</v>
      </c>
      <c r="E209" s="3" t="s">
        <v>51</v>
      </c>
      <c r="F209" s="3" t="s">
        <v>31</v>
      </c>
      <c r="G209" s="3" t="s">
        <v>51</v>
      </c>
      <c r="H209" s="3" t="s">
        <v>43</v>
      </c>
      <c r="I209" s="3">
        <v>2025</v>
      </c>
      <c r="J209" s="3" t="str">
        <f>CONCATENATE("54820073853")</f>
        <v>54820073853</v>
      </c>
      <c r="K209" s="3" t="s">
        <v>33</v>
      </c>
      <c r="L209" s="3"/>
      <c r="M209" s="3" t="s">
        <v>34</v>
      </c>
      <c r="N209" s="3" t="str">
        <f>CONCATENATE("02678730413")</f>
        <v>02678730413</v>
      </c>
      <c r="O209" s="3" t="s">
        <v>308</v>
      </c>
      <c r="P209" s="3" t="s">
        <v>36</v>
      </c>
      <c r="Q209" s="3"/>
      <c r="R209" s="4">
        <v>46011</v>
      </c>
      <c r="S209" s="3" t="s">
        <v>37</v>
      </c>
      <c r="T209" s="3" t="s">
        <v>38</v>
      </c>
      <c r="U209" s="3" t="s">
        <v>39</v>
      </c>
      <c r="V209" s="3">
        <v>111.99</v>
      </c>
      <c r="W209" s="3">
        <v>47.6</v>
      </c>
      <c r="X209" s="3">
        <v>45.08</v>
      </c>
      <c r="Y209" s="3">
        <v>19.309999999999999</v>
      </c>
    </row>
    <row r="210" spans="1:25" ht="60.75" x14ac:dyDescent="0.25">
      <c r="A210" s="3" t="s">
        <v>26</v>
      </c>
      <c r="B210" s="3" t="s">
        <v>27</v>
      </c>
      <c r="C210" s="3" t="s">
        <v>28</v>
      </c>
      <c r="D210" s="3" t="s">
        <v>40</v>
      </c>
      <c r="E210" s="3" t="s">
        <v>122</v>
      </c>
      <c r="F210" s="3" t="s">
        <v>42</v>
      </c>
      <c r="G210" s="3" t="s">
        <v>122</v>
      </c>
      <c r="H210" s="3" t="s">
        <v>43</v>
      </c>
      <c r="I210" s="3">
        <v>2025</v>
      </c>
      <c r="J210" s="3" t="str">
        <f>CONCATENATE("54820149760")</f>
        <v>54820149760</v>
      </c>
      <c r="K210" s="3" t="s">
        <v>33</v>
      </c>
      <c r="L210" s="3"/>
      <c r="M210" s="3" t="s">
        <v>34</v>
      </c>
      <c r="N210" s="3" t="str">
        <f>CONCATENATE("SNTNTN58R05L500Q")</f>
        <v>SNTNTN58R05L500Q</v>
      </c>
      <c r="O210" s="3" t="s">
        <v>309</v>
      </c>
      <c r="P210" s="3" t="s">
        <v>36</v>
      </c>
      <c r="Q210" s="3"/>
      <c r="R210" s="4">
        <v>46011</v>
      </c>
      <c r="S210" s="3" t="s">
        <v>37</v>
      </c>
      <c r="T210" s="3" t="s">
        <v>38</v>
      </c>
      <c r="U210" s="3" t="s">
        <v>39</v>
      </c>
      <c r="V210" s="3">
        <v>567.48</v>
      </c>
      <c r="W210" s="3">
        <v>241.18</v>
      </c>
      <c r="X210" s="3">
        <v>228.41</v>
      </c>
      <c r="Y210" s="3">
        <v>97.89</v>
      </c>
    </row>
    <row r="211" spans="1:25" ht="60.75" x14ac:dyDescent="0.25">
      <c r="A211" s="3" t="s">
        <v>26</v>
      </c>
      <c r="B211" s="3" t="s">
        <v>27</v>
      </c>
      <c r="C211" s="3" t="s">
        <v>28</v>
      </c>
      <c r="D211" s="3" t="s">
        <v>29</v>
      </c>
      <c r="E211" s="3" t="s">
        <v>79</v>
      </c>
      <c r="F211" s="3" t="s">
        <v>31</v>
      </c>
      <c r="G211" s="3" t="s">
        <v>79</v>
      </c>
      <c r="H211" s="3" t="s">
        <v>32</v>
      </c>
      <c r="I211" s="3">
        <v>2025</v>
      </c>
      <c r="J211" s="3" t="str">
        <f>CONCATENATE("54820070461")</f>
        <v>54820070461</v>
      </c>
      <c r="K211" s="3" t="s">
        <v>33</v>
      </c>
      <c r="L211" s="3"/>
      <c r="M211" s="3" t="s">
        <v>34</v>
      </c>
      <c r="N211" s="3" t="str">
        <f>CONCATENATE("NTLPLA67B18G436H")</f>
        <v>NTLPLA67B18G436H</v>
      </c>
      <c r="O211" s="3" t="s">
        <v>310</v>
      </c>
      <c r="P211" s="3" t="s">
        <v>36</v>
      </c>
      <c r="Q211" s="3"/>
      <c r="R211" s="4">
        <v>46011</v>
      </c>
      <c r="S211" s="3" t="s">
        <v>37</v>
      </c>
      <c r="T211" s="3" t="s">
        <v>38</v>
      </c>
      <c r="U211" s="3" t="s">
        <v>39</v>
      </c>
      <c r="V211" s="5">
        <v>3539.03</v>
      </c>
      <c r="W211" s="5">
        <v>1504.09</v>
      </c>
      <c r="X211" s="5">
        <v>1424.46</v>
      </c>
      <c r="Y211" s="3">
        <v>610.48</v>
      </c>
    </row>
    <row r="212" spans="1:25" ht="60.75" x14ac:dyDescent="0.25">
      <c r="A212" s="3" t="s">
        <v>26</v>
      </c>
      <c r="B212" s="3" t="s">
        <v>27</v>
      </c>
      <c r="C212" s="3" t="s">
        <v>28</v>
      </c>
      <c r="D212" s="3" t="s">
        <v>40</v>
      </c>
      <c r="E212" s="3" t="s">
        <v>100</v>
      </c>
      <c r="F212" s="3" t="s">
        <v>42</v>
      </c>
      <c r="G212" s="3" t="s">
        <v>100</v>
      </c>
      <c r="H212" s="3" t="s">
        <v>63</v>
      </c>
      <c r="I212" s="3">
        <v>2025</v>
      </c>
      <c r="J212" s="3" t="str">
        <f>CONCATENATE("54820166186")</f>
        <v>54820166186</v>
      </c>
      <c r="K212" s="3" t="s">
        <v>33</v>
      </c>
      <c r="L212" s="3"/>
      <c r="M212" s="3" t="s">
        <v>34</v>
      </c>
      <c r="N212" s="3" t="str">
        <f>CONCATENATE("GCMMRA54M31I653Y")</f>
        <v>GCMMRA54M31I653Y</v>
      </c>
      <c r="O212" s="3" t="s">
        <v>311</v>
      </c>
      <c r="P212" s="3" t="s">
        <v>36</v>
      </c>
      <c r="Q212" s="3"/>
      <c r="R212" s="4">
        <v>46011</v>
      </c>
      <c r="S212" s="3" t="s">
        <v>37</v>
      </c>
      <c r="T212" s="3" t="s">
        <v>38</v>
      </c>
      <c r="U212" s="3" t="s">
        <v>39</v>
      </c>
      <c r="V212" s="5">
        <v>1670.86</v>
      </c>
      <c r="W212" s="3">
        <v>710.12</v>
      </c>
      <c r="X212" s="3">
        <v>672.52</v>
      </c>
      <c r="Y212" s="3">
        <v>288.22000000000003</v>
      </c>
    </row>
    <row r="213" spans="1:25" ht="60.75" x14ac:dyDescent="0.25">
      <c r="A213" s="3" t="s">
        <v>26</v>
      </c>
      <c r="B213" s="3" t="s">
        <v>27</v>
      </c>
      <c r="C213" s="3" t="s">
        <v>28</v>
      </c>
      <c r="D213" s="3" t="s">
        <v>47</v>
      </c>
      <c r="E213" s="3" t="s">
        <v>62</v>
      </c>
      <c r="F213" s="3" t="s">
        <v>49</v>
      </c>
      <c r="G213" s="3" t="s">
        <v>62</v>
      </c>
      <c r="H213" s="3" t="s">
        <v>63</v>
      </c>
      <c r="I213" s="3">
        <v>2025</v>
      </c>
      <c r="J213" s="3" t="str">
        <f>CONCATENATE("54820140215")</f>
        <v>54820140215</v>
      </c>
      <c r="K213" s="3" t="s">
        <v>33</v>
      </c>
      <c r="L213" s="3"/>
      <c r="M213" s="3" t="s">
        <v>34</v>
      </c>
      <c r="N213" s="3" t="str">
        <f>CONCATENATE("CNGCST98S30D451Y")</f>
        <v>CNGCST98S30D451Y</v>
      </c>
      <c r="O213" s="3" t="s">
        <v>312</v>
      </c>
      <c r="P213" s="3" t="s">
        <v>36</v>
      </c>
      <c r="Q213" s="3"/>
      <c r="R213" s="4">
        <v>46011</v>
      </c>
      <c r="S213" s="3" t="s">
        <v>37</v>
      </c>
      <c r="T213" s="3" t="s">
        <v>38</v>
      </c>
      <c r="U213" s="3" t="s">
        <v>39</v>
      </c>
      <c r="V213" s="3">
        <v>150.5</v>
      </c>
      <c r="W213" s="3">
        <v>63.96</v>
      </c>
      <c r="X213" s="3">
        <v>60.58</v>
      </c>
      <c r="Y213" s="3">
        <v>25.96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40</v>
      </c>
      <c r="E214" s="3" t="s">
        <v>122</v>
      </c>
      <c r="F214" s="3" t="s">
        <v>42</v>
      </c>
      <c r="G214" s="3" t="s">
        <v>122</v>
      </c>
      <c r="H214" s="3" t="s">
        <v>43</v>
      </c>
      <c r="I214" s="3">
        <v>2025</v>
      </c>
      <c r="J214" s="3" t="str">
        <f>CONCATENATE("54820086806")</f>
        <v>54820086806</v>
      </c>
      <c r="K214" s="3" t="s">
        <v>33</v>
      </c>
      <c r="L214" s="3"/>
      <c r="M214" s="3" t="s">
        <v>34</v>
      </c>
      <c r="N214" s="3" t="str">
        <f>CONCATENATE("BCCLNZ02C03L500Z")</f>
        <v>BCCLNZ02C03L500Z</v>
      </c>
      <c r="O214" s="3" t="s">
        <v>313</v>
      </c>
      <c r="P214" s="3" t="s">
        <v>36</v>
      </c>
      <c r="Q214" s="3"/>
      <c r="R214" s="4">
        <v>46011</v>
      </c>
      <c r="S214" s="3" t="s">
        <v>37</v>
      </c>
      <c r="T214" s="3" t="s">
        <v>38</v>
      </c>
      <c r="U214" s="3" t="s">
        <v>39</v>
      </c>
      <c r="V214" s="5">
        <v>2082.6799999999998</v>
      </c>
      <c r="W214" s="3">
        <v>885.14</v>
      </c>
      <c r="X214" s="3">
        <v>838.28</v>
      </c>
      <c r="Y214" s="3">
        <v>359.26</v>
      </c>
    </row>
    <row r="215" spans="1:25" ht="36.75" x14ac:dyDescent="0.25">
      <c r="A215" s="3" t="s">
        <v>26</v>
      </c>
      <c r="B215" s="3" t="s">
        <v>27</v>
      </c>
      <c r="C215" s="3" t="s">
        <v>28</v>
      </c>
      <c r="D215" s="3" t="s">
        <v>40</v>
      </c>
      <c r="E215" s="3" t="s">
        <v>60</v>
      </c>
      <c r="F215" s="3" t="s">
        <v>42</v>
      </c>
      <c r="G215" s="3" t="s">
        <v>60</v>
      </c>
      <c r="H215" s="3" t="s">
        <v>32</v>
      </c>
      <c r="I215" s="3">
        <v>2025</v>
      </c>
      <c r="J215" s="3" t="str">
        <f>CONCATENATE("54820143581")</f>
        <v>54820143581</v>
      </c>
      <c r="K215" s="3" t="s">
        <v>33</v>
      </c>
      <c r="L215" s="3"/>
      <c r="M215" s="3" t="s">
        <v>34</v>
      </c>
      <c r="N215" s="3" t="str">
        <f>CONCATENATE("01119040432")</f>
        <v>01119040432</v>
      </c>
      <c r="O215" s="3" t="s">
        <v>314</v>
      </c>
      <c r="P215" s="3" t="s">
        <v>36</v>
      </c>
      <c r="Q215" s="3"/>
      <c r="R215" s="4">
        <v>46011</v>
      </c>
      <c r="S215" s="3" t="s">
        <v>37</v>
      </c>
      <c r="T215" s="3" t="s">
        <v>38</v>
      </c>
      <c r="U215" s="3" t="s">
        <v>39</v>
      </c>
      <c r="V215" s="3">
        <v>800.38</v>
      </c>
      <c r="W215" s="3">
        <v>340.16</v>
      </c>
      <c r="X215" s="3">
        <v>322.14999999999998</v>
      </c>
      <c r="Y215" s="3">
        <v>138.07</v>
      </c>
    </row>
    <row r="216" spans="1:25" ht="36.75" x14ac:dyDescent="0.25">
      <c r="A216" s="3" t="s">
        <v>26</v>
      </c>
      <c r="B216" s="3" t="s">
        <v>27</v>
      </c>
      <c r="C216" s="3" t="s">
        <v>28</v>
      </c>
      <c r="D216" s="3" t="s">
        <v>29</v>
      </c>
      <c r="E216" s="3" t="s">
        <v>79</v>
      </c>
      <c r="F216" s="3" t="s">
        <v>31</v>
      </c>
      <c r="G216" s="3" t="s">
        <v>79</v>
      </c>
      <c r="H216" s="3" t="s">
        <v>63</v>
      </c>
      <c r="I216" s="3">
        <v>2025</v>
      </c>
      <c r="J216" s="3" t="str">
        <f>CONCATENATE("54820128178")</f>
        <v>54820128178</v>
      </c>
      <c r="K216" s="3" t="s">
        <v>33</v>
      </c>
      <c r="L216" s="3"/>
      <c r="M216" s="3" t="s">
        <v>34</v>
      </c>
      <c r="N216" s="3" t="str">
        <f>CONCATENATE("02742860428")</f>
        <v>02742860428</v>
      </c>
      <c r="O216" s="3" t="s">
        <v>315</v>
      </c>
      <c r="P216" s="3" t="s">
        <v>36</v>
      </c>
      <c r="Q216" s="3"/>
      <c r="R216" s="4">
        <v>46011</v>
      </c>
      <c r="S216" s="3" t="s">
        <v>37</v>
      </c>
      <c r="T216" s="3" t="s">
        <v>38</v>
      </c>
      <c r="U216" s="3" t="s">
        <v>39</v>
      </c>
      <c r="V216" s="5">
        <v>4048.92</v>
      </c>
      <c r="W216" s="5">
        <v>1720.79</v>
      </c>
      <c r="X216" s="5">
        <v>1629.69</v>
      </c>
      <c r="Y216" s="3">
        <v>698.44</v>
      </c>
    </row>
    <row r="217" spans="1:25" ht="60.75" x14ac:dyDescent="0.25">
      <c r="A217" s="3" t="s">
        <v>26</v>
      </c>
      <c r="B217" s="3" t="s">
        <v>27</v>
      </c>
      <c r="C217" s="3" t="s">
        <v>28</v>
      </c>
      <c r="D217" s="3" t="s">
        <v>40</v>
      </c>
      <c r="E217" s="3" t="s">
        <v>41</v>
      </c>
      <c r="F217" s="3" t="s">
        <v>42</v>
      </c>
      <c r="G217" s="3" t="s">
        <v>41</v>
      </c>
      <c r="H217" s="3" t="s">
        <v>43</v>
      </c>
      <c r="I217" s="3">
        <v>2025</v>
      </c>
      <c r="J217" s="3" t="str">
        <f>CONCATENATE("54820206990")</f>
        <v>54820206990</v>
      </c>
      <c r="K217" s="3" t="s">
        <v>33</v>
      </c>
      <c r="L217" s="3"/>
      <c r="M217" s="3" t="s">
        <v>34</v>
      </c>
      <c r="N217" s="3" t="str">
        <f>CONCATENATE("RMTGNN74D27D749J")</f>
        <v>RMTGNN74D27D749J</v>
      </c>
      <c r="O217" s="3" t="s">
        <v>316</v>
      </c>
      <c r="P217" s="3" t="s">
        <v>36</v>
      </c>
      <c r="Q217" s="3"/>
      <c r="R217" s="4">
        <v>46011</v>
      </c>
      <c r="S217" s="3" t="s">
        <v>37</v>
      </c>
      <c r="T217" s="3" t="s">
        <v>38</v>
      </c>
      <c r="U217" s="3" t="s">
        <v>39</v>
      </c>
      <c r="V217" s="5">
        <v>5361.48</v>
      </c>
      <c r="W217" s="5">
        <v>2278.63</v>
      </c>
      <c r="X217" s="5">
        <v>2158</v>
      </c>
      <c r="Y217" s="3">
        <v>924.85</v>
      </c>
    </row>
    <row r="218" spans="1:25" ht="60.75" x14ac:dyDescent="0.25">
      <c r="A218" s="3" t="s">
        <v>26</v>
      </c>
      <c r="B218" s="3" t="s">
        <v>27</v>
      </c>
      <c r="C218" s="3" t="s">
        <v>28</v>
      </c>
      <c r="D218" s="3" t="s">
        <v>54</v>
      </c>
      <c r="E218" s="3" t="s">
        <v>72</v>
      </c>
      <c r="F218" s="3" t="s">
        <v>56</v>
      </c>
      <c r="G218" s="3" t="s">
        <v>72</v>
      </c>
      <c r="H218" s="3" t="s">
        <v>32</v>
      </c>
      <c r="I218" s="3">
        <v>2025</v>
      </c>
      <c r="J218" s="3" t="str">
        <f>CONCATENATE("54820211966")</f>
        <v>54820211966</v>
      </c>
      <c r="K218" s="3" t="s">
        <v>33</v>
      </c>
      <c r="L218" s="3"/>
      <c r="M218" s="3" t="s">
        <v>34</v>
      </c>
      <c r="N218" s="3" t="str">
        <f>CONCATENATE("MSCFST76H30B474R")</f>
        <v>MSCFST76H30B474R</v>
      </c>
      <c r="O218" s="3" t="s">
        <v>317</v>
      </c>
      <c r="P218" s="3" t="s">
        <v>36</v>
      </c>
      <c r="Q218" s="3"/>
      <c r="R218" s="4">
        <v>46011</v>
      </c>
      <c r="S218" s="3" t="s">
        <v>37</v>
      </c>
      <c r="T218" s="3" t="s">
        <v>38</v>
      </c>
      <c r="U218" s="3" t="s">
        <v>39</v>
      </c>
      <c r="V218" s="5">
        <v>8996.2800000000007</v>
      </c>
      <c r="W218" s="5">
        <v>3823.42</v>
      </c>
      <c r="X218" s="5">
        <v>3621</v>
      </c>
      <c r="Y218" s="5">
        <v>1551.86</v>
      </c>
    </row>
    <row r="219" spans="1:25" ht="36.75" x14ac:dyDescent="0.25">
      <c r="A219" s="3" t="s">
        <v>26</v>
      </c>
      <c r="B219" s="3" t="s">
        <v>27</v>
      </c>
      <c r="C219" s="3" t="s">
        <v>28</v>
      </c>
      <c r="D219" s="3" t="s">
        <v>54</v>
      </c>
      <c r="E219" s="3" t="s">
        <v>215</v>
      </c>
      <c r="F219" s="3" t="s">
        <v>56</v>
      </c>
      <c r="G219" s="3" t="s">
        <v>215</v>
      </c>
      <c r="H219" s="3" t="s">
        <v>63</v>
      </c>
      <c r="I219" s="3">
        <v>2025</v>
      </c>
      <c r="J219" s="3" t="str">
        <f>CONCATENATE("54820160601")</f>
        <v>54820160601</v>
      </c>
      <c r="K219" s="3" t="s">
        <v>33</v>
      </c>
      <c r="L219" s="3"/>
      <c r="M219" s="3" t="s">
        <v>34</v>
      </c>
      <c r="N219" s="3" t="str">
        <f>CONCATENATE("02840440420")</f>
        <v>02840440420</v>
      </c>
      <c r="O219" s="3" t="s">
        <v>318</v>
      </c>
      <c r="P219" s="3" t="s">
        <v>36</v>
      </c>
      <c r="Q219" s="3"/>
      <c r="R219" s="4">
        <v>46011</v>
      </c>
      <c r="S219" s="3" t="s">
        <v>37</v>
      </c>
      <c r="T219" s="3" t="s">
        <v>38</v>
      </c>
      <c r="U219" s="3" t="s">
        <v>39</v>
      </c>
      <c r="V219" s="5">
        <v>2428.54</v>
      </c>
      <c r="W219" s="5">
        <v>1032.1300000000001</v>
      </c>
      <c r="X219" s="3">
        <v>977.49</v>
      </c>
      <c r="Y219" s="3">
        <v>418.92</v>
      </c>
    </row>
  </sheetData>
  <autoFilter ref="A3:Y219" xr:uid="{00000000-0009-0000-0000-000000000000}"/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2026-01-19T11:25:53Z</dcterms:created>
  <dcterms:modified xsi:type="dcterms:W3CDTF">2026-01-19T11:43:41Z</dcterms:modified>
</cp:coreProperties>
</file>