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Lavoro_\AGEA\Pagamenti\Decreti AGEA\2025\"/>
    </mc:Choice>
  </mc:AlternateContent>
  <xr:revisionPtr revIDLastSave="0" documentId="13_ncr:40009_{39EB1DFD-FD6B-4E45-A397-7D93776814D8}" xr6:coauthVersionLast="47" xr6:coauthVersionMax="47" xr10:uidLastSave="{00000000-0000-0000-0000-000000000000}"/>
  <bookViews>
    <workbookView xWindow="1350" yWindow="1665" windowWidth="27105" windowHeight="13770"/>
  </bookViews>
  <sheets>
    <sheet name="DOMANDE_PAGATE_REGI_PSP_Decreto" sheetId="1" r:id="rId1"/>
  </sheets>
  <definedNames>
    <definedName name="_xlnm._FilterDatabase" localSheetId="0" hidden="1">DOMANDE_PAGATE_REGI_PSP_Decreto!$A$3:$Y$4280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280" i="1" l="1"/>
  <c r="J4280" i="1"/>
  <c r="N4279" i="1"/>
  <c r="J4279" i="1"/>
  <c r="N4278" i="1"/>
  <c r="J4278" i="1"/>
  <c r="N4277" i="1"/>
  <c r="J4277" i="1"/>
  <c r="N4276" i="1"/>
  <c r="J4276" i="1"/>
  <c r="N4275" i="1"/>
  <c r="J4275" i="1"/>
  <c r="N4274" i="1"/>
  <c r="J4274" i="1"/>
  <c r="N4273" i="1"/>
  <c r="J4273" i="1"/>
  <c r="N4272" i="1"/>
  <c r="J4272" i="1"/>
  <c r="N4271" i="1"/>
  <c r="J4271" i="1"/>
  <c r="N4270" i="1"/>
  <c r="J4270" i="1"/>
  <c r="N4269" i="1"/>
  <c r="J4269" i="1"/>
  <c r="N4268" i="1"/>
  <c r="J4268" i="1"/>
  <c r="N4267" i="1"/>
  <c r="J4267" i="1"/>
  <c r="N4266" i="1"/>
  <c r="J4266" i="1"/>
  <c r="N4265" i="1"/>
  <c r="J4265" i="1"/>
  <c r="N4264" i="1"/>
  <c r="J4264" i="1"/>
  <c r="N4263" i="1"/>
  <c r="J4263" i="1"/>
  <c r="N4262" i="1"/>
  <c r="J4262" i="1"/>
  <c r="N4261" i="1"/>
  <c r="J4261" i="1"/>
  <c r="N4260" i="1"/>
  <c r="J4260" i="1"/>
  <c r="N4259" i="1"/>
  <c r="J4259" i="1"/>
  <c r="N4258" i="1"/>
  <c r="J4258" i="1"/>
  <c r="N4257" i="1"/>
  <c r="J4257" i="1"/>
  <c r="N4256" i="1"/>
  <c r="J4256" i="1"/>
  <c r="N4255" i="1"/>
  <c r="J4255" i="1"/>
  <c r="N4254" i="1"/>
  <c r="J4254" i="1"/>
  <c r="N4253" i="1"/>
  <c r="J4253" i="1"/>
  <c r="N4252" i="1"/>
  <c r="J4252" i="1"/>
  <c r="N4251" i="1"/>
  <c r="J4251" i="1"/>
  <c r="N4250" i="1"/>
  <c r="J4250" i="1"/>
  <c r="N4249" i="1"/>
  <c r="J4249" i="1"/>
  <c r="N4248" i="1"/>
  <c r="J4248" i="1"/>
  <c r="N4247" i="1"/>
  <c r="J4247" i="1"/>
  <c r="N4246" i="1"/>
  <c r="J4246" i="1"/>
  <c r="N4245" i="1"/>
  <c r="J4245" i="1"/>
  <c r="N4244" i="1"/>
  <c r="J4244" i="1"/>
  <c r="N4243" i="1"/>
  <c r="J4243" i="1"/>
  <c r="N4242" i="1"/>
  <c r="J4242" i="1"/>
  <c r="N4241" i="1"/>
  <c r="J4241" i="1"/>
  <c r="N4240" i="1"/>
  <c r="J4240" i="1"/>
  <c r="N4239" i="1"/>
  <c r="J4239" i="1"/>
  <c r="N4238" i="1"/>
  <c r="J4238" i="1"/>
  <c r="N4237" i="1"/>
  <c r="J4237" i="1"/>
  <c r="N4236" i="1"/>
  <c r="J4236" i="1"/>
  <c r="N4235" i="1"/>
  <c r="J4235" i="1"/>
  <c r="N4234" i="1"/>
  <c r="J4234" i="1"/>
  <c r="N4233" i="1"/>
  <c r="J4233" i="1"/>
  <c r="N4232" i="1"/>
  <c r="J4232" i="1"/>
  <c r="N4231" i="1"/>
  <c r="J4231" i="1"/>
  <c r="N4230" i="1"/>
  <c r="J4230" i="1"/>
  <c r="N4229" i="1"/>
  <c r="J4229" i="1"/>
  <c r="N4228" i="1"/>
  <c r="J4228" i="1"/>
  <c r="N4227" i="1"/>
  <c r="J4227" i="1"/>
  <c r="N4226" i="1"/>
  <c r="J4226" i="1"/>
  <c r="N4225" i="1"/>
  <c r="J4225" i="1"/>
  <c r="N4224" i="1"/>
  <c r="J4224" i="1"/>
  <c r="N4223" i="1"/>
  <c r="J4223" i="1"/>
  <c r="N4222" i="1"/>
  <c r="J4222" i="1"/>
  <c r="N4221" i="1"/>
  <c r="J4221" i="1"/>
  <c r="N4220" i="1"/>
  <c r="J4220" i="1"/>
  <c r="N4219" i="1"/>
  <c r="J4219" i="1"/>
  <c r="N4218" i="1"/>
  <c r="J4218" i="1"/>
  <c r="N4217" i="1"/>
  <c r="J4217" i="1"/>
  <c r="N4216" i="1"/>
  <c r="J4216" i="1"/>
  <c r="N4215" i="1"/>
  <c r="J4215" i="1"/>
  <c r="N4214" i="1"/>
  <c r="J4214" i="1"/>
  <c r="N4213" i="1"/>
  <c r="J4213" i="1"/>
  <c r="N4212" i="1"/>
  <c r="J4212" i="1"/>
  <c r="N4211" i="1"/>
  <c r="J4211" i="1"/>
  <c r="N4210" i="1"/>
  <c r="J4210" i="1"/>
  <c r="N4209" i="1"/>
  <c r="J4209" i="1"/>
  <c r="N4208" i="1"/>
  <c r="J4208" i="1"/>
  <c r="N4207" i="1"/>
  <c r="J4207" i="1"/>
  <c r="N4206" i="1"/>
  <c r="J4206" i="1"/>
  <c r="N4205" i="1"/>
  <c r="J4205" i="1"/>
  <c r="N4204" i="1"/>
  <c r="J4204" i="1"/>
  <c r="N4203" i="1"/>
  <c r="J4203" i="1"/>
  <c r="N4202" i="1"/>
  <c r="J4202" i="1"/>
  <c r="N4201" i="1"/>
  <c r="J4201" i="1"/>
  <c r="N4200" i="1"/>
  <c r="J4200" i="1"/>
  <c r="N4199" i="1"/>
  <c r="J4199" i="1"/>
  <c r="N4198" i="1"/>
  <c r="J4198" i="1"/>
  <c r="N4197" i="1"/>
  <c r="J4197" i="1"/>
  <c r="N4196" i="1"/>
  <c r="J4196" i="1"/>
  <c r="N4195" i="1"/>
  <c r="J4195" i="1"/>
  <c r="N4194" i="1"/>
  <c r="J4194" i="1"/>
  <c r="N4193" i="1"/>
  <c r="J4193" i="1"/>
  <c r="N4192" i="1"/>
  <c r="J4192" i="1"/>
  <c r="N4191" i="1"/>
  <c r="J4191" i="1"/>
  <c r="N4190" i="1"/>
  <c r="J4190" i="1"/>
  <c r="N4189" i="1"/>
  <c r="J4189" i="1"/>
  <c r="N4188" i="1"/>
  <c r="J4188" i="1"/>
  <c r="N4187" i="1"/>
  <c r="J4187" i="1"/>
  <c r="N4186" i="1"/>
  <c r="J4186" i="1"/>
  <c r="N4185" i="1"/>
  <c r="J4185" i="1"/>
  <c r="N4184" i="1"/>
  <c r="J4184" i="1"/>
  <c r="N4183" i="1"/>
  <c r="J4183" i="1"/>
  <c r="N4182" i="1"/>
  <c r="J4182" i="1"/>
  <c r="N4181" i="1"/>
  <c r="J4181" i="1"/>
  <c r="N4180" i="1"/>
  <c r="J4180" i="1"/>
  <c r="N4179" i="1"/>
  <c r="J4179" i="1"/>
  <c r="N4178" i="1"/>
  <c r="J4178" i="1"/>
  <c r="N4177" i="1"/>
  <c r="J4177" i="1"/>
  <c r="N4176" i="1"/>
  <c r="J4176" i="1"/>
  <c r="N4175" i="1"/>
  <c r="J4175" i="1"/>
  <c r="N4174" i="1"/>
  <c r="J4174" i="1"/>
  <c r="N4173" i="1"/>
  <c r="J4173" i="1"/>
  <c r="N4172" i="1"/>
  <c r="J4172" i="1"/>
  <c r="N4171" i="1"/>
  <c r="J4171" i="1"/>
  <c r="N4170" i="1"/>
  <c r="J4170" i="1"/>
  <c r="N4169" i="1"/>
  <c r="J4169" i="1"/>
  <c r="N4168" i="1"/>
  <c r="J4168" i="1"/>
  <c r="N4167" i="1"/>
  <c r="J4167" i="1"/>
  <c r="N4166" i="1"/>
  <c r="J4166" i="1"/>
  <c r="N4165" i="1"/>
  <c r="J4165" i="1"/>
  <c r="N4164" i="1"/>
  <c r="J4164" i="1"/>
  <c r="N4163" i="1"/>
  <c r="J4163" i="1"/>
  <c r="N4162" i="1"/>
  <c r="J4162" i="1"/>
  <c r="N4161" i="1"/>
  <c r="J4161" i="1"/>
  <c r="N4160" i="1"/>
  <c r="J4160" i="1"/>
  <c r="N4159" i="1"/>
  <c r="J4159" i="1"/>
  <c r="N4158" i="1"/>
  <c r="J4158" i="1"/>
  <c r="N4157" i="1"/>
  <c r="J4157" i="1"/>
  <c r="N4156" i="1"/>
  <c r="J4156" i="1"/>
  <c r="N4155" i="1"/>
  <c r="J4155" i="1"/>
  <c r="N4154" i="1"/>
  <c r="J4154" i="1"/>
  <c r="N4153" i="1"/>
  <c r="J4153" i="1"/>
  <c r="N4152" i="1"/>
  <c r="J4152" i="1"/>
  <c r="N4151" i="1"/>
  <c r="J4151" i="1"/>
  <c r="N4150" i="1"/>
  <c r="J4150" i="1"/>
  <c r="N4149" i="1"/>
  <c r="J4149" i="1"/>
  <c r="N4148" i="1"/>
  <c r="J4148" i="1"/>
  <c r="N4147" i="1"/>
  <c r="J4147" i="1"/>
  <c r="N4146" i="1"/>
  <c r="J4146" i="1"/>
  <c r="N4145" i="1"/>
  <c r="J4145" i="1"/>
  <c r="N4144" i="1"/>
  <c r="J4144" i="1"/>
  <c r="N4143" i="1"/>
  <c r="J4143" i="1"/>
  <c r="N4142" i="1"/>
  <c r="J4142" i="1"/>
  <c r="N4141" i="1"/>
  <c r="J4141" i="1"/>
  <c r="N4140" i="1"/>
  <c r="J4140" i="1"/>
  <c r="N4139" i="1"/>
  <c r="J4139" i="1"/>
  <c r="N4138" i="1"/>
  <c r="J4138" i="1"/>
  <c r="N4137" i="1"/>
  <c r="J4137" i="1"/>
  <c r="N4136" i="1"/>
  <c r="J4136" i="1"/>
  <c r="N4135" i="1"/>
  <c r="J4135" i="1"/>
  <c r="N4134" i="1"/>
  <c r="J4134" i="1"/>
  <c r="N4133" i="1"/>
  <c r="J4133" i="1"/>
  <c r="N4132" i="1"/>
  <c r="J4132" i="1"/>
  <c r="N4131" i="1"/>
  <c r="J4131" i="1"/>
  <c r="N4130" i="1"/>
  <c r="J4130" i="1"/>
  <c r="N4129" i="1"/>
  <c r="J4129" i="1"/>
  <c r="N4128" i="1"/>
  <c r="J4128" i="1"/>
  <c r="N4127" i="1"/>
  <c r="J4127" i="1"/>
  <c r="N4126" i="1"/>
  <c r="J4126" i="1"/>
  <c r="N4125" i="1"/>
  <c r="J4125" i="1"/>
  <c r="N4124" i="1"/>
  <c r="J4124" i="1"/>
  <c r="N4123" i="1"/>
  <c r="J4123" i="1"/>
  <c r="N4122" i="1"/>
  <c r="J4122" i="1"/>
  <c r="N4121" i="1"/>
  <c r="J4121" i="1"/>
  <c r="N4120" i="1"/>
  <c r="J4120" i="1"/>
  <c r="N4119" i="1"/>
  <c r="J4119" i="1"/>
  <c r="N4118" i="1"/>
  <c r="J4118" i="1"/>
  <c r="N4117" i="1"/>
  <c r="J4117" i="1"/>
  <c r="N4116" i="1"/>
  <c r="J4116" i="1"/>
  <c r="N4115" i="1"/>
  <c r="J4115" i="1"/>
  <c r="N4114" i="1"/>
  <c r="J4114" i="1"/>
  <c r="N4113" i="1"/>
  <c r="J4113" i="1"/>
  <c r="N4112" i="1"/>
  <c r="J4112" i="1"/>
  <c r="N4111" i="1"/>
  <c r="J4111" i="1"/>
  <c r="N4110" i="1"/>
  <c r="J4110" i="1"/>
  <c r="N4109" i="1"/>
  <c r="J4109" i="1"/>
  <c r="N4108" i="1"/>
  <c r="J4108" i="1"/>
  <c r="N4107" i="1"/>
  <c r="J4107" i="1"/>
  <c r="N4106" i="1"/>
  <c r="J4106" i="1"/>
  <c r="N4105" i="1"/>
  <c r="J4105" i="1"/>
  <c r="N4104" i="1"/>
  <c r="J4104" i="1"/>
  <c r="N4103" i="1"/>
  <c r="J4103" i="1"/>
  <c r="N4102" i="1"/>
  <c r="J4102" i="1"/>
  <c r="N4101" i="1"/>
  <c r="J4101" i="1"/>
  <c r="N4100" i="1"/>
  <c r="J4100" i="1"/>
  <c r="N4099" i="1"/>
  <c r="J4099" i="1"/>
  <c r="N4098" i="1"/>
  <c r="J4098" i="1"/>
  <c r="N4097" i="1"/>
  <c r="J4097" i="1"/>
  <c r="N4096" i="1"/>
  <c r="J4096" i="1"/>
  <c r="N4095" i="1"/>
  <c r="J4095" i="1"/>
  <c r="N4094" i="1"/>
  <c r="J4094" i="1"/>
  <c r="N4093" i="1"/>
  <c r="J4093" i="1"/>
  <c r="N4092" i="1"/>
  <c r="J4092" i="1"/>
  <c r="N4091" i="1"/>
  <c r="J4091" i="1"/>
  <c r="N4090" i="1"/>
  <c r="J4090" i="1"/>
  <c r="N4089" i="1"/>
  <c r="J4089" i="1"/>
  <c r="N4088" i="1"/>
  <c r="J4088" i="1"/>
  <c r="N4087" i="1"/>
  <c r="J4087" i="1"/>
  <c r="N4086" i="1"/>
  <c r="J4086" i="1"/>
  <c r="N4085" i="1"/>
  <c r="J4085" i="1"/>
  <c r="N4084" i="1"/>
  <c r="J4084" i="1"/>
  <c r="N4083" i="1"/>
  <c r="J4083" i="1"/>
  <c r="N4082" i="1"/>
  <c r="J4082" i="1"/>
  <c r="N4081" i="1"/>
  <c r="J4081" i="1"/>
  <c r="N4080" i="1"/>
  <c r="J4080" i="1"/>
  <c r="N4079" i="1"/>
  <c r="J4079" i="1"/>
  <c r="N4078" i="1"/>
  <c r="J4078" i="1"/>
  <c r="N4077" i="1"/>
  <c r="J4077" i="1"/>
  <c r="N4076" i="1"/>
  <c r="J4076" i="1"/>
  <c r="N4075" i="1"/>
  <c r="J4075" i="1"/>
  <c r="N4074" i="1"/>
  <c r="J4074" i="1"/>
  <c r="N4073" i="1"/>
  <c r="J4073" i="1"/>
  <c r="N4072" i="1"/>
  <c r="J4072" i="1"/>
  <c r="N4071" i="1"/>
  <c r="J4071" i="1"/>
  <c r="N4070" i="1"/>
  <c r="J4070" i="1"/>
  <c r="N4069" i="1"/>
  <c r="J4069" i="1"/>
  <c r="N4068" i="1"/>
  <c r="J4068" i="1"/>
  <c r="N4067" i="1"/>
  <c r="J4067" i="1"/>
  <c r="N4066" i="1"/>
  <c r="J4066" i="1"/>
  <c r="N4065" i="1"/>
  <c r="J4065" i="1"/>
  <c r="N4064" i="1"/>
  <c r="J4064" i="1"/>
  <c r="N4063" i="1"/>
  <c r="J4063" i="1"/>
  <c r="N4062" i="1"/>
  <c r="J4062" i="1"/>
  <c r="N4061" i="1"/>
  <c r="J4061" i="1"/>
  <c r="N4060" i="1"/>
  <c r="J4060" i="1"/>
  <c r="N4059" i="1"/>
  <c r="J4059" i="1"/>
  <c r="N4058" i="1"/>
  <c r="J4058" i="1"/>
  <c r="N4057" i="1"/>
  <c r="J4057" i="1"/>
  <c r="N4056" i="1"/>
  <c r="J4056" i="1"/>
  <c r="N4055" i="1"/>
  <c r="J4055" i="1"/>
  <c r="N4054" i="1"/>
  <c r="J4054" i="1"/>
  <c r="N4053" i="1"/>
  <c r="J4053" i="1"/>
  <c r="N4052" i="1"/>
  <c r="J4052" i="1"/>
  <c r="N4051" i="1"/>
  <c r="J4051" i="1"/>
  <c r="N4050" i="1"/>
  <c r="J4050" i="1"/>
  <c r="N4049" i="1"/>
  <c r="J4049" i="1"/>
  <c r="N4048" i="1"/>
  <c r="J4048" i="1"/>
  <c r="N4047" i="1"/>
  <c r="J4047" i="1"/>
  <c r="N4046" i="1"/>
  <c r="J4046" i="1"/>
  <c r="N4045" i="1"/>
  <c r="J4045" i="1"/>
  <c r="N4044" i="1"/>
  <c r="J4044" i="1"/>
  <c r="N4043" i="1"/>
  <c r="J4043" i="1"/>
  <c r="N4042" i="1"/>
  <c r="J4042" i="1"/>
  <c r="N4041" i="1"/>
  <c r="J4041" i="1"/>
  <c r="N4040" i="1"/>
  <c r="J4040" i="1"/>
  <c r="N4039" i="1"/>
  <c r="J4039" i="1"/>
  <c r="N4038" i="1"/>
  <c r="J4038" i="1"/>
  <c r="N4037" i="1"/>
  <c r="J4037" i="1"/>
  <c r="N4036" i="1"/>
  <c r="J4036" i="1"/>
  <c r="N4035" i="1"/>
  <c r="J4035" i="1"/>
  <c r="N4034" i="1"/>
  <c r="J4034" i="1"/>
  <c r="N4033" i="1"/>
  <c r="J4033" i="1"/>
  <c r="N4032" i="1"/>
  <c r="J4032" i="1"/>
  <c r="N4031" i="1"/>
  <c r="J4031" i="1"/>
  <c r="N4030" i="1"/>
  <c r="J4030" i="1"/>
  <c r="N4029" i="1"/>
  <c r="J4029" i="1"/>
  <c r="N4028" i="1"/>
  <c r="J4028" i="1"/>
  <c r="N4027" i="1"/>
  <c r="J4027" i="1"/>
  <c r="N4026" i="1"/>
  <c r="J4026" i="1"/>
  <c r="N4025" i="1"/>
  <c r="J4025" i="1"/>
  <c r="N4024" i="1"/>
  <c r="J4024" i="1"/>
  <c r="N4023" i="1"/>
  <c r="J4023" i="1"/>
  <c r="N4022" i="1"/>
  <c r="J4022" i="1"/>
  <c r="N4021" i="1"/>
  <c r="J4021" i="1"/>
  <c r="N4020" i="1"/>
  <c r="J4020" i="1"/>
  <c r="N4019" i="1"/>
  <c r="J4019" i="1"/>
  <c r="N4018" i="1"/>
  <c r="J4018" i="1"/>
  <c r="N4017" i="1"/>
  <c r="J4017" i="1"/>
  <c r="N4016" i="1"/>
  <c r="J4016" i="1"/>
  <c r="N4015" i="1"/>
  <c r="J4015" i="1"/>
  <c r="N4014" i="1"/>
  <c r="J4014" i="1"/>
  <c r="N4013" i="1"/>
  <c r="J4013" i="1"/>
  <c r="N4012" i="1"/>
  <c r="J4012" i="1"/>
  <c r="N4011" i="1"/>
  <c r="J4011" i="1"/>
  <c r="N4010" i="1"/>
  <c r="J4010" i="1"/>
  <c r="N4009" i="1"/>
  <c r="J4009" i="1"/>
  <c r="N4008" i="1"/>
  <c r="J4008" i="1"/>
  <c r="N4007" i="1"/>
  <c r="J4007" i="1"/>
  <c r="N4006" i="1"/>
  <c r="J4006" i="1"/>
  <c r="N4005" i="1"/>
  <c r="J4005" i="1"/>
  <c r="N4004" i="1"/>
  <c r="J4004" i="1"/>
  <c r="N4003" i="1"/>
  <c r="J4003" i="1"/>
  <c r="N4002" i="1"/>
  <c r="J4002" i="1"/>
  <c r="N4001" i="1"/>
  <c r="J4001" i="1"/>
  <c r="N4000" i="1"/>
  <c r="J4000" i="1"/>
  <c r="N3999" i="1"/>
  <c r="J3999" i="1"/>
  <c r="N3998" i="1"/>
  <c r="J3998" i="1"/>
  <c r="N3997" i="1"/>
  <c r="J3997" i="1"/>
  <c r="N3996" i="1"/>
  <c r="J3996" i="1"/>
  <c r="N3995" i="1"/>
  <c r="J3995" i="1"/>
  <c r="N3994" i="1"/>
  <c r="J3994" i="1"/>
  <c r="N3993" i="1"/>
  <c r="J3993" i="1"/>
  <c r="N3992" i="1"/>
  <c r="J3992" i="1"/>
  <c r="N3991" i="1"/>
  <c r="J3991" i="1"/>
  <c r="N3990" i="1"/>
  <c r="J3990" i="1"/>
  <c r="N3989" i="1"/>
  <c r="J3989" i="1"/>
  <c r="N3988" i="1"/>
  <c r="J3988" i="1"/>
  <c r="N3987" i="1"/>
  <c r="J3987" i="1"/>
  <c r="N3986" i="1"/>
  <c r="J3986" i="1"/>
  <c r="N3985" i="1"/>
  <c r="J3985" i="1"/>
  <c r="N3984" i="1"/>
  <c r="J3984" i="1"/>
  <c r="N3983" i="1"/>
  <c r="J3983" i="1"/>
  <c r="N3982" i="1"/>
  <c r="J3982" i="1"/>
  <c r="N3981" i="1"/>
  <c r="J3981" i="1"/>
  <c r="N3980" i="1"/>
  <c r="J3980" i="1"/>
  <c r="N3979" i="1"/>
  <c r="J3979" i="1"/>
  <c r="N3978" i="1"/>
  <c r="J3978" i="1"/>
  <c r="N3977" i="1"/>
  <c r="J3977" i="1"/>
  <c r="N3976" i="1"/>
  <c r="J3976" i="1"/>
  <c r="N3975" i="1"/>
  <c r="J3975" i="1"/>
  <c r="N3974" i="1"/>
  <c r="J3974" i="1"/>
  <c r="N3973" i="1"/>
  <c r="J3973" i="1"/>
  <c r="N3972" i="1"/>
  <c r="J3972" i="1"/>
  <c r="N3971" i="1"/>
  <c r="J3971" i="1"/>
  <c r="N3970" i="1"/>
  <c r="J3970" i="1"/>
  <c r="N3969" i="1"/>
  <c r="J3969" i="1"/>
  <c r="N3968" i="1"/>
  <c r="J3968" i="1"/>
  <c r="N3967" i="1"/>
  <c r="J3967" i="1"/>
  <c r="N3966" i="1"/>
  <c r="J3966" i="1"/>
  <c r="N3965" i="1"/>
  <c r="J3965" i="1"/>
  <c r="N3964" i="1"/>
  <c r="J3964" i="1"/>
  <c r="N3963" i="1"/>
  <c r="J3963" i="1"/>
  <c r="N3962" i="1"/>
  <c r="J3962" i="1"/>
  <c r="N3961" i="1"/>
  <c r="J3961" i="1"/>
  <c r="N3960" i="1"/>
  <c r="J3960" i="1"/>
  <c r="N3959" i="1"/>
  <c r="J3959" i="1"/>
  <c r="N3958" i="1"/>
  <c r="J3958" i="1"/>
  <c r="N3957" i="1"/>
  <c r="J3957" i="1"/>
  <c r="N3956" i="1"/>
  <c r="J3956" i="1"/>
  <c r="N3955" i="1"/>
  <c r="J3955" i="1"/>
  <c r="N3954" i="1"/>
  <c r="J3954" i="1"/>
  <c r="N3953" i="1"/>
  <c r="J3953" i="1"/>
  <c r="N3952" i="1"/>
  <c r="J3952" i="1"/>
  <c r="N3951" i="1"/>
  <c r="J3951" i="1"/>
  <c r="N3950" i="1"/>
  <c r="J3950" i="1"/>
  <c r="N3949" i="1"/>
  <c r="J3949" i="1"/>
  <c r="N3948" i="1"/>
  <c r="J3948" i="1"/>
  <c r="N3947" i="1"/>
  <c r="J3947" i="1"/>
  <c r="N3946" i="1"/>
  <c r="J3946" i="1"/>
  <c r="N3945" i="1"/>
  <c r="J3945" i="1"/>
  <c r="N3944" i="1"/>
  <c r="J3944" i="1"/>
  <c r="N3943" i="1"/>
  <c r="J3943" i="1"/>
  <c r="N3942" i="1"/>
  <c r="J3942" i="1"/>
  <c r="N3941" i="1"/>
  <c r="J3941" i="1"/>
  <c r="N3940" i="1"/>
  <c r="J3940" i="1"/>
  <c r="N3939" i="1"/>
  <c r="J3939" i="1"/>
  <c r="N3938" i="1"/>
  <c r="J3938" i="1"/>
  <c r="N3937" i="1"/>
  <c r="J3937" i="1"/>
  <c r="N3936" i="1"/>
  <c r="J3936" i="1"/>
  <c r="N3935" i="1"/>
  <c r="J3935" i="1"/>
  <c r="N3934" i="1"/>
  <c r="J3934" i="1"/>
  <c r="N3933" i="1"/>
  <c r="J3933" i="1"/>
  <c r="N3932" i="1"/>
  <c r="J3932" i="1"/>
  <c r="N3931" i="1"/>
  <c r="J3931" i="1"/>
  <c r="N3930" i="1"/>
  <c r="J3930" i="1"/>
  <c r="N3929" i="1"/>
  <c r="J3929" i="1"/>
  <c r="N3928" i="1"/>
  <c r="J3928" i="1"/>
  <c r="N3927" i="1"/>
  <c r="J3927" i="1"/>
  <c r="N3926" i="1"/>
  <c r="J3926" i="1"/>
  <c r="N3925" i="1"/>
  <c r="J3925" i="1"/>
  <c r="N3924" i="1"/>
  <c r="J3924" i="1"/>
  <c r="N3923" i="1"/>
  <c r="J3923" i="1"/>
  <c r="N3922" i="1"/>
  <c r="J3922" i="1"/>
  <c r="N3921" i="1"/>
  <c r="J3921" i="1"/>
  <c r="N3920" i="1"/>
  <c r="J3920" i="1"/>
  <c r="N3919" i="1"/>
  <c r="J3919" i="1"/>
  <c r="N3918" i="1"/>
  <c r="J3918" i="1"/>
  <c r="N3917" i="1"/>
  <c r="J3917" i="1"/>
  <c r="N3916" i="1"/>
  <c r="J3916" i="1"/>
  <c r="N3915" i="1"/>
  <c r="J3915" i="1"/>
  <c r="N3914" i="1"/>
  <c r="J3914" i="1"/>
  <c r="N3913" i="1"/>
  <c r="J3913" i="1"/>
  <c r="N3912" i="1"/>
  <c r="J3912" i="1"/>
  <c r="N3911" i="1"/>
  <c r="J3911" i="1"/>
  <c r="N3910" i="1"/>
  <c r="J3910" i="1"/>
  <c r="N3909" i="1"/>
  <c r="J3909" i="1"/>
  <c r="N3908" i="1"/>
  <c r="J3908" i="1"/>
  <c r="N3907" i="1"/>
  <c r="J3907" i="1"/>
  <c r="N3906" i="1"/>
  <c r="J3906" i="1"/>
  <c r="N3905" i="1"/>
  <c r="J3905" i="1"/>
  <c r="N3904" i="1"/>
  <c r="J3904" i="1"/>
  <c r="N3903" i="1"/>
  <c r="J3903" i="1"/>
  <c r="N3902" i="1"/>
  <c r="J3902" i="1"/>
  <c r="N3901" i="1"/>
  <c r="J3901" i="1"/>
  <c r="N3900" i="1"/>
  <c r="J3900" i="1"/>
  <c r="N3899" i="1"/>
  <c r="J3899" i="1"/>
  <c r="N3898" i="1"/>
  <c r="J3898" i="1"/>
  <c r="N3897" i="1"/>
  <c r="J3897" i="1"/>
  <c r="N3896" i="1"/>
  <c r="J3896" i="1"/>
  <c r="N3895" i="1"/>
  <c r="J3895" i="1"/>
  <c r="N3894" i="1"/>
  <c r="J3894" i="1"/>
  <c r="N3893" i="1"/>
  <c r="J3893" i="1"/>
  <c r="N3892" i="1"/>
  <c r="J3892" i="1"/>
  <c r="N3891" i="1"/>
  <c r="J3891" i="1"/>
  <c r="N3890" i="1"/>
  <c r="J3890" i="1"/>
  <c r="N3889" i="1"/>
  <c r="J3889" i="1"/>
  <c r="N3888" i="1"/>
  <c r="J3888" i="1"/>
  <c r="N3887" i="1"/>
  <c r="J3887" i="1"/>
  <c r="N3886" i="1"/>
  <c r="J3886" i="1"/>
  <c r="N3885" i="1"/>
  <c r="J3885" i="1"/>
  <c r="N3884" i="1"/>
  <c r="J3884" i="1"/>
  <c r="N3883" i="1"/>
  <c r="J3883" i="1"/>
  <c r="N3882" i="1"/>
  <c r="J3882" i="1"/>
  <c r="N3881" i="1"/>
  <c r="J3881" i="1"/>
  <c r="N3880" i="1"/>
  <c r="J3880" i="1"/>
  <c r="N3879" i="1"/>
  <c r="J3879" i="1"/>
  <c r="N3878" i="1"/>
  <c r="J3878" i="1"/>
  <c r="N3877" i="1"/>
  <c r="J3877" i="1"/>
  <c r="N3876" i="1"/>
  <c r="J3876" i="1"/>
  <c r="N3875" i="1"/>
  <c r="J3875" i="1"/>
  <c r="N3874" i="1"/>
  <c r="J3874" i="1"/>
  <c r="N3873" i="1"/>
  <c r="J3873" i="1"/>
  <c r="N3872" i="1"/>
  <c r="J3872" i="1"/>
  <c r="N3871" i="1"/>
  <c r="J3871" i="1"/>
  <c r="N3870" i="1"/>
  <c r="J3870" i="1"/>
  <c r="N3869" i="1"/>
  <c r="J3869" i="1"/>
  <c r="N3868" i="1"/>
  <c r="J3868" i="1"/>
  <c r="N3867" i="1"/>
  <c r="J3867" i="1"/>
  <c r="N3866" i="1"/>
  <c r="J3866" i="1"/>
  <c r="N3865" i="1"/>
  <c r="J3865" i="1"/>
  <c r="N3864" i="1"/>
  <c r="J3864" i="1"/>
  <c r="N3863" i="1"/>
  <c r="J3863" i="1"/>
  <c r="N3862" i="1"/>
  <c r="J3862" i="1"/>
  <c r="N3861" i="1"/>
  <c r="J3861" i="1"/>
  <c r="N3860" i="1"/>
  <c r="J3860" i="1"/>
  <c r="N3859" i="1"/>
  <c r="J3859" i="1"/>
  <c r="N3858" i="1"/>
  <c r="J3858" i="1"/>
  <c r="N3857" i="1"/>
  <c r="J3857" i="1"/>
  <c r="N3856" i="1"/>
  <c r="J3856" i="1"/>
  <c r="N3855" i="1"/>
  <c r="J3855" i="1"/>
  <c r="N3854" i="1"/>
  <c r="J3854" i="1"/>
  <c r="N3853" i="1"/>
  <c r="J3853" i="1"/>
  <c r="N3852" i="1"/>
  <c r="J3852" i="1"/>
  <c r="N3851" i="1"/>
  <c r="J3851" i="1"/>
  <c r="N3850" i="1"/>
  <c r="J3850" i="1"/>
  <c r="N3849" i="1"/>
  <c r="J3849" i="1"/>
  <c r="N3848" i="1"/>
  <c r="J3848" i="1"/>
  <c r="N3847" i="1"/>
  <c r="J3847" i="1"/>
  <c r="N3846" i="1"/>
  <c r="J3846" i="1"/>
  <c r="N3845" i="1"/>
  <c r="J3845" i="1"/>
  <c r="N3844" i="1"/>
  <c r="J3844" i="1"/>
  <c r="N3843" i="1"/>
  <c r="J3843" i="1"/>
  <c r="N3842" i="1"/>
  <c r="J3842" i="1"/>
  <c r="N3841" i="1"/>
  <c r="J3841" i="1"/>
  <c r="N3840" i="1"/>
  <c r="J3840" i="1"/>
  <c r="N3839" i="1"/>
  <c r="J3839" i="1"/>
  <c r="N3838" i="1"/>
  <c r="J3838" i="1"/>
  <c r="N3837" i="1"/>
  <c r="J3837" i="1"/>
  <c r="N3836" i="1"/>
  <c r="J3836" i="1"/>
  <c r="N3835" i="1"/>
  <c r="J3835" i="1"/>
  <c r="N3834" i="1"/>
  <c r="J3834" i="1"/>
  <c r="N3833" i="1"/>
  <c r="J3833" i="1"/>
  <c r="N3832" i="1"/>
  <c r="J3832" i="1"/>
  <c r="N3831" i="1"/>
  <c r="J3831" i="1"/>
  <c r="N3830" i="1"/>
  <c r="J3830" i="1"/>
  <c r="N3829" i="1"/>
  <c r="J3829" i="1"/>
  <c r="N3828" i="1"/>
  <c r="J3828" i="1"/>
  <c r="N3827" i="1"/>
  <c r="J3827" i="1"/>
  <c r="N3826" i="1"/>
  <c r="J3826" i="1"/>
  <c r="N3825" i="1"/>
  <c r="J3825" i="1"/>
  <c r="N3824" i="1"/>
  <c r="J3824" i="1"/>
  <c r="N3823" i="1"/>
  <c r="J3823" i="1"/>
  <c r="N3822" i="1"/>
  <c r="J3822" i="1"/>
  <c r="N3821" i="1"/>
  <c r="J3821" i="1"/>
  <c r="N3820" i="1"/>
  <c r="J3820" i="1"/>
  <c r="N3819" i="1"/>
  <c r="J3819" i="1"/>
  <c r="N3818" i="1"/>
  <c r="J3818" i="1"/>
  <c r="N3817" i="1"/>
  <c r="J3817" i="1"/>
  <c r="N3816" i="1"/>
  <c r="J3816" i="1"/>
  <c r="N3815" i="1"/>
  <c r="J3815" i="1"/>
  <c r="N3814" i="1"/>
  <c r="J3814" i="1"/>
  <c r="N3813" i="1"/>
  <c r="J3813" i="1"/>
  <c r="N3812" i="1"/>
  <c r="J3812" i="1"/>
  <c r="N3811" i="1"/>
  <c r="J3811" i="1"/>
  <c r="N3810" i="1"/>
  <c r="J3810" i="1"/>
  <c r="N3809" i="1"/>
  <c r="J3809" i="1"/>
  <c r="N3808" i="1"/>
  <c r="J3808" i="1"/>
  <c r="N3807" i="1"/>
  <c r="J3807" i="1"/>
  <c r="N3806" i="1"/>
  <c r="J3806" i="1"/>
  <c r="N3805" i="1"/>
  <c r="J3805" i="1"/>
  <c r="N3804" i="1"/>
  <c r="J3804" i="1"/>
  <c r="N3803" i="1"/>
  <c r="J3803" i="1"/>
  <c r="N3802" i="1"/>
  <c r="J3802" i="1"/>
  <c r="N3801" i="1"/>
  <c r="J3801" i="1"/>
  <c r="N3800" i="1"/>
  <c r="J3800" i="1"/>
  <c r="N3799" i="1"/>
  <c r="J3799" i="1"/>
  <c r="N3798" i="1"/>
  <c r="J3798" i="1"/>
  <c r="N3797" i="1"/>
  <c r="J3797" i="1"/>
  <c r="N3796" i="1"/>
  <c r="J3796" i="1"/>
  <c r="N3795" i="1"/>
  <c r="J3795" i="1"/>
  <c r="N3794" i="1"/>
  <c r="J3794" i="1"/>
  <c r="N3793" i="1"/>
  <c r="J3793" i="1"/>
  <c r="N3792" i="1"/>
  <c r="J3792" i="1"/>
  <c r="N3791" i="1"/>
  <c r="J3791" i="1"/>
  <c r="N3790" i="1"/>
  <c r="J3790" i="1"/>
  <c r="N3789" i="1"/>
  <c r="J3789" i="1"/>
  <c r="N3788" i="1"/>
  <c r="J3788" i="1"/>
  <c r="N3787" i="1"/>
  <c r="J3787" i="1"/>
  <c r="N3786" i="1"/>
  <c r="J3786" i="1"/>
  <c r="N3785" i="1"/>
  <c r="J3785" i="1"/>
  <c r="N3784" i="1"/>
  <c r="J3784" i="1"/>
  <c r="N3783" i="1"/>
  <c r="J3783" i="1"/>
  <c r="N3782" i="1"/>
  <c r="J3782" i="1"/>
  <c r="N3781" i="1"/>
  <c r="J3781" i="1"/>
  <c r="N3780" i="1"/>
  <c r="J3780" i="1"/>
  <c r="N3779" i="1"/>
  <c r="J3779" i="1"/>
  <c r="N3778" i="1"/>
  <c r="J3778" i="1"/>
  <c r="N3777" i="1"/>
  <c r="J3777" i="1"/>
  <c r="N3776" i="1"/>
  <c r="J3776" i="1"/>
  <c r="N3775" i="1"/>
  <c r="J3775" i="1"/>
  <c r="N3774" i="1"/>
  <c r="J3774" i="1"/>
  <c r="N3773" i="1"/>
  <c r="J3773" i="1"/>
  <c r="N3772" i="1"/>
  <c r="J3772" i="1"/>
  <c r="N3771" i="1"/>
  <c r="J3771" i="1"/>
  <c r="N3770" i="1"/>
  <c r="J3770" i="1"/>
  <c r="N3769" i="1"/>
  <c r="J3769" i="1"/>
  <c r="N3768" i="1"/>
  <c r="J3768" i="1"/>
  <c r="N3767" i="1"/>
  <c r="J3767" i="1"/>
  <c r="N3766" i="1"/>
  <c r="J3766" i="1"/>
  <c r="N3765" i="1"/>
  <c r="J3765" i="1"/>
  <c r="N3764" i="1"/>
  <c r="J3764" i="1"/>
  <c r="N3763" i="1"/>
  <c r="J3763" i="1"/>
  <c r="N3762" i="1"/>
  <c r="J3762" i="1"/>
  <c r="N3761" i="1"/>
  <c r="J3761" i="1"/>
  <c r="N3760" i="1"/>
  <c r="J3760" i="1"/>
  <c r="N3759" i="1"/>
  <c r="J3759" i="1"/>
  <c r="N3758" i="1"/>
  <c r="J3758" i="1"/>
  <c r="N3757" i="1"/>
  <c r="J3757" i="1"/>
  <c r="N3756" i="1"/>
  <c r="J3756" i="1"/>
  <c r="N3755" i="1"/>
  <c r="J3755" i="1"/>
  <c r="N3754" i="1"/>
  <c r="J3754" i="1"/>
  <c r="N3753" i="1"/>
  <c r="J3753" i="1"/>
  <c r="N3752" i="1"/>
  <c r="J3752" i="1"/>
  <c r="N3751" i="1"/>
  <c r="J3751" i="1"/>
  <c r="N3750" i="1"/>
  <c r="J3750" i="1"/>
  <c r="N3749" i="1"/>
  <c r="J3749" i="1"/>
  <c r="N3748" i="1"/>
  <c r="J3748" i="1"/>
  <c r="N3747" i="1"/>
  <c r="J3747" i="1"/>
  <c r="N3746" i="1"/>
  <c r="J3746" i="1"/>
  <c r="N3745" i="1"/>
  <c r="J3745" i="1"/>
  <c r="N3744" i="1"/>
  <c r="J3744" i="1"/>
  <c r="N3743" i="1"/>
  <c r="J3743" i="1"/>
  <c r="N3742" i="1"/>
  <c r="J3742" i="1"/>
  <c r="N3741" i="1"/>
  <c r="J3741" i="1"/>
  <c r="N3740" i="1"/>
  <c r="J3740" i="1"/>
  <c r="N3739" i="1"/>
  <c r="J3739" i="1"/>
  <c r="N3738" i="1"/>
  <c r="J3738" i="1"/>
  <c r="N3737" i="1"/>
  <c r="J3737" i="1"/>
  <c r="N3736" i="1"/>
  <c r="J3736" i="1"/>
  <c r="N3735" i="1"/>
  <c r="J3735" i="1"/>
  <c r="N3734" i="1"/>
  <c r="J3734" i="1"/>
  <c r="N3733" i="1"/>
  <c r="J3733" i="1"/>
  <c r="N3732" i="1"/>
  <c r="J3732" i="1"/>
  <c r="N3731" i="1"/>
  <c r="J3731" i="1"/>
  <c r="N3730" i="1"/>
  <c r="J3730" i="1"/>
  <c r="N3729" i="1"/>
  <c r="J3729" i="1"/>
  <c r="N3728" i="1"/>
  <c r="J3728" i="1"/>
  <c r="N3727" i="1"/>
  <c r="J3727" i="1"/>
  <c r="N3726" i="1"/>
  <c r="J3726" i="1"/>
  <c r="N3725" i="1"/>
  <c r="J3725" i="1"/>
  <c r="N3724" i="1"/>
  <c r="J3724" i="1"/>
  <c r="N3723" i="1"/>
  <c r="J3723" i="1"/>
  <c r="N3722" i="1"/>
  <c r="J3722" i="1"/>
  <c r="N3721" i="1"/>
  <c r="J3721" i="1"/>
  <c r="N3720" i="1"/>
  <c r="J3720" i="1"/>
  <c r="N3719" i="1"/>
  <c r="J3719" i="1"/>
  <c r="N3718" i="1"/>
  <c r="J3718" i="1"/>
  <c r="N3717" i="1"/>
  <c r="J3717" i="1"/>
  <c r="N3716" i="1"/>
  <c r="J3716" i="1"/>
  <c r="N3715" i="1"/>
  <c r="J3715" i="1"/>
  <c r="N3714" i="1"/>
  <c r="J3714" i="1"/>
  <c r="N3713" i="1"/>
  <c r="J3713" i="1"/>
  <c r="N3712" i="1"/>
  <c r="J3712" i="1"/>
  <c r="N3711" i="1"/>
  <c r="J3711" i="1"/>
  <c r="N3710" i="1"/>
  <c r="J3710" i="1"/>
  <c r="N3709" i="1"/>
  <c r="J3709" i="1"/>
  <c r="N3708" i="1"/>
  <c r="J3708" i="1"/>
  <c r="N3707" i="1"/>
  <c r="J3707" i="1"/>
  <c r="N3706" i="1"/>
  <c r="J3706" i="1"/>
  <c r="N3705" i="1"/>
  <c r="J3705" i="1"/>
  <c r="N3704" i="1"/>
  <c r="J3704" i="1"/>
  <c r="N3703" i="1"/>
  <c r="J3703" i="1"/>
  <c r="N3702" i="1"/>
  <c r="J3702" i="1"/>
  <c r="N3701" i="1"/>
  <c r="J3701" i="1"/>
  <c r="N3700" i="1"/>
  <c r="J3700" i="1"/>
  <c r="N3699" i="1"/>
  <c r="J3699" i="1"/>
  <c r="N3698" i="1"/>
  <c r="J3698" i="1"/>
  <c r="N3697" i="1"/>
  <c r="J3697" i="1"/>
  <c r="N3696" i="1"/>
  <c r="J3696" i="1"/>
  <c r="N3695" i="1"/>
  <c r="J3695" i="1"/>
  <c r="N3694" i="1"/>
  <c r="J3694" i="1"/>
  <c r="N3693" i="1"/>
  <c r="J3693" i="1"/>
  <c r="N3692" i="1"/>
  <c r="J3692" i="1"/>
  <c r="N3691" i="1"/>
  <c r="J3691" i="1"/>
  <c r="N3690" i="1"/>
  <c r="J3690" i="1"/>
  <c r="N3689" i="1"/>
  <c r="J3689" i="1"/>
  <c r="N3688" i="1"/>
  <c r="J3688" i="1"/>
  <c r="N3687" i="1"/>
  <c r="J3687" i="1"/>
  <c r="N3686" i="1"/>
  <c r="J3686" i="1"/>
  <c r="N3685" i="1"/>
  <c r="J3685" i="1"/>
  <c r="N3684" i="1"/>
  <c r="J3684" i="1"/>
  <c r="N3683" i="1"/>
  <c r="J3683" i="1"/>
  <c r="N3682" i="1"/>
  <c r="J3682" i="1"/>
  <c r="N3681" i="1"/>
  <c r="J3681" i="1"/>
  <c r="N3680" i="1"/>
  <c r="J3680" i="1"/>
  <c r="N3679" i="1"/>
  <c r="J3679" i="1"/>
  <c r="N3678" i="1"/>
  <c r="J3678" i="1"/>
  <c r="N3677" i="1"/>
  <c r="J3677" i="1"/>
  <c r="N3676" i="1"/>
  <c r="J3676" i="1"/>
  <c r="N3675" i="1"/>
  <c r="J3675" i="1"/>
  <c r="N3674" i="1"/>
  <c r="J3674" i="1"/>
  <c r="N3673" i="1"/>
  <c r="J3673" i="1"/>
  <c r="N3672" i="1"/>
  <c r="J3672" i="1"/>
  <c r="N3671" i="1"/>
  <c r="J3671" i="1"/>
  <c r="N3670" i="1"/>
  <c r="J3670" i="1"/>
  <c r="N3669" i="1"/>
  <c r="J3669" i="1"/>
  <c r="N3668" i="1"/>
  <c r="J3668" i="1"/>
  <c r="N3667" i="1"/>
  <c r="J3667" i="1"/>
  <c r="N3666" i="1"/>
  <c r="J3666" i="1"/>
  <c r="N3665" i="1"/>
  <c r="J3665" i="1"/>
  <c r="N3664" i="1"/>
  <c r="J3664" i="1"/>
  <c r="N3663" i="1"/>
  <c r="J3663" i="1"/>
  <c r="N3662" i="1"/>
  <c r="J3662" i="1"/>
  <c r="N3661" i="1"/>
  <c r="J3661" i="1"/>
  <c r="N3660" i="1"/>
  <c r="J3660" i="1"/>
  <c r="N3659" i="1"/>
  <c r="J3659" i="1"/>
  <c r="N3658" i="1"/>
  <c r="J3658" i="1"/>
  <c r="N3657" i="1"/>
  <c r="J3657" i="1"/>
  <c r="N3656" i="1"/>
  <c r="J3656" i="1"/>
  <c r="N3655" i="1"/>
  <c r="J3655" i="1"/>
  <c r="N3654" i="1"/>
  <c r="J3654" i="1"/>
  <c r="N3653" i="1"/>
  <c r="J3653" i="1"/>
  <c r="N3652" i="1"/>
  <c r="J3652" i="1"/>
  <c r="N3651" i="1"/>
  <c r="J3651" i="1"/>
  <c r="N3650" i="1"/>
  <c r="J3650" i="1"/>
  <c r="N3649" i="1"/>
  <c r="J3649" i="1"/>
  <c r="N3648" i="1"/>
  <c r="J3648" i="1"/>
  <c r="N3647" i="1"/>
  <c r="J3647" i="1"/>
  <c r="N3646" i="1"/>
  <c r="J3646" i="1"/>
  <c r="N3645" i="1"/>
  <c r="J3645" i="1"/>
  <c r="N3644" i="1"/>
  <c r="J3644" i="1"/>
  <c r="N3643" i="1"/>
  <c r="J3643" i="1"/>
  <c r="N3642" i="1"/>
  <c r="J3642" i="1"/>
  <c r="N3641" i="1"/>
  <c r="J3641" i="1"/>
  <c r="N3640" i="1"/>
  <c r="J3640" i="1"/>
  <c r="N3639" i="1"/>
  <c r="J3639" i="1"/>
  <c r="N3638" i="1"/>
  <c r="J3638" i="1"/>
  <c r="N3637" i="1"/>
  <c r="J3637" i="1"/>
  <c r="N3636" i="1"/>
  <c r="J3636" i="1"/>
  <c r="N3635" i="1"/>
  <c r="J3635" i="1"/>
  <c r="N3634" i="1"/>
  <c r="J3634" i="1"/>
  <c r="N3633" i="1"/>
  <c r="J3633" i="1"/>
  <c r="N3632" i="1"/>
  <c r="J3632" i="1"/>
  <c r="N3631" i="1"/>
  <c r="J3631" i="1"/>
  <c r="N3630" i="1"/>
  <c r="J3630" i="1"/>
  <c r="N3629" i="1"/>
  <c r="J3629" i="1"/>
  <c r="N3628" i="1"/>
  <c r="J3628" i="1"/>
  <c r="N3627" i="1"/>
  <c r="J3627" i="1"/>
  <c r="N3626" i="1"/>
  <c r="J3626" i="1"/>
  <c r="N3625" i="1"/>
  <c r="J3625" i="1"/>
  <c r="N3624" i="1"/>
  <c r="J3624" i="1"/>
  <c r="N3623" i="1"/>
  <c r="J3623" i="1"/>
  <c r="N3622" i="1"/>
  <c r="J3622" i="1"/>
  <c r="N3621" i="1"/>
  <c r="J3621" i="1"/>
  <c r="N3620" i="1"/>
  <c r="J3620" i="1"/>
  <c r="N3619" i="1"/>
  <c r="J3619" i="1"/>
  <c r="N3618" i="1"/>
  <c r="J3618" i="1"/>
  <c r="N3617" i="1"/>
  <c r="J3617" i="1"/>
  <c r="N3616" i="1"/>
  <c r="J3616" i="1"/>
  <c r="N3615" i="1"/>
  <c r="J3615" i="1"/>
  <c r="N3614" i="1"/>
  <c r="J3614" i="1"/>
  <c r="N3613" i="1"/>
  <c r="J3613" i="1"/>
  <c r="N3612" i="1"/>
  <c r="J3612" i="1"/>
  <c r="N3611" i="1"/>
  <c r="J3611" i="1"/>
  <c r="N3610" i="1"/>
  <c r="J3610" i="1"/>
  <c r="N3609" i="1"/>
  <c r="J3609" i="1"/>
  <c r="N3608" i="1"/>
  <c r="J3608" i="1"/>
  <c r="N3607" i="1"/>
  <c r="J3607" i="1"/>
  <c r="N3606" i="1"/>
  <c r="J3606" i="1"/>
  <c r="N3605" i="1"/>
  <c r="J3605" i="1"/>
  <c r="N3604" i="1"/>
  <c r="J3604" i="1"/>
  <c r="N3603" i="1"/>
  <c r="J3603" i="1"/>
  <c r="N3602" i="1"/>
  <c r="J3602" i="1"/>
  <c r="N3601" i="1"/>
  <c r="J3601" i="1"/>
  <c r="N3600" i="1"/>
  <c r="J3600" i="1"/>
  <c r="N3599" i="1"/>
  <c r="J3599" i="1"/>
  <c r="N3598" i="1"/>
  <c r="J3598" i="1"/>
  <c r="N3597" i="1"/>
  <c r="J3597" i="1"/>
  <c r="N3596" i="1"/>
  <c r="J3596" i="1"/>
  <c r="N3595" i="1"/>
  <c r="J3595" i="1"/>
  <c r="N3594" i="1"/>
  <c r="J3594" i="1"/>
  <c r="N3593" i="1"/>
  <c r="J3593" i="1"/>
  <c r="N3592" i="1"/>
  <c r="J3592" i="1"/>
  <c r="N3591" i="1"/>
  <c r="J3591" i="1"/>
  <c r="N3590" i="1"/>
  <c r="J3590" i="1"/>
  <c r="N3589" i="1"/>
  <c r="J3589" i="1"/>
  <c r="N3588" i="1"/>
  <c r="J3588" i="1"/>
  <c r="N3587" i="1"/>
  <c r="J3587" i="1"/>
  <c r="N3586" i="1"/>
  <c r="J3586" i="1"/>
  <c r="N3585" i="1"/>
  <c r="J3585" i="1"/>
  <c r="N3584" i="1"/>
  <c r="J3584" i="1"/>
  <c r="N3583" i="1"/>
  <c r="J3583" i="1"/>
  <c r="N3582" i="1"/>
  <c r="J3582" i="1"/>
  <c r="N3581" i="1"/>
  <c r="J3581" i="1"/>
  <c r="N3580" i="1"/>
  <c r="J3580" i="1"/>
  <c r="N3579" i="1"/>
  <c r="J3579" i="1"/>
  <c r="N3578" i="1"/>
  <c r="J3578" i="1"/>
  <c r="N3577" i="1"/>
  <c r="J3577" i="1"/>
  <c r="N3576" i="1"/>
  <c r="J3576" i="1"/>
  <c r="N3575" i="1"/>
  <c r="J3575" i="1"/>
  <c r="N3574" i="1"/>
  <c r="J3574" i="1"/>
  <c r="N3573" i="1"/>
  <c r="J3573" i="1"/>
  <c r="N3572" i="1"/>
  <c r="J3572" i="1"/>
  <c r="N3571" i="1"/>
  <c r="J3571" i="1"/>
  <c r="N3570" i="1"/>
  <c r="J3570" i="1"/>
  <c r="N3569" i="1"/>
  <c r="J3569" i="1"/>
  <c r="N3568" i="1"/>
  <c r="J3568" i="1"/>
  <c r="N3567" i="1"/>
  <c r="J3567" i="1"/>
  <c r="N3566" i="1"/>
  <c r="J3566" i="1"/>
  <c r="N3565" i="1"/>
  <c r="J3565" i="1"/>
  <c r="N3564" i="1"/>
  <c r="J3564" i="1"/>
  <c r="N3563" i="1"/>
  <c r="J3563" i="1"/>
  <c r="N3562" i="1"/>
  <c r="J3562" i="1"/>
  <c r="N3561" i="1"/>
  <c r="J3561" i="1"/>
  <c r="N3560" i="1"/>
  <c r="J3560" i="1"/>
  <c r="N3559" i="1"/>
  <c r="J3559" i="1"/>
  <c r="N3558" i="1"/>
  <c r="J3558" i="1"/>
  <c r="N3557" i="1"/>
  <c r="J3557" i="1"/>
  <c r="N3556" i="1"/>
  <c r="J3556" i="1"/>
  <c r="N3555" i="1"/>
  <c r="J3555" i="1"/>
  <c r="N3554" i="1"/>
  <c r="J3554" i="1"/>
  <c r="N3553" i="1"/>
  <c r="J3553" i="1"/>
  <c r="N3552" i="1"/>
  <c r="J3552" i="1"/>
  <c r="N3551" i="1"/>
  <c r="J3551" i="1"/>
  <c r="N3550" i="1"/>
  <c r="J3550" i="1"/>
  <c r="N3549" i="1"/>
  <c r="J3549" i="1"/>
  <c r="N3548" i="1"/>
  <c r="J3548" i="1"/>
  <c r="N3547" i="1"/>
  <c r="J3547" i="1"/>
  <c r="N3546" i="1"/>
  <c r="J3546" i="1"/>
  <c r="N3545" i="1"/>
  <c r="J3545" i="1"/>
  <c r="N3544" i="1"/>
  <c r="J3544" i="1"/>
  <c r="N3543" i="1"/>
  <c r="J3543" i="1"/>
  <c r="N3542" i="1"/>
  <c r="J3542" i="1"/>
  <c r="N3541" i="1"/>
  <c r="J3541" i="1"/>
  <c r="N3540" i="1"/>
  <c r="J3540" i="1"/>
  <c r="N3539" i="1"/>
  <c r="J3539" i="1"/>
  <c r="N3538" i="1"/>
  <c r="J3538" i="1"/>
  <c r="N3537" i="1"/>
  <c r="J3537" i="1"/>
  <c r="N3536" i="1"/>
  <c r="J3536" i="1"/>
  <c r="N3535" i="1"/>
  <c r="J3535" i="1"/>
  <c r="N3534" i="1"/>
  <c r="J3534" i="1"/>
  <c r="N3533" i="1"/>
  <c r="J3533" i="1"/>
  <c r="N3532" i="1"/>
  <c r="J3532" i="1"/>
  <c r="N3531" i="1"/>
  <c r="J3531" i="1"/>
  <c r="N3530" i="1"/>
  <c r="J3530" i="1"/>
  <c r="N3529" i="1"/>
  <c r="J3529" i="1"/>
  <c r="N3528" i="1"/>
  <c r="J3528" i="1"/>
  <c r="N3527" i="1"/>
  <c r="J3527" i="1"/>
  <c r="N3526" i="1"/>
  <c r="J3526" i="1"/>
  <c r="N3525" i="1"/>
  <c r="J3525" i="1"/>
  <c r="N3524" i="1"/>
  <c r="J3524" i="1"/>
  <c r="N3523" i="1"/>
  <c r="J3523" i="1"/>
  <c r="N3522" i="1"/>
  <c r="J3522" i="1"/>
  <c r="N3521" i="1"/>
  <c r="J3521" i="1"/>
  <c r="N3520" i="1"/>
  <c r="J3520" i="1"/>
  <c r="N3519" i="1"/>
  <c r="J3519" i="1"/>
  <c r="N3518" i="1"/>
  <c r="J3518" i="1"/>
  <c r="N3517" i="1"/>
  <c r="J3517" i="1"/>
  <c r="N3516" i="1"/>
  <c r="J3516" i="1"/>
  <c r="N3515" i="1"/>
  <c r="J3515" i="1"/>
  <c r="N3514" i="1"/>
  <c r="J3514" i="1"/>
  <c r="N3513" i="1"/>
  <c r="J3513" i="1"/>
  <c r="N3512" i="1"/>
  <c r="J3512" i="1"/>
  <c r="N3511" i="1"/>
  <c r="J3511" i="1"/>
  <c r="N3510" i="1"/>
  <c r="J3510" i="1"/>
  <c r="N3509" i="1"/>
  <c r="J3509" i="1"/>
  <c r="N3508" i="1"/>
  <c r="J3508" i="1"/>
  <c r="N3507" i="1"/>
  <c r="J3507" i="1"/>
  <c r="N3506" i="1"/>
  <c r="J3506" i="1"/>
  <c r="N3505" i="1"/>
  <c r="J3505" i="1"/>
  <c r="N3504" i="1"/>
  <c r="J3504" i="1"/>
  <c r="N3503" i="1"/>
  <c r="J3503" i="1"/>
  <c r="N3502" i="1"/>
  <c r="J3502" i="1"/>
  <c r="N3501" i="1"/>
  <c r="J3501" i="1"/>
  <c r="N3500" i="1"/>
  <c r="J3500" i="1"/>
  <c r="N3499" i="1"/>
  <c r="J3499" i="1"/>
  <c r="N3498" i="1"/>
  <c r="J3498" i="1"/>
  <c r="N3497" i="1"/>
  <c r="J3497" i="1"/>
  <c r="N3496" i="1"/>
  <c r="J3496" i="1"/>
  <c r="N3495" i="1"/>
  <c r="J3495" i="1"/>
  <c r="N3494" i="1"/>
  <c r="J3494" i="1"/>
  <c r="N3493" i="1"/>
  <c r="J3493" i="1"/>
  <c r="N3492" i="1"/>
  <c r="J3492" i="1"/>
  <c r="N3491" i="1"/>
  <c r="J3491" i="1"/>
  <c r="N3490" i="1"/>
  <c r="J3490" i="1"/>
  <c r="N3489" i="1"/>
  <c r="J3489" i="1"/>
  <c r="N3488" i="1"/>
  <c r="J3488" i="1"/>
  <c r="N3487" i="1"/>
  <c r="J3487" i="1"/>
  <c r="N3486" i="1"/>
  <c r="J3486" i="1"/>
  <c r="N3485" i="1"/>
  <c r="J3485" i="1"/>
  <c r="N3484" i="1"/>
  <c r="J3484" i="1"/>
  <c r="N3483" i="1"/>
  <c r="J3483" i="1"/>
  <c r="N3482" i="1"/>
  <c r="J3482" i="1"/>
  <c r="N3481" i="1"/>
  <c r="J3481" i="1"/>
  <c r="N3480" i="1"/>
  <c r="J3480" i="1"/>
  <c r="N3479" i="1"/>
  <c r="J3479" i="1"/>
  <c r="N3478" i="1"/>
  <c r="J3478" i="1"/>
  <c r="N3477" i="1"/>
  <c r="J3477" i="1"/>
  <c r="N3476" i="1"/>
  <c r="J3476" i="1"/>
  <c r="N3475" i="1"/>
  <c r="J3475" i="1"/>
  <c r="N3474" i="1"/>
  <c r="J3474" i="1"/>
  <c r="N3473" i="1"/>
  <c r="J3473" i="1"/>
  <c r="N3472" i="1"/>
  <c r="J3472" i="1"/>
  <c r="N3471" i="1"/>
  <c r="J3471" i="1"/>
  <c r="N3470" i="1"/>
  <c r="J3470" i="1"/>
  <c r="N3469" i="1"/>
  <c r="J3469" i="1"/>
  <c r="N3468" i="1"/>
  <c r="J3468" i="1"/>
  <c r="N3467" i="1"/>
  <c r="J3467" i="1"/>
  <c r="N3466" i="1"/>
  <c r="J3466" i="1"/>
  <c r="N3465" i="1"/>
  <c r="J3465" i="1"/>
  <c r="N3464" i="1"/>
  <c r="J3464" i="1"/>
  <c r="N3463" i="1"/>
  <c r="J3463" i="1"/>
  <c r="N3462" i="1"/>
  <c r="J3462" i="1"/>
  <c r="N3461" i="1"/>
  <c r="J3461" i="1"/>
  <c r="N3460" i="1"/>
  <c r="J3460" i="1"/>
  <c r="N3459" i="1"/>
  <c r="J3459" i="1"/>
  <c r="N3458" i="1"/>
  <c r="J3458" i="1"/>
  <c r="N3457" i="1"/>
  <c r="J3457" i="1"/>
  <c r="N3456" i="1"/>
  <c r="J3456" i="1"/>
  <c r="N3455" i="1"/>
  <c r="J3455" i="1"/>
  <c r="N3454" i="1"/>
  <c r="J3454" i="1"/>
  <c r="N3453" i="1"/>
  <c r="J3453" i="1"/>
  <c r="N3452" i="1"/>
  <c r="J3452" i="1"/>
  <c r="N3451" i="1"/>
  <c r="J3451" i="1"/>
  <c r="N3450" i="1"/>
  <c r="J3450" i="1"/>
  <c r="N3449" i="1"/>
  <c r="J3449" i="1"/>
  <c r="N3448" i="1"/>
  <c r="J3448" i="1"/>
  <c r="N3447" i="1"/>
  <c r="J3447" i="1"/>
  <c r="N3446" i="1"/>
  <c r="J3446" i="1"/>
  <c r="N3445" i="1"/>
  <c r="J3445" i="1"/>
  <c r="N3444" i="1"/>
  <c r="J3444" i="1"/>
  <c r="N3443" i="1"/>
  <c r="J3443" i="1"/>
  <c r="N3442" i="1"/>
  <c r="J3442" i="1"/>
  <c r="N3441" i="1"/>
  <c r="J3441" i="1"/>
  <c r="N3440" i="1"/>
  <c r="J3440" i="1"/>
  <c r="N3439" i="1"/>
  <c r="J3439" i="1"/>
  <c r="N3438" i="1"/>
  <c r="J3438" i="1"/>
  <c r="N3437" i="1"/>
  <c r="J3437" i="1"/>
  <c r="N3436" i="1"/>
  <c r="J3436" i="1"/>
  <c r="N3435" i="1"/>
  <c r="J3435" i="1"/>
  <c r="N3434" i="1"/>
  <c r="J3434" i="1"/>
  <c r="N3433" i="1"/>
  <c r="J3433" i="1"/>
  <c r="N3432" i="1"/>
  <c r="J3432" i="1"/>
  <c r="N3431" i="1"/>
  <c r="J3431" i="1"/>
  <c r="N3430" i="1"/>
  <c r="J3430" i="1"/>
  <c r="N3429" i="1"/>
  <c r="J3429" i="1"/>
  <c r="N3428" i="1"/>
  <c r="J3428" i="1"/>
  <c r="N3427" i="1"/>
  <c r="J3427" i="1"/>
  <c r="N3426" i="1"/>
  <c r="J3426" i="1"/>
  <c r="N3425" i="1"/>
  <c r="J3425" i="1"/>
  <c r="N3424" i="1"/>
  <c r="J3424" i="1"/>
  <c r="N3423" i="1"/>
  <c r="J3423" i="1"/>
  <c r="N3422" i="1"/>
  <c r="J3422" i="1"/>
  <c r="N3421" i="1"/>
  <c r="J3421" i="1"/>
  <c r="N3420" i="1"/>
  <c r="J3420" i="1"/>
  <c r="N3419" i="1"/>
  <c r="J3419" i="1"/>
  <c r="N3418" i="1"/>
  <c r="J3418" i="1"/>
  <c r="N3417" i="1"/>
  <c r="J3417" i="1"/>
  <c r="N3416" i="1"/>
  <c r="J3416" i="1"/>
  <c r="N3415" i="1"/>
  <c r="J3415" i="1"/>
  <c r="N3414" i="1"/>
  <c r="J3414" i="1"/>
  <c r="N3413" i="1"/>
  <c r="J3413" i="1"/>
  <c r="N3412" i="1"/>
  <c r="J3412" i="1"/>
  <c r="N3411" i="1"/>
  <c r="J3411" i="1"/>
  <c r="N3410" i="1"/>
  <c r="J3410" i="1"/>
  <c r="N3409" i="1"/>
  <c r="J3409" i="1"/>
  <c r="N3408" i="1"/>
  <c r="J3408" i="1"/>
  <c r="N3407" i="1"/>
  <c r="J3407" i="1"/>
  <c r="N3406" i="1"/>
  <c r="J3406" i="1"/>
  <c r="N3405" i="1"/>
  <c r="J3405" i="1"/>
  <c r="N3404" i="1"/>
  <c r="J3404" i="1"/>
  <c r="N3403" i="1"/>
  <c r="J3403" i="1"/>
  <c r="N3402" i="1"/>
  <c r="J3402" i="1"/>
  <c r="N3401" i="1"/>
  <c r="J3401" i="1"/>
  <c r="N3400" i="1"/>
  <c r="J3400" i="1"/>
  <c r="N3399" i="1"/>
  <c r="J3399" i="1"/>
  <c r="N3398" i="1"/>
  <c r="J3398" i="1"/>
  <c r="N3397" i="1"/>
  <c r="J3397" i="1"/>
  <c r="N3396" i="1"/>
  <c r="J3396" i="1"/>
  <c r="N3395" i="1"/>
  <c r="J3395" i="1"/>
  <c r="N3394" i="1"/>
  <c r="J3394" i="1"/>
  <c r="N3393" i="1"/>
  <c r="J3393" i="1"/>
  <c r="N3392" i="1"/>
  <c r="J3392" i="1"/>
  <c r="N3391" i="1"/>
  <c r="J3391" i="1"/>
  <c r="N3390" i="1"/>
  <c r="J3390" i="1"/>
  <c r="N3389" i="1"/>
  <c r="J3389" i="1"/>
  <c r="N3388" i="1"/>
  <c r="J3388" i="1"/>
  <c r="N3387" i="1"/>
  <c r="J3387" i="1"/>
  <c r="N3386" i="1"/>
  <c r="J3386" i="1"/>
  <c r="N3385" i="1"/>
  <c r="J3385" i="1"/>
  <c r="N3384" i="1"/>
  <c r="J3384" i="1"/>
  <c r="N3383" i="1"/>
  <c r="J3383" i="1"/>
  <c r="N3382" i="1"/>
  <c r="J3382" i="1"/>
  <c r="N3381" i="1"/>
  <c r="J3381" i="1"/>
  <c r="N3380" i="1"/>
  <c r="J3380" i="1"/>
  <c r="N3379" i="1"/>
  <c r="J3379" i="1"/>
  <c r="N3378" i="1"/>
  <c r="J3378" i="1"/>
  <c r="N3377" i="1"/>
  <c r="J3377" i="1"/>
  <c r="N3376" i="1"/>
  <c r="J3376" i="1"/>
  <c r="N3375" i="1"/>
  <c r="J3375" i="1"/>
  <c r="N3374" i="1"/>
  <c r="J3374" i="1"/>
  <c r="N3373" i="1"/>
  <c r="J3373" i="1"/>
  <c r="N3372" i="1"/>
  <c r="J3372" i="1"/>
  <c r="N3371" i="1"/>
  <c r="J3371" i="1"/>
  <c r="N3370" i="1"/>
  <c r="J3370" i="1"/>
  <c r="N3369" i="1"/>
  <c r="J3369" i="1"/>
  <c r="N3368" i="1"/>
  <c r="J3368" i="1"/>
  <c r="N3367" i="1"/>
  <c r="J3367" i="1"/>
  <c r="N3366" i="1"/>
  <c r="J3366" i="1"/>
  <c r="N3365" i="1"/>
  <c r="J3365" i="1"/>
  <c r="N3364" i="1"/>
  <c r="J3364" i="1"/>
  <c r="N3363" i="1"/>
  <c r="J3363" i="1"/>
  <c r="N3362" i="1"/>
  <c r="J3362" i="1"/>
  <c r="N3361" i="1"/>
  <c r="J3361" i="1"/>
  <c r="N3360" i="1"/>
  <c r="J3360" i="1"/>
  <c r="N3359" i="1"/>
  <c r="J3359" i="1"/>
  <c r="N3358" i="1"/>
  <c r="J3358" i="1"/>
  <c r="N3357" i="1"/>
  <c r="J3357" i="1"/>
  <c r="N3356" i="1"/>
  <c r="J3356" i="1"/>
  <c r="N3355" i="1"/>
  <c r="J3355" i="1"/>
  <c r="N3354" i="1"/>
  <c r="J3354" i="1"/>
  <c r="N3353" i="1"/>
  <c r="J3353" i="1"/>
  <c r="N3352" i="1"/>
  <c r="J3352" i="1"/>
  <c r="N3351" i="1"/>
  <c r="J3351" i="1"/>
  <c r="N3350" i="1"/>
  <c r="J3350" i="1"/>
  <c r="N3349" i="1"/>
  <c r="J3349" i="1"/>
  <c r="N3348" i="1"/>
  <c r="J3348" i="1"/>
  <c r="N3347" i="1"/>
  <c r="J3347" i="1"/>
  <c r="N3346" i="1"/>
  <c r="J3346" i="1"/>
  <c r="N3345" i="1"/>
  <c r="J3345" i="1"/>
  <c r="N3344" i="1"/>
  <c r="J3344" i="1"/>
  <c r="N3343" i="1"/>
  <c r="J3343" i="1"/>
  <c r="N3342" i="1"/>
  <c r="J3342" i="1"/>
  <c r="N3341" i="1"/>
  <c r="J3341" i="1"/>
  <c r="N3340" i="1"/>
  <c r="J3340" i="1"/>
  <c r="N3339" i="1"/>
  <c r="J3339" i="1"/>
  <c r="N3338" i="1"/>
  <c r="J3338" i="1"/>
  <c r="N3337" i="1"/>
  <c r="J3337" i="1"/>
  <c r="N3336" i="1"/>
  <c r="J3336" i="1"/>
  <c r="N3335" i="1"/>
  <c r="J3335" i="1"/>
  <c r="N3334" i="1"/>
  <c r="J3334" i="1"/>
  <c r="N3333" i="1"/>
  <c r="J3333" i="1"/>
  <c r="N3332" i="1"/>
  <c r="J3332" i="1"/>
  <c r="N3331" i="1"/>
  <c r="J3331" i="1"/>
  <c r="N3330" i="1"/>
  <c r="J3330" i="1"/>
  <c r="N3329" i="1"/>
  <c r="J3329" i="1"/>
  <c r="N3328" i="1"/>
  <c r="J3328" i="1"/>
  <c r="N3327" i="1"/>
  <c r="J3327" i="1"/>
  <c r="N3326" i="1"/>
  <c r="J3326" i="1"/>
  <c r="N3325" i="1"/>
  <c r="J3325" i="1"/>
  <c r="N3324" i="1"/>
  <c r="J3324" i="1"/>
  <c r="N3323" i="1"/>
  <c r="J3323" i="1"/>
  <c r="N3322" i="1"/>
  <c r="J3322" i="1"/>
  <c r="N3321" i="1"/>
  <c r="J3321" i="1"/>
  <c r="N3320" i="1"/>
  <c r="J3320" i="1"/>
  <c r="N3319" i="1"/>
  <c r="J3319" i="1"/>
  <c r="N3318" i="1"/>
  <c r="J3318" i="1"/>
  <c r="N3317" i="1"/>
  <c r="J3317" i="1"/>
  <c r="N3316" i="1"/>
  <c r="J3316" i="1"/>
  <c r="N3315" i="1"/>
  <c r="J3315" i="1"/>
  <c r="N3314" i="1"/>
  <c r="J3314" i="1"/>
  <c r="N3313" i="1"/>
  <c r="J3313" i="1"/>
  <c r="N3312" i="1"/>
  <c r="J3312" i="1"/>
  <c r="N3311" i="1"/>
  <c r="J3311" i="1"/>
  <c r="N3310" i="1"/>
  <c r="J3310" i="1"/>
  <c r="N3309" i="1"/>
  <c r="J3309" i="1"/>
  <c r="N3308" i="1"/>
  <c r="J3308" i="1"/>
  <c r="N3307" i="1"/>
  <c r="J3307" i="1"/>
  <c r="N3306" i="1"/>
  <c r="J3306" i="1"/>
  <c r="N3305" i="1"/>
  <c r="J3305" i="1"/>
  <c r="N3304" i="1"/>
  <c r="J3304" i="1"/>
  <c r="N3303" i="1"/>
  <c r="J3303" i="1"/>
  <c r="N3302" i="1"/>
  <c r="J3302" i="1"/>
  <c r="N3301" i="1"/>
  <c r="J3301" i="1"/>
  <c r="N3300" i="1"/>
  <c r="J3300" i="1"/>
  <c r="N3299" i="1"/>
  <c r="J3299" i="1"/>
  <c r="N3298" i="1"/>
  <c r="J3298" i="1"/>
  <c r="N3297" i="1"/>
  <c r="J3297" i="1"/>
  <c r="N3296" i="1"/>
  <c r="J3296" i="1"/>
  <c r="N3295" i="1"/>
  <c r="J3295" i="1"/>
  <c r="N3294" i="1"/>
  <c r="J3294" i="1"/>
  <c r="N3293" i="1"/>
  <c r="J3293" i="1"/>
  <c r="N3292" i="1"/>
  <c r="J3292" i="1"/>
  <c r="N3291" i="1"/>
  <c r="J3291" i="1"/>
  <c r="N3290" i="1"/>
  <c r="J3290" i="1"/>
  <c r="N3289" i="1"/>
  <c r="J3289" i="1"/>
  <c r="N3288" i="1"/>
  <c r="J3288" i="1"/>
  <c r="N3287" i="1"/>
  <c r="J3287" i="1"/>
  <c r="N3286" i="1"/>
  <c r="J3286" i="1"/>
  <c r="N3285" i="1"/>
  <c r="J3285" i="1"/>
  <c r="N3284" i="1"/>
  <c r="J3284" i="1"/>
  <c r="N3283" i="1"/>
  <c r="J3283" i="1"/>
  <c r="N3282" i="1"/>
  <c r="J3282" i="1"/>
  <c r="N3281" i="1"/>
  <c r="J3281" i="1"/>
  <c r="N3280" i="1"/>
  <c r="J3280" i="1"/>
  <c r="N3279" i="1"/>
  <c r="J3279" i="1"/>
  <c r="N3278" i="1"/>
  <c r="J3278" i="1"/>
  <c r="N3277" i="1"/>
  <c r="J3277" i="1"/>
  <c r="N3276" i="1"/>
  <c r="J3276" i="1"/>
  <c r="N3275" i="1"/>
  <c r="J3275" i="1"/>
  <c r="N3274" i="1"/>
  <c r="J3274" i="1"/>
  <c r="N3273" i="1"/>
  <c r="J3273" i="1"/>
  <c r="N3272" i="1"/>
  <c r="J3272" i="1"/>
  <c r="N3271" i="1"/>
  <c r="J3271" i="1"/>
  <c r="N3270" i="1"/>
  <c r="J3270" i="1"/>
  <c r="N3269" i="1"/>
  <c r="J3269" i="1"/>
  <c r="N3268" i="1"/>
  <c r="J3268" i="1"/>
  <c r="N3267" i="1"/>
  <c r="J3267" i="1"/>
  <c r="N3266" i="1"/>
  <c r="J3266" i="1"/>
  <c r="N3265" i="1"/>
  <c r="J3265" i="1"/>
  <c r="N3264" i="1"/>
  <c r="J3264" i="1"/>
  <c r="N3263" i="1"/>
  <c r="J3263" i="1"/>
  <c r="N3262" i="1"/>
  <c r="J3262" i="1"/>
  <c r="N3261" i="1"/>
  <c r="J3261" i="1"/>
  <c r="N3260" i="1"/>
  <c r="J3260" i="1"/>
  <c r="N3259" i="1"/>
  <c r="J3259" i="1"/>
  <c r="N3258" i="1"/>
  <c r="J3258" i="1"/>
  <c r="N3257" i="1"/>
  <c r="J3257" i="1"/>
  <c r="N3256" i="1"/>
  <c r="J3256" i="1"/>
  <c r="N3255" i="1"/>
  <c r="J3255" i="1"/>
  <c r="N3254" i="1"/>
  <c r="J3254" i="1"/>
  <c r="N3253" i="1"/>
  <c r="J3253" i="1"/>
  <c r="N3252" i="1"/>
  <c r="J3252" i="1"/>
  <c r="N3251" i="1"/>
  <c r="J3251" i="1"/>
  <c r="N3250" i="1"/>
  <c r="J3250" i="1"/>
  <c r="N3249" i="1"/>
  <c r="J3249" i="1"/>
  <c r="N3248" i="1"/>
  <c r="J3248" i="1"/>
  <c r="N3247" i="1"/>
  <c r="J3247" i="1"/>
  <c r="N3246" i="1"/>
  <c r="J3246" i="1"/>
  <c r="N3245" i="1"/>
  <c r="J3245" i="1"/>
  <c r="N3244" i="1"/>
  <c r="J3244" i="1"/>
  <c r="N3243" i="1"/>
  <c r="J3243" i="1"/>
  <c r="N3242" i="1"/>
  <c r="J3242" i="1"/>
  <c r="N3241" i="1"/>
  <c r="J3241" i="1"/>
  <c r="N3240" i="1"/>
  <c r="J3240" i="1"/>
  <c r="N3239" i="1"/>
  <c r="J3239" i="1"/>
  <c r="N3238" i="1"/>
  <c r="J3238" i="1"/>
  <c r="N3237" i="1"/>
  <c r="J3237" i="1"/>
  <c r="N3236" i="1"/>
  <c r="J3236" i="1"/>
  <c r="N3235" i="1"/>
  <c r="J3235" i="1"/>
  <c r="N3234" i="1"/>
  <c r="J3234" i="1"/>
  <c r="N3233" i="1"/>
  <c r="J3233" i="1"/>
  <c r="N3232" i="1"/>
  <c r="J3232" i="1"/>
  <c r="N3231" i="1"/>
  <c r="J3231" i="1"/>
  <c r="N3230" i="1"/>
  <c r="J3230" i="1"/>
  <c r="N3229" i="1"/>
  <c r="J3229" i="1"/>
  <c r="N3228" i="1"/>
  <c r="J3228" i="1"/>
  <c r="N3227" i="1"/>
  <c r="J3227" i="1"/>
  <c r="N3226" i="1"/>
  <c r="J3226" i="1"/>
  <c r="N3225" i="1"/>
  <c r="J3225" i="1"/>
  <c r="N3224" i="1"/>
  <c r="J3224" i="1"/>
  <c r="N3223" i="1"/>
  <c r="J3223" i="1"/>
  <c r="N3222" i="1"/>
  <c r="J3222" i="1"/>
  <c r="N3221" i="1"/>
  <c r="J3221" i="1"/>
  <c r="N3220" i="1"/>
  <c r="J3220" i="1"/>
  <c r="N3219" i="1"/>
  <c r="J3219" i="1"/>
  <c r="N3218" i="1"/>
  <c r="J3218" i="1"/>
  <c r="N3217" i="1"/>
  <c r="J3217" i="1"/>
  <c r="N3216" i="1"/>
  <c r="J3216" i="1"/>
  <c r="N3215" i="1"/>
  <c r="J3215" i="1"/>
  <c r="N3214" i="1"/>
  <c r="J3214" i="1"/>
  <c r="N3213" i="1"/>
  <c r="J3213" i="1"/>
  <c r="N3212" i="1"/>
  <c r="J3212" i="1"/>
  <c r="N3211" i="1"/>
  <c r="J3211" i="1"/>
  <c r="N3210" i="1"/>
  <c r="J3210" i="1"/>
  <c r="N3209" i="1"/>
  <c r="J3209" i="1"/>
  <c r="N3208" i="1"/>
  <c r="J3208" i="1"/>
  <c r="N3207" i="1"/>
  <c r="J3207" i="1"/>
  <c r="N3206" i="1"/>
  <c r="J3206" i="1"/>
  <c r="N3205" i="1"/>
  <c r="J3205" i="1"/>
  <c r="N3204" i="1"/>
  <c r="J3204" i="1"/>
  <c r="N3203" i="1"/>
  <c r="J3203" i="1"/>
  <c r="N3202" i="1"/>
  <c r="J3202" i="1"/>
  <c r="N3201" i="1"/>
  <c r="J3201" i="1"/>
  <c r="N3200" i="1"/>
  <c r="J3200" i="1"/>
  <c r="N3199" i="1"/>
  <c r="J3199" i="1"/>
  <c r="N3198" i="1"/>
  <c r="J3198" i="1"/>
  <c r="N3197" i="1"/>
  <c r="J3197" i="1"/>
  <c r="N3196" i="1"/>
  <c r="J3196" i="1"/>
  <c r="N3195" i="1"/>
  <c r="J3195" i="1"/>
  <c r="N3194" i="1"/>
  <c r="J3194" i="1"/>
  <c r="N3193" i="1"/>
  <c r="J3193" i="1"/>
  <c r="N3192" i="1"/>
  <c r="J3192" i="1"/>
  <c r="N3191" i="1"/>
  <c r="J3191" i="1"/>
  <c r="N3190" i="1"/>
  <c r="J3190" i="1"/>
  <c r="N3189" i="1"/>
  <c r="J3189" i="1"/>
  <c r="N3188" i="1"/>
  <c r="J3188" i="1"/>
  <c r="N3187" i="1"/>
  <c r="J3187" i="1"/>
  <c r="N3186" i="1"/>
  <c r="J3186" i="1"/>
  <c r="N3185" i="1"/>
  <c r="J3185" i="1"/>
  <c r="N3184" i="1"/>
  <c r="J3184" i="1"/>
  <c r="N3183" i="1"/>
  <c r="J3183" i="1"/>
  <c r="N3182" i="1"/>
  <c r="J3182" i="1"/>
  <c r="N3181" i="1"/>
  <c r="J3181" i="1"/>
  <c r="N3180" i="1"/>
  <c r="J3180" i="1"/>
  <c r="N3179" i="1"/>
  <c r="J3179" i="1"/>
  <c r="N3178" i="1"/>
  <c r="J3178" i="1"/>
  <c r="N3177" i="1"/>
  <c r="J3177" i="1"/>
  <c r="N3176" i="1"/>
  <c r="J3176" i="1"/>
  <c r="N3175" i="1"/>
  <c r="J3175" i="1"/>
  <c r="N3174" i="1"/>
  <c r="J3174" i="1"/>
  <c r="N3173" i="1"/>
  <c r="J3173" i="1"/>
  <c r="N3172" i="1"/>
  <c r="J3172" i="1"/>
  <c r="N3171" i="1"/>
  <c r="J3171" i="1"/>
  <c r="N3170" i="1"/>
  <c r="J3170" i="1"/>
  <c r="N3169" i="1"/>
  <c r="J3169" i="1"/>
  <c r="N3168" i="1"/>
  <c r="J3168" i="1"/>
  <c r="N3167" i="1"/>
  <c r="J3167" i="1"/>
  <c r="N3166" i="1"/>
  <c r="J3166" i="1"/>
  <c r="N3165" i="1"/>
  <c r="J3165" i="1"/>
  <c r="N3164" i="1"/>
  <c r="J3164" i="1"/>
  <c r="N3163" i="1"/>
  <c r="J3163" i="1"/>
  <c r="N3162" i="1"/>
  <c r="J3162" i="1"/>
  <c r="N3161" i="1"/>
  <c r="J3161" i="1"/>
  <c r="N3160" i="1"/>
  <c r="J3160" i="1"/>
  <c r="N3159" i="1"/>
  <c r="J3159" i="1"/>
  <c r="N3158" i="1"/>
  <c r="J3158" i="1"/>
  <c r="N3157" i="1"/>
  <c r="J3157" i="1"/>
  <c r="N3156" i="1"/>
  <c r="J3156" i="1"/>
  <c r="N3155" i="1"/>
  <c r="J3155" i="1"/>
  <c r="N3154" i="1"/>
  <c r="J3154" i="1"/>
  <c r="N3153" i="1"/>
  <c r="J3153" i="1"/>
  <c r="N3152" i="1"/>
  <c r="J3152" i="1"/>
  <c r="N3151" i="1"/>
  <c r="J3151" i="1"/>
  <c r="N3150" i="1"/>
  <c r="J3150" i="1"/>
  <c r="N3149" i="1"/>
  <c r="J3149" i="1"/>
  <c r="N3148" i="1"/>
  <c r="J3148" i="1"/>
  <c r="N3147" i="1"/>
  <c r="J3147" i="1"/>
  <c r="N3146" i="1"/>
  <c r="J3146" i="1"/>
  <c r="N3145" i="1"/>
  <c r="J3145" i="1"/>
  <c r="N3144" i="1"/>
  <c r="J3144" i="1"/>
  <c r="N3143" i="1"/>
  <c r="J3143" i="1"/>
  <c r="N3142" i="1"/>
  <c r="J3142" i="1"/>
  <c r="N3141" i="1"/>
  <c r="J3141" i="1"/>
  <c r="N3140" i="1"/>
  <c r="J3140" i="1"/>
  <c r="N3139" i="1"/>
  <c r="J3139" i="1"/>
  <c r="N3138" i="1"/>
  <c r="J3138" i="1"/>
  <c r="N3137" i="1"/>
  <c r="J3137" i="1"/>
  <c r="N3136" i="1"/>
  <c r="J3136" i="1"/>
  <c r="N3135" i="1"/>
  <c r="J3135" i="1"/>
  <c r="N3134" i="1"/>
  <c r="J3134" i="1"/>
  <c r="N3133" i="1"/>
  <c r="J3133" i="1"/>
  <c r="N3132" i="1"/>
  <c r="J3132" i="1"/>
  <c r="N3131" i="1"/>
  <c r="J3131" i="1"/>
  <c r="N3130" i="1"/>
  <c r="J3130" i="1"/>
  <c r="N3129" i="1"/>
  <c r="J3129" i="1"/>
  <c r="N3128" i="1"/>
  <c r="J3128" i="1"/>
  <c r="N3127" i="1"/>
  <c r="J3127" i="1"/>
  <c r="N3126" i="1"/>
  <c r="J3126" i="1"/>
  <c r="N3125" i="1"/>
  <c r="J3125" i="1"/>
  <c r="N3124" i="1"/>
  <c r="J3124" i="1"/>
  <c r="N3123" i="1"/>
  <c r="J3123" i="1"/>
  <c r="N3122" i="1"/>
  <c r="J3122" i="1"/>
  <c r="N3121" i="1"/>
  <c r="J3121" i="1"/>
  <c r="N3120" i="1"/>
  <c r="J3120" i="1"/>
  <c r="N3119" i="1"/>
  <c r="J3119" i="1"/>
  <c r="N3118" i="1"/>
  <c r="J3118" i="1"/>
  <c r="N3117" i="1"/>
  <c r="J3117" i="1"/>
  <c r="N3116" i="1"/>
  <c r="J3116" i="1"/>
  <c r="N3115" i="1"/>
  <c r="J3115" i="1"/>
  <c r="N3114" i="1"/>
  <c r="J3114" i="1"/>
  <c r="N3113" i="1"/>
  <c r="J3113" i="1"/>
  <c r="N3112" i="1"/>
  <c r="J3112" i="1"/>
  <c r="N3111" i="1"/>
  <c r="J3111" i="1"/>
  <c r="N3110" i="1"/>
  <c r="J3110" i="1"/>
  <c r="N3109" i="1"/>
  <c r="J3109" i="1"/>
  <c r="N3108" i="1"/>
  <c r="J3108" i="1"/>
  <c r="N3107" i="1"/>
  <c r="J3107" i="1"/>
  <c r="N3106" i="1"/>
  <c r="J3106" i="1"/>
  <c r="N3105" i="1"/>
  <c r="J3105" i="1"/>
  <c r="N3104" i="1"/>
  <c r="J3104" i="1"/>
  <c r="N3103" i="1"/>
  <c r="J3103" i="1"/>
  <c r="N3102" i="1"/>
  <c r="J3102" i="1"/>
  <c r="N3101" i="1"/>
  <c r="J3101" i="1"/>
  <c r="N3100" i="1"/>
  <c r="J3100" i="1"/>
  <c r="N3099" i="1"/>
  <c r="J3099" i="1"/>
  <c r="N3098" i="1"/>
  <c r="J3098" i="1"/>
  <c r="N3097" i="1"/>
  <c r="J3097" i="1"/>
  <c r="N3096" i="1"/>
  <c r="J3096" i="1"/>
  <c r="N3095" i="1"/>
  <c r="J3095" i="1"/>
  <c r="N3094" i="1"/>
  <c r="J3094" i="1"/>
  <c r="N3093" i="1"/>
  <c r="J3093" i="1"/>
  <c r="N3092" i="1"/>
  <c r="J3092" i="1"/>
  <c r="N3091" i="1"/>
  <c r="J3091" i="1"/>
  <c r="N3090" i="1"/>
  <c r="J3090" i="1"/>
  <c r="N3089" i="1"/>
  <c r="J3089" i="1"/>
  <c r="N3088" i="1"/>
  <c r="J3088" i="1"/>
  <c r="N3087" i="1"/>
  <c r="J3087" i="1"/>
  <c r="N3086" i="1"/>
  <c r="J3086" i="1"/>
  <c r="N3085" i="1"/>
  <c r="J3085" i="1"/>
  <c r="N3084" i="1"/>
  <c r="J3084" i="1"/>
  <c r="N3083" i="1"/>
  <c r="J3083" i="1"/>
  <c r="N3082" i="1"/>
  <c r="J3082" i="1"/>
  <c r="N3081" i="1"/>
  <c r="J3081" i="1"/>
  <c r="N3080" i="1"/>
  <c r="J3080" i="1"/>
  <c r="N3079" i="1"/>
  <c r="J3079" i="1"/>
  <c r="N3078" i="1"/>
  <c r="J3078" i="1"/>
  <c r="N3077" i="1"/>
  <c r="J3077" i="1"/>
  <c r="N3076" i="1"/>
  <c r="J3076" i="1"/>
  <c r="N3075" i="1"/>
  <c r="J3075" i="1"/>
  <c r="N3074" i="1"/>
  <c r="J3074" i="1"/>
  <c r="N3073" i="1"/>
  <c r="J3073" i="1"/>
  <c r="N3072" i="1"/>
  <c r="J3072" i="1"/>
  <c r="N3071" i="1"/>
  <c r="J3071" i="1"/>
  <c r="N3070" i="1"/>
  <c r="J3070" i="1"/>
  <c r="N3069" i="1"/>
  <c r="J3069" i="1"/>
  <c r="N3068" i="1"/>
  <c r="J3068" i="1"/>
  <c r="N3067" i="1"/>
  <c r="J3067" i="1"/>
  <c r="N3066" i="1"/>
  <c r="J3066" i="1"/>
  <c r="N3065" i="1"/>
  <c r="J3065" i="1"/>
  <c r="N3064" i="1"/>
  <c r="J3064" i="1"/>
  <c r="N3063" i="1"/>
  <c r="J3063" i="1"/>
  <c r="N3062" i="1"/>
  <c r="J3062" i="1"/>
  <c r="N3061" i="1"/>
  <c r="J3061" i="1"/>
  <c r="N3060" i="1"/>
  <c r="J3060" i="1"/>
  <c r="N3059" i="1"/>
  <c r="J3059" i="1"/>
  <c r="N3058" i="1"/>
  <c r="J3058" i="1"/>
  <c r="N3057" i="1"/>
  <c r="J3057" i="1"/>
  <c r="N3056" i="1"/>
  <c r="J3056" i="1"/>
  <c r="N3055" i="1"/>
  <c r="J3055" i="1"/>
  <c r="N3054" i="1"/>
  <c r="J3054" i="1"/>
  <c r="N3053" i="1"/>
  <c r="J3053" i="1"/>
  <c r="N3052" i="1"/>
  <c r="J3052" i="1"/>
  <c r="N3051" i="1"/>
  <c r="J3051" i="1"/>
  <c r="N3050" i="1"/>
  <c r="J3050" i="1"/>
  <c r="N3049" i="1"/>
  <c r="J3049" i="1"/>
  <c r="N3048" i="1"/>
  <c r="J3048" i="1"/>
  <c r="N3047" i="1"/>
  <c r="J3047" i="1"/>
  <c r="N3046" i="1"/>
  <c r="J3046" i="1"/>
  <c r="N3045" i="1"/>
  <c r="J3045" i="1"/>
  <c r="N3044" i="1"/>
  <c r="J3044" i="1"/>
  <c r="N3043" i="1"/>
  <c r="J3043" i="1"/>
  <c r="N3042" i="1"/>
  <c r="J3042" i="1"/>
  <c r="N3041" i="1"/>
  <c r="J3041" i="1"/>
  <c r="N3040" i="1"/>
  <c r="J3040" i="1"/>
  <c r="N3039" i="1"/>
  <c r="J3039" i="1"/>
  <c r="N3038" i="1"/>
  <c r="J3038" i="1"/>
  <c r="N3037" i="1"/>
  <c r="J3037" i="1"/>
  <c r="N3036" i="1"/>
  <c r="J3036" i="1"/>
  <c r="N3035" i="1"/>
  <c r="J3035" i="1"/>
  <c r="N3034" i="1"/>
  <c r="J3034" i="1"/>
  <c r="N3033" i="1"/>
  <c r="J3033" i="1"/>
  <c r="N3032" i="1"/>
  <c r="J3032" i="1"/>
  <c r="N3031" i="1"/>
  <c r="J3031" i="1"/>
  <c r="N3030" i="1"/>
  <c r="J3030" i="1"/>
  <c r="N3029" i="1"/>
  <c r="J3029" i="1"/>
  <c r="N3028" i="1"/>
  <c r="J3028" i="1"/>
  <c r="N3027" i="1"/>
  <c r="J3027" i="1"/>
  <c r="N3026" i="1"/>
  <c r="J3026" i="1"/>
  <c r="N3025" i="1"/>
  <c r="J3025" i="1"/>
  <c r="N3024" i="1"/>
  <c r="J3024" i="1"/>
  <c r="N3023" i="1"/>
  <c r="J3023" i="1"/>
  <c r="N3022" i="1"/>
  <c r="J3022" i="1"/>
  <c r="N3021" i="1"/>
  <c r="J3021" i="1"/>
  <c r="N3020" i="1"/>
  <c r="J3020" i="1"/>
  <c r="N3019" i="1"/>
  <c r="J3019" i="1"/>
  <c r="N3018" i="1"/>
  <c r="J3018" i="1"/>
  <c r="N3017" i="1"/>
  <c r="J3017" i="1"/>
  <c r="N3016" i="1"/>
  <c r="J3016" i="1"/>
  <c r="N3015" i="1"/>
  <c r="J3015" i="1"/>
  <c r="N3014" i="1"/>
  <c r="J3014" i="1"/>
  <c r="N3013" i="1"/>
  <c r="J3013" i="1"/>
  <c r="N3012" i="1"/>
  <c r="J3012" i="1"/>
  <c r="N3011" i="1"/>
  <c r="J3011" i="1"/>
  <c r="N3010" i="1"/>
  <c r="J3010" i="1"/>
  <c r="N3009" i="1"/>
  <c r="J3009" i="1"/>
  <c r="N3008" i="1"/>
  <c r="J3008" i="1"/>
  <c r="N3007" i="1"/>
  <c r="J3007" i="1"/>
  <c r="N3006" i="1"/>
  <c r="J3006" i="1"/>
  <c r="N3005" i="1"/>
  <c r="J3005" i="1"/>
  <c r="N3004" i="1"/>
  <c r="J3004" i="1"/>
  <c r="N3003" i="1"/>
  <c r="J3003" i="1"/>
  <c r="N3002" i="1"/>
  <c r="J3002" i="1"/>
  <c r="N3001" i="1"/>
  <c r="J3001" i="1"/>
  <c r="N3000" i="1"/>
  <c r="J3000" i="1"/>
  <c r="N2999" i="1"/>
  <c r="J2999" i="1"/>
  <c r="N2998" i="1"/>
  <c r="J2998" i="1"/>
  <c r="N2997" i="1"/>
  <c r="J2997" i="1"/>
  <c r="N2996" i="1"/>
  <c r="J2996" i="1"/>
  <c r="N2995" i="1"/>
  <c r="J2995" i="1"/>
  <c r="N2994" i="1"/>
  <c r="J2994" i="1"/>
  <c r="N2993" i="1"/>
  <c r="J2993" i="1"/>
  <c r="N2992" i="1"/>
  <c r="J2992" i="1"/>
  <c r="N2991" i="1"/>
  <c r="J2991" i="1"/>
  <c r="N2990" i="1"/>
  <c r="J2990" i="1"/>
  <c r="N2989" i="1"/>
  <c r="J2989" i="1"/>
  <c r="N2988" i="1"/>
  <c r="J2988" i="1"/>
  <c r="N2987" i="1"/>
  <c r="J2987" i="1"/>
  <c r="N2986" i="1"/>
  <c r="J2986" i="1"/>
  <c r="N2985" i="1"/>
  <c r="J2985" i="1"/>
  <c r="N2984" i="1"/>
  <c r="J2984" i="1"/>
  <c r="N2983" i="1"/>
  <c r="J2983" i="1"/>
  <c r="N2982" i="1"/>
  <c r="J2982" i="1"/>
  <c r="N2981" i="1"/>
  <c r="J2981" i="1"/>
  <c r="N2980" i="1"/>
  <c r="J2980" i="1"/>
  <c r="N2979" i="1"/>
  <c r="J2979" i="1"/>
  <c r="N2978" i="1"/>
  <c r="J2978" i="1"/>
  <c r="N2977" i="1"/>
  <c r="J2977" i="1"/>
  <c r="N2976" i="1"/>
  <c r="J2976" i="1"/>
  <c r="N2975" i="1"/>
  <c r="J2975" i="1"/>
  <c r="N2974" i="1"/>
  <c r="J2974" i="1"/>
  <c r="N2973" i="1"/>
  <c r="J2973" i="1"/>
  <c r="N2972" i="1"/>
  <c r="J2972" i="1"/>
  <c r="N2971" i="1"/>
  <c r="J2971" i="1"/>
  <c r="N2970" i="1"/>
  <c r="J2970" i="1"/>
  <c r="N2969" i="1"/>
  <c r="J2969" i="1"/>
  <c r="N2968" i="1"/>
  <c r="J2968" i="1"/>
  <c r="N2967" i="1"/>
  <c r="J2967" i="1"/>
  <c r="N2966" i="1"/>
  <c r="J2966" i="1"/>
  <c r="N2965" i="1"/>
  <c r="J2965" i="1"/>
  <c r="N2964" i="1"/>
  <c r="J2964" i="1"/>
  <c r="N2963" i="1"/>
  <c r="J2963" i="1"/>
  <c r="N2962" i="1"/>
  <c r="J2962" i="1"/>
  <c r="N2961" i="1"/>
  <c r="J2961" i="1"/>
  <c r="N2960" i="1"/>
  <c r="J2960" i="1"/>
  <c r="N2959" i="1"/>
  <c r="J2959" i="1"/>
  <c r="N2958" i="1"/>
  <c r="J2958" i="1"/>
  <c r="N2957" i="1"/>
  <c r="J2957" i="1"/>
  <c r="N2956" i="1"/>
  <c r="J2956" i="1"/>
  <c r="N2955" i="1"/>
  <c r="J2955" i="1"/>
  <c r="N2954" i="1"/>
  <c r="J2954" i="1"/>
  <c r="N2953" i="1"/>
  <c r="J2953" i="1"/>
  <c r="N2952" i="1"/>
  <c r="J2952" i="1"/>
  <c r="N2951" i="1"/>
  <c r="J2951" i="1"/>
  <c r="N2950" i="1"/>
  <c r="J2950" i="1"/>
  <c r="N2949" i="1"/>
  <c r="J2949" i="1"/>
  <c r="N2948" i="1"/>
  <c r="J2948" i="1"/>
  <c r="N2947" i="1"/>
  <c r="J2947" i="1"/>
  <c r="N2946" i="1"/>
  <c r="J2946" i="1"/>
  <c r="N2945" i="1"/>
  <c r="J2945" i="1"/>
  <c r="N2944" i="1"/>
  <c r="J2944" i="1"/>
  <c r="N2943" i="1"/>
  <c r="J2943" i="1"/>
  <c r="N2942" i="1"/>
  <c r="J2942" i="1"/>
  <c r="N2941" i="1"/>
  <c r="J2941" i="1"/>
  <c r="N2940" i="1"/>
  <c r="J2940" i="1"/>
  <c r="N2939" i="1"/>
  <c r="J2939" i="1"/>
  <c r="N2938" i="1"/>
  <c r="J2938" i="1"/>
  <c r="N2937" i="1"/>
  <c r="J2937" i="1"/>
  <c r="N2936" i="1"/>
  <c r="J2936" i="1"/>
  <c r="N2935" i="1"/>
  <c r="J2935" i="1"/>
  <c r="N2934" i="1"/>
  <c r="J2934" i="1"/>
  <c r="N2933" i="1"/>
  <c r="J2933" i="1"/>
  <c r="N2932" i="1"/>
  <c r="J2932" i="1"/>
  <c r="N2931" i="1"/>
  <c r="J2931" i="1"/>
  <c r="N2930" i="1"/>
  <c r="J2930" i="1"/>
  <c r="N2929" i="1"/>
  <c r="J2929" i="1"/>
  <c r="N2928" i="1"/>
  <c r="J2928" i="1"/>
  <c r="N2927" i="1"/>
  <c r="J2927" i="1"/>
  <c r="N2926" i="1"/>
  <c r="J2926" i="1"/>
  <c r="N2925" i="1"/>
  <c r="J2925" i="1"/>
  <c r="N2924" i="1"/>
  <c r="J2924" i="1"/>
  <c r="N2923" i="1"/>
  <c r="J2923" i="1"/>
  <c r="N2922" i="1"/>
  <c r="J2922" i="1"/>
  <c r="N2921" i="1"/>
  <c r="J2921" i="1"/>
  <c r="N2920" i="1"/>
  <c r="J2920" i="1"/>
  <c r="N2919" i="1"/>
  <c r="J2919" i="1"/>
  <c r="N2918" i="1"/>
  <c r="J2918" i="1"/>
  <c r="N2917" i="1"/>
  <c r="J2917" i="1"/>
  <c r="N2916" i="1"/>
  <c r="J2916" i="1"/>
  <c r="N2915" i="1"/>
  <c r="J2915" i="1"/>
  <c r="N2914" i="1"/>
  <c r="J2914" i="1"/>
  <c r="N2913" i="1"/>
  <c r="J2913" i="1"/>
  <c r="N2912" i="1"/>
  <c r="J2912" i="1"/>
  <c r="N2911" i="1"/>
  <c r="J2911" i="1"/>
  <c r="N2910" i="1"/>
  <c r="J2910" i="1"/>
  <c r="N2909" i="1"/>
  <c r="J2909" i="1"/>
  <c r="N2908" i="1"/>
  <c r="J2908" i="1"/>
  <c r="N2907" i="1"/>
  <c r="J2907" i="1"/>
  <c r="N2906" i="1"/>
  <c r="J2906" i="1"/>
  <c r="N2905" i="1"/>
  <c r="J2905" i="1"/>
  <c r="N2904" i="1"/>
  <c r="J2904" i="1"/>
  <c r="N2903" i="1"/>
  <c r="J2903" i="1"/>
  <c r="N2902" i="1"/>
  <c r="J2902" i="1"/>
  <c r="N2901" i="1"/>
  <c r="J2901" i="1"/>
  <c r="N2900" i="1"/>
  <c r="J2900" i="1"/>
  <c r="N2899" i="1"/>
  <c r="J2899" i="1"/>
  <c r="N2898" i="1"/>
  <c r="J2898" i="1"/>
  <c r="N2897" i="1"/>
  <c r="J2897" i="1"/>
  <c r="N2896" i="1"/>
  <c r="J2896" i="1"/>
  <c r="N2895" i="1"/>
  <c r="J2895" i="1"/>
  <c r="N2894" i="1"/>
  <c r="J2894" i="1"/>
  <c r="N2893" i="1"/>
  <c r="J2893" i="1"/>
  <c r="N2892" i="1"/>
  <c r="J2892" i="1"/>
  <c r="N2891" i="1"/>
  <c r="J2891" i="1"/>
  <c r="N2890" i="1"/>
  <c r="J2890" i="1"/>
  <c r="N2889" i="1"/>
  <c r="J2889" i="1"/>
  <c r="N2888" i="1"/>
  <c r="J2888" i="1"/>
  <c r="N2887" i="1"/>
  <c r="J2887" i="1"/>
  <c r="N2886" i="1"/>
  <c r="J2886" i="1"/>
  <c r="N2885" i="1"/>
  <c r="J2885" i="1"/>
  <c r="N2884" i="1"/>
  <c r="J2884" i="1"/>
  <c r="N2883" i="1"/>
  <c r="J2883" i="1"/>
  <c r="N2882" i="1"/>
  <c r="J2882" i="1"/>
  <c r="N2881" i="1"/>
  <c r="J2881" i="1"/>
  <c r="N2880" i="1"/>
  <c r="J2880" i="1"/>
  <c r="N2879" i="1"/>
  <c r="J2879" i="1"/>
  <c r="N2878" i="1"/>
  <c r="J2878" i="1"/>
  <c r="N2877" i="1"/>
  <c r="J2877" i="1"/>
  <c r="N2876" i="1"/>
  <c r="J2876" i="1"/>
  <c r="N2875" i="1"/>
  <c r="J2875" i="1"/>
  <c r="N2874" i="1"/>
  <c r="J2874" i="1"/>
  <c r="N2873" i="1"/>
  <c r="J2873" i="1"/>
  <c r="N2872" i="1"/>
  <c r="J2872" i="1"/>
  <c r="N2871" i="1"/>
  <c r="J2871" i="1"/>
  <c r="N2870" i="1"/>
  <c r="J2870" i="1"/>
  <c r="N2869" i="1"/>
  <c r="J2869" i="1"/>
  <c r="N2868" i="1"/>
  <c r="J2868" i="1"/>
  <c r="N2867" i="1"/>
  <c r="J2867" i="1"/>
  <c r="N2866" i="1"/>
  <c r="J2866" i="1"/>
  <c r="N2865" i="1"/>
  <c r="J2865" i="1"/>
  <c r="N2864" i="1"/>
  <c r="J2864" i="1"/>
  <c r="N2863" i="1"/>
  <c r="J2863" i="1"/>
  <c r="N2862" i="1"/>
  <c r="J2862" i="1"/>
  <c r="N2861" i="1"/>
  <c r="J2861" i="1"/>
  <c r="N2860" i="1"/>
  <c r="J2860" i="1"/>
  <c r="N2859" i="1"/>
  <c r="J2859" i="1"/>
  <c r="N2858" i="1"/>
  <c r="J2858" i="1"/>
  <c r="N2857" i="1"/>
  <c r="J2857" i="1"/>
  <c r="N2856" i="1"/>
  <c r="J2856" i="1"/>
  <c r="N2855" i="1"/>
  <c r="J2855" i="1"/>
  <c r="N2854" i="1"/>
  <c r="J2854" i="1"/>
  <c r="N2853" i="1"/>
  <c r="J2853" i="1"/>
  <c r="N2852" i="1"/>
  <c r="J2852" i="1"/>
  <c r="N2851" i="1"/>
  <c r="J2851" i="1"/>
  <c r="N2850" i="1"/>
  <c r="J2850" i="1"/>
  <c r="N2849" i="1"/>
  <c r="J2849" i="1"/>
  <c r="N2848" i="1"/>
  <c r="J2848" i="1"/>
  <c r="N2847" i="1"/>
  <c r="J2847" i="1"/>
  <c r="N2846" i="1"/>
  <c r="J2846" i="1"/>
  <c r="N2845" i="1"/>
  <c r="J2845" i="1"/>
  <c r="N2844" i="1"/>
  <c r="J2844" i="1"/>
  <c r="N2843" i="1"/>
  <c r="J2843" i="1"/>
  <c r="N2842" i="1"/>
  <c r="J2842" i="1"/>
  <c r="N2841" i="1"/>
  <c r="J2841" i="1"/>
  <c r="N2840" i="1"/>
  <c r="J2840" i="1"/>
  <c r="N2839" i="1"/>
  <c r="J2839" i="1"/>
  <c r="N2838" i="1"/>
  <c r="J2838" i="1"/>
  <c r="N2837" i="1"/>
  <c r="J2837" i="1"/>
  <c r="N2836" i="1"/>
  <c r="J2836" i="1"/>
  <c r="N2835" i="1"/>
  <c r="J2835" i="1"/>
  <c r="N2834" i="1"/>
  <c r="J2834" i="1"/>
  <c r="N2833" i="1"/>
  <c r="J2833" i="1"/>
  <c r="N2832" i="1"/>
  <c r="J2832" i="1"/>
  <c r="N2831" i="1"/>
  <c r="J2831" i="1"/>
  <c r="N2830" i="1"/>
  <c r="J2830" i="1"/>
  <c r="N2829" i="1"/>
  <c r="J2829" i="1"/>
  <c r="N2828" i="1"/>
  <c r="J2828" i="1"/>
  <c r="N2827" i="1"/>
  <c r="J2827" i="1"/>
  <c r="N2826" i="1"/>
  <c r="J2826" i="1"/>
  <c r="N2825" i="1"/>
  <c r="J2825" i="1"/>
  <c r="N2824" i="1"/>
  <c r="J2824" i="1"/>
  <c r="N2823" i="1"/>
  <c r="J2823" i="1"/>
  <c r="N2822" i="1"/>
  <c r="J2822" i="1"/>
  <c r="N2821" i="1"/>
  <c r="J2821" i="1"/>
  <c r="N2820" i="1"/>
  <c r="J2820" i="1"/>
  <c r="N2819" i="1"/>
  <c r="J2819" i="1"/>
  <c r="N2818" i="1"/>
  <c r="J2818" i="1"/>
  <c r="N2817" i="1"/>
  <c r="J2817" i="1"/>
  <c r="N2816" i="1"/>
  <c r="J2816" i="1"/>
  <c r="N2815" i="1"/>
  <c r="J2815" i="1"/>
  <c r="N2814" i="1"/>
  <c r="J2814" i="1"/>
  <c r="N2813" i="1"/>
  <c r="J2813" i="1"/>
  <c r="N2812" i="1"/>
  <c r="J2812" i="1"/>
  <c r="N2811" i="1"/>
  <c r="J2811" i="1"/>
  <c r="N2810" i="1"/>
  <c r="J2810" i="1"/>
  <c r="N2809" i="1"/>
  <c r="J2809" i="1"/>
  <c r="N2808" i="1"/>
  <c r="J2808" i="1"/>
  <c r="N2807" i="1"/>
  <c r="J2807" i="1"/>
  <c r="N2806" i="1"/>
  <c r="J2806" i="1"/>
  <c r="N2805" i="1"/>
  <c r="J2805" i="1"/>
  <c r="N2804" i="1"/>
  <c r="J2804" i="1"/>
  <c r="N2803" i="1"/>
  <c r="J2803" i="1"/>
  <c r="N2802" i="1"/>
  <c r="J2802" i="1"/>
  <c r="N2801" i="1"/>
  <c r="J2801" i="1"/>
  <c r="N2800" i="1"/>
  <c r="J2800" i="1"/>
  <c r="N2799" i="1"/>
  <c r="J2799" i="1"/>
  <c r="N2798" i="1"/>
  <c r="J2798" i="1"/>
  <c r="N2797" i="1"/>
  <c r="J2797" i="1"/>
  <c r="N2796" i="1"/>
  <c r="J2796" i="1"/>
  <c r="N2795" i="1"/>
  <c r="J2795" i="1"/>
  <c r="N2794" i="1"/>
  <c r="J2794" i="1"/>
  <c r="N2793" i="1"/>
  <c r="J2793" i="1"/>
  <c r="N2792" i="1"/>
  <c r="J2792" i="1"/>
  <c r="N2791" i="1"/>
  <c r="J2791" i="1"/>
  <c r="N2790" i="1"/>
  <c r="J2790" i="1"/>
  <c r="N2789" i="1"/>
  <c r="J2789" i="1"/>
  <c r="N2788" i="1"/>
  <c r="J2788" i="1"/>
  <c r="N2787" i="1"/>
  <c r="J2787" i="1"/>
  <c r="N2786" i="1"/>
  <c r="J2786" i="1"/>
  <c r="N2785" i="1"/>
  <c r="J2785" i="1"/>
  <c r="N2784" i="1"/>
  <c r="J2784" i="1"/>
  <c r="N2783" i="1"/>
  <c r="J2783" i="1"/>
  <c r="N2782" i="1"/>
  <c r="J2782" i="1"/>
  <c r="N2781" i="1"/>
  <c r="J2781" i="1"/>
  <c r="N2780" i="1"/>
  <c r="J2780" i="1"/>
  <c r="N2779" i="1"/>
  <c r="J2779" i="1"/>
  <c r="N2778" i="1"/>
  <c r="J2778" i="1"/>
  <c r="N2777" i="1"/>
  <c r="J2777" i="1"/>
  <c r="N2776" i="1"/>
  <c r="J2776" i="1"/>
  <c r="N2775" i="1"/>
  <c r="J2775" i="1"/>
  <c r="N2774" i="1"/>
  <c r="J2774" i="1"/>
  <c r="N2773" i="1"/>
  <c r="J2773" i="1"/>
  <c r="N2772" i="1"/>
  <c r="J2772" i="1"/>
  <c r="N2771" i="1"/>
  <c r="J2771" i="1"/>
  <c r="N2770" i="1"/>
  <c r="J2770" i="1"/>
  <c r="N2769" i="1"/>
  <c r="J2769" i="1"/>
  <c r="N2768" i="1"/>
  <c r="J2768" i="1"/>
  <c r="N2767" i="1"/>
  <c r="J2767" i="1"/>
  <c r="N2766" i="1"/>
  <c r="J2766" i="1"/>
  <c r="N2765" i="1"/>
  <c r="J2765" i="1"/>
  <c r="N2764" i="1"/>
  <c r="J2764" i="1"/>
  <c r="N2763" i="1"/>
  <c r="J2763" i="1"/>
  <c r="N2762" i="1"/>
  <c r="J2762" i="1"/>
  <c r="N2761" i="1"/>
  <c r="J2761" i="1"/>
  <c r="N2760" i="1"/>
  <c r="J2760" i="1"/>
  <c r="N2759" i="1"/>
  <c r="J2759" i="1"/>
  <c r="N2758" i="1"/>
  <c r="J2758" i="1"/>
  <c r="N2757" i="1"/>
  <c r="J2757" i="1"/>
  <c r="N2756" i="1"/>
  <c r="J2756" i="1"/>
  <c r="N2755" i="1"/>
  <c r="J2755" i="1"/>
  <c r="N2754" i="1"/>
  <c r="J2754" i="1"/>
  <c r="N2753" i="1"/>
  <c r="J2753" i="1"/>
  <c r="N2752" i="1"/>
  <c r="J2752" i="1"/>
  <c r="N2751" i="1"/>
  <c r="J2751" i="1"/>
  <c r="N2750" i="1"/>
  <c r="J2750" i="1"/>
  <c r="N2749" i="1"/>
  <c r="J2749" i="1"/>
  <c r="N2748" i="1"/>
  <c r="J2748" i="1"/>
  <c r="N2747" i="1"/>
  <c r="J2747" i="1"/>
  <c r="N2746" i="1"/>
  <c r="J2746" i="1"/>
  <c r="N2745" i="1"/>
  <c r="J2745" i="1"/>
  <c r="N2744" i="1"/>
  <c r="J2744" i="1"/>
  <c r="N2743" i="1"/>
  <c r="J2743" i="1"/>
  <c r="N2742" i="1"/>
  <c r="J2742" i="1"/>
  <c r="N2741" i="1"/>
  <c r="J2741" i="1"/>
  <c r="N2740" i="1"/>
  <c r="J2740" i="1"/>
  <c r="N2739" i="1"/>
  <c r="J2739" i="1"/>
  <c r="N2738" i="1"/>
  <c r="J2738" i="1"/>
  <c r="N2737" i="1"/>
  <c r="J2737" i="1"/>
  <c r="N2736" i="1"/>
  <c r="J2736" i="1"/>
  <c r="N2735" i="1"/>
  <c r="J2735" i="1"/>
  <c r="N2734" i="1"/>
  <c r="J2734" i="1"/>
  <c r="N2733" i="1"/>
  <c r="J2733" i="1"/>
  <c r="N2732" i="1"/>
  <c r="J2732" i="1"/>
  <c r="N2731" i="1"/>
  <c r="J2731" i="1"/>
  <c r="N2730" i="1"/>
  <c r="J2730" i="1"/>
  <c r="N2729" i="1"/>
  <c r="J2729" i="1"/>
  <c r="N2728" i="1"/>
  <c r="J2728" i="1"/>
  <c r="N2727" i="1"/>
  <c r="J2727" i="1"/>
  <c r="N2726" i="1"/>
  <c r="J2726" i="1"/>
  <c r="N2725" i="1"/>
  <c r="J2725" i="1"/>
  <c r="N2724" i="1"/>
  <c r="J2724" i="1"/>
  <c r="N2723" i="1"/>
  <c r="J2723" i="1"/>
  <c r="N2722" i="1"/>
  <c r="J2722" i="1"/>
  <c r="N2721" i="1"/>
  <c r="J2721" i="1"/>
  <c r="N2720" i="1"/>
  <c r="J2720" i="1"/>
  <c r="N2719" i="1"/>
  <c r="J2719" i="1"/>
  <c r="N2718" i="1"/>
  <c r="J2718" i="1"/>
  <c r="N2717" i="1"/>
  <c r="J2717" i="1"/>
  <c r="N2716" i="1"/>
  <c r="J2716" i="1"/>
  <c r="N2715" i="1"/>
  <c r="J2715" i="1"/>
  <c r="N2714" i="1"/>
  <c r="J2714" i="1"/>
  <c r="N2713" i="1"/>
  <c r="J2713" i="1"/>
  <c r="N2712" i="1"/>
  <c r="J2712" i="1"/>
  <c r="N2711" i="1"/>
  <c r="J2711" i="1"/>
  <c r="N2710" i="1"/>
  <c r="J2710" i="1"/>
  <c r="N2709" i="1"/>
  <c r="J2709" i="1"/>
  <c r="N2708" i="1"/>
  <c r="J2708" i="1"/>
  <c r="N2707" i="1"/>
  <c r="J2707" i="1"/>
  <c r="N2706" i="1"/>
  <c r="J2706" i="1"/>
  <c r="N2705" i="1"/>
  <c r="J2705" i="1"/>
  <c r="N2704" i="1"/>
  <c r="J2704" i="1"/>
  <c r="N2703" i="1"/>
  <c r="J2703" i="1"/>
  <c r="N2702" i="1"/>
  <c r="J2702" i="1"/>
  <c r="N2701" i="1"/>
  <c r="J2701" i="1"/>
  <c r="N2700" i="1"/>
  <c r="J2700" i="1"/>
  <c r="N2699" i="1"/>
  <c r="J2699" i="1"/>
  <c r="N2698" i="1"/>
  <c r="J2698" i="1"/>
  <c r="N2697" i="1"/>
  <c r="J2697" i="1"/>
  <c r="N2696" i="1"/>
  <c r="J2696" i="1"/>
  <c r="N2695" i="1"/>
  <c r="J2695" i="1"/>
  <c r="N2694" i="1"/>
  <c r="J2694" i="1"/>
  <c r="N2693" i="1"/>
  <c r="J2693" i="1"/>
  <c r="N2692" i="1"/>
  <c r="J2692" i="1"/>
  <c r="N2691" i="1"/>
  <c r="J2691" i="1"/>
  <c r="N2690" i="1"/>
  <c r="J2690" i="1"/>
  <c r="N2689" i="1"/>
  <c r="J2689" i="1"/>
  <c r="N2688" i="1"/>
  <c r="J2688" i="1"/>
  <c r="N2687" i="1"/>
  <c r="J2687" i="1"/>
  <c r="N2686" i="1"/>
  <c r="J2686" i="1"/>
  <c r="N2685" i="1"/>
  <c r="J2685" i="1"/>
  <c r="N2684" i="1"/>
  <c r="J2684" i="1"/>
  <c r="N2683" i="1"/>
  <c r="J2683" i="1"/>
  <c r="N2682" i="1"/>
  <c r="J2682" i="1"/>
  <c r="N2681" i="1"/>
  <c r="J2681" i="1"/>
  <c r="N2680" i="1"/>
  <c r="J2680" i="1"/>
  <c r="N2679" i="1"/>
  <c r="J2679" i="1"/>
  <c r="N2678" i="1"/>
  <c r="J2678" i="1"/>
  <c r="N2677" i="1"/>
  <c r="J2677" i="1"/>
  <c r="N2676" i="1"/>
  <c r="J2676" i="1"/>
  <c r="N2675" i="1"/>
  <c r="J2675" i="1"/>
  <c r="N2674" i="1"/>
  <c r="J2674" i="1"/>
  <c r="N2673" i="1"/>
  <c r="J2673" i="1"/>
  <c r="N2672" i="1"/>
  <c r="J2672" i="1"/>
  <c r="N2671" i="1"/>
  <c r="J2671" i="1"/>
  <c r="N2670" i="1"/>
  <c r="J2670" i="1"/>
  <c r="N2669" i="1"/>
  <c r="J2669" i="1"/>
  <c r="N2668" i="1"/>
  <c r="J2668" i="1"/>
  <c r="N2667" i="1"/>
  <c r="J2667" i="1"/>
  <c r="N2666" i="1"/>
  <c r="J2666" i="1"/>
  <c r="N2665" i="1"/>
  <c r="J2665" i="1"/>
  <c r="N2664" i="1"/>
  <c r="J2664" i="1"/>
  <c r="N2663" i="1"/>
  <c r="J2663" i="1"/>
  <c r="N2662" i="1"/>
  <c r="J2662" i="1"/>
  <c r="N2661" i="1"/>
  <c r="J2661" i="1"/>
  <c r="N2660" i="1"/>
  <c r="J2660" i="1"/>
  <c r="N2659" i="1"/>
  <c r="J2659" i="1"/>
  <c r="N2658" i="1"/>
  <c r="J2658" i="1"/>
  <c r="N2657" i="1"/>
  <c r="J2657" i="1"/>
  <c r="N2656" i="1"/>
  <c r="J2656" i="1"/>
  <c r="N2655" i="1"/>
  <c r="J2655" i="1"/>
  <c r="N2654" i="1"/>
  <c r="J2654" i="1"/>
  <c r="N2653" i="1"/>
  <c r="J2653" i="1"/>
  <c r="N2652" i="1"/>
  <c r="J2652" i="1"/>
  <c r="N2651" i="1"/>
  <c r="J2651" i="1"/>
  <c r="N2650" i="1"/>
  <c r="J2650" i="1"/>
  <c r="N2649" i="1"/>
  <c r="J2649" i="1"/>
  <c r="N2648" i="1"/>
  <c r="J2648" i="1"/>
  <c r="N2647" i="1"/>
  <c r="J2647" i="1"/>
  <c r="N2646" i="1"/>
  <c r="J2646" i="1"/>
  <c r="N2645" i="1"/>
  <c r="J2645" i="1"/>
  <c r="N2644" i="1"/>
  <c r="J2644" i="1"/>
  <c r="N2643" i="1"/>
  <c r="J2643" i="1"/>
  <c r="N2642" i="1"/>
  <c r="J2642" i="1"/>
  <c r="N2641" i="1"/>
  <c r="J2641" i="1"/>
  <c r="N2640" i="1"/>
  <c r="J2640" i="1"/>
  <c r="N2639" i="1"/>
  <c r="J2639" i="1"/>
  <c r="N2638" i="1"/>
  <c r="J2638" i="1"/>
  <c r="N2637" i="1"/>
  <c r="J2637" i="1"/>
  <c r="N2636" i="1"/>
  <c r="J2636" i="1"/>
  <c r="N2635" i="1"/>
  <c r="J2635" i="1"/>
  <c r="N2634" i="1"/>
  <c r="J2634" i="1"/>
  <c r="N2633" i="1"/>
  <c r="J2633" i="1"/>
  <c r="N2632" i="1"/>
  <c r="J2632" i="1"/>
  <c r="N2631" i="1"/>
  <c r="J2631" i="1"/>
  <c r="N2630" i="1"/>
  <c r="J2630" i="1"/>
  <c r="N2629" i="1"/>
  <c r="J2629" i="1"/>
  <c r="N2628" i="1"/>
  <c r="J2628" i="1"/>
  <c r="N2627" i="1"/>
  <c r="J2627" i="1"/>
  <c r="N2626" i="1"/>
  <c r="J2626" i="1"/>
  <c r="N2625" i="1"/>
  <c r="J2625" i="1"/>
  <c r="N2624" i="1"/>
  <c r="J2624" i="1"/>
  <c r="N2623" i="1"/>
  <c r="J2623" i="1"/>
  <c r="N2622" i="1"/>
  <c r="J2622" i="1"/>
  <c r="N2621" i="1"/>
  <c r="J2621" i="1"/>
  <c r="N2620" i="1"/>
  <c r="J2620" i="1"/>
  <c r="N2619" i="1"/>
  <c r="J2619" i="1"/>
  <c r="N2618" i="1"/>
  <c r="J2618" i="1"/>
  <c r="N2617" i="1"/>
  <c r="J2617" i="1"/>
  <c r="N2616" i="1"/>
  <c r="J2616" i="1"/>
  <c r="N2615" i="1"/>
  <c r="J2615" i="1"/>
  <c r="N2614" i="1"/>
  <c r="J2614" i="1"/>
  <c r="N2613" i="1"/>
  <c r="J2613" i="1"/>
  <c r="N2612" i="1"/>
  <c r="J2612" i="1"/>
  <c r="N2611" i="1"/>
  <c r="J2611" i="1"/>
  <c r="N2610" i="1"/>
  <c r="J2610" i="1"/>
  <c r="N2609" i="1"/>
  <c r="J2609" i="1"/>
  <c r="N2608" i="1"/>
  <c r="J2608" i="1"/>
  <c r="N2607" i="1"/>
  <c r="J2607" i="1"/>
  <c r="N2606" i="1"/>
  <c r="J2606" i="1"/>
  <c r="N2605" i="1"/>
  <c r="J2605" i="1"/>
  <c r="N2604" i="1"/>
  <c r="J2604" i="1"/>
  <c r="N2603" i="1"/>
  <c r="J2603" i="1"/>
  <c r="N2602" i="1"/>
  <c r="J2602" i="1"/>
  <c r="N2601" i="1"/>
  <c r="J2601" i="1"/>
  <c r="N2600" i="1"/>
  <c r="J2600" i="1"/>
  <c r="N2599" i="1"/>
  <c r="J2599" i="1"/>
  <c r="N2598" i="1"/>
  <c r="J2598" i="1"/>
  <c r="N2597" i="1"/>
  <c r="J2597" i="1"/>
  <c r="N2596" i="1"/>
  <c r="J2596" i="1"/>
  <c r="N2595" i="1"/>
  <c r="J2595" i="1"/>
  <c r="N2594" i="1"/>
  <c r="J2594" i="1"/>
  <c r="N2593" i="1"/>
  <c r="J2593" i="1"/>
  <c r="N2592" i="1"/>
  <c r="J2592" i="1"/>
  <c r="N2591" i="1"/>
  <c r="J2591" i="1"/>
  <c r="N2590" i="1"/>
  <c r="J2590" i="1"/>
  <c r="N2589" i="1"/>
  <c r="J2589" i="1"/>
  <c r="N2588" i="1"/>
  <c r="J2588" i="1"/>
  <c r="N2587" i="1"/>
  <c r="J2587" i="1"/>
  <c r="N2586" i="1"/>
  <c r="J2586" i="1"/>
  <c r="N2585" i="1"/>
  <c r="J2585" i="1"/>
  <c r="N2584" i="1"/>
  <c r="J2584" i="1"/>
  <c r="N2583" i="1"/>
  <c r="J2583" i="1"/>
  <c r="N2582" i="1"/>
  <c r="J2582" i="1"/>
  <c r="N2581" i="1"/>
  <c r="J2581" i="1"/>
  <c r="N2580" i="1"/>
  <c r="J2580" i="1"/>
  <c r="N2579" i="1"/>
  <c r="J2579" i="1"/>
  <c r="N2578" i="1"/>
  <c r="J2578" i="1"/>
  <c r="N2577" i="1"/>
  <c r="J2577" i="1"/>
  <c r="N2576" i="1"/>
  <c r="J2576" i="1"/>
  <c r="N2575" i="1"/>
  <c r="J2575" i="1"/>
  <c r="N2574" i="1"/>
  <c r="J2574" i="1"/>
  <c r="N2573" i="1"/>
  <c r="J2573" i="1"/>
  <c r="N2572" i="1"/>
  <c r="J2572" i="1"/>
  <c r="N2571" i="1"/>
  <c r="J2571" i="1"/>
  <c r="N2570" i="1"/>
  <c r="J2570" i="1"/>
  <c r="N2569" i="1"/>
  <c r="J2569" i="1"/>
  <c r="N2568" i="1"/>
  <c r="J2568" i="1"/>
  <c r="N2567" i="1"/>
  <c r="J2567" i="1"/>
  <c r="N2566" i="1"/>
  <c r="J2566" i="1"/>
  <c r="N2565" i="1"/>
  <c r="J2565" i="1"/>
  <c r="N2564" i="1"/>
  <c r="J2564" i="1"/>
  <c r="N2563" i="1"/>
  <c r="J2563" i="1"/>
  <c r="N2562" i="1"/>
  <c r="J2562" i="1"/>
  <c r="N2561" i="1"/>
  <c r="J2561" i="1"/>
  <c r="N2560" i="1"/>
  <c r="J2560" i="1"/>
  <c r="N2559" i="1"/>
  <c r="J2559" i="1"/>
  <c r="N2558" i="1"/>
  <c r="J2558" i="1"/>
  <c r="N2557" i="1"/>
  <c r="J2557" i="1"/>
  <c r="N2556" i="1"/>
  <c r="J2556" i="1"/>
  <c r="N2555" i="1"/>
  <c r="J2555" i="1"/>
  <c r="N2554" i="1"/>
  <c r="J2554" i="1"/>
  <c r="N2553" i="1"/>
  <c r="J2553" i="1"/>
  <c r="N2552" i="1"/>
  <c r="J2552" i="1"/>
  <c r="N2551" i="1"/>
  <c r="J2551" i="1"/>
  <c r="N2550" i="1"/>
  <c r="J2550" i="1"/>
  <c r="N2549" i="1"/>
  <c r="J2549" i="1"/>
  <c r="N2548" i="1"/>
  <c r="J2548" i="1"/>
  <c r="N2547" i="1"/>
  <c r="J2547" i="1"/>
  <c r="N2546" i="1"/>
  <c r="J2546" i="1"/>
  <c r="N2545" i="1"/>
  <c r="J2545" i="1"/>
  <c r="N2544" i="1"/>
  <c r="J2544" i="1"/>
  <c r="N2543" i="1"/>
  <c r="J2543" i="1"/>
  <c r="N2542" i="1"/>
  <c r="J2542" i="1"/>
  <c r="N2541" i="1"/>
  <c r="J2541" i="1"/>
  <c r="N2540" i="1"/>
  <c r="J2540" i="1"/>
  <c r="N2539" i="1"/>
  <c r="J2539" i="1"/>
  <c r="N2538" i="1"/>
  <c r="J2538" i="1"/>
  <c r="N2537" i="1"/>
  <c r="J2537" i="1"/>
  <c r="N2536" i="1"/>
  <c r="J2536" i="1"/>
  <c r="N2535" i="1"/>
  <c r="J2535" i="1"/>
  <c r="N2534" i="1"/>
  <c r="J2534" i="1"/>
  <c r="N2533" i="1"/>
  <c r="J2533" i="1"/>
  <c r="N2532" i="1"/>
  <c r="J2532" i="1"/>
  <c r="N2531" i="1"/>
  <c r="J2531" i="1"/>
  <c r="N2530" i="1"/>
  <c r="J2530" i="1"/>
  <c r="N2529" i="1"/>
  <c r="J2529" i="1"/>
  <c r="N2528" i="1"/>
  <c r="J2528" i="1"/>
  <c r="N2527" i="1"/>
  <c r="J2527" i="1"/>
  <c r="N2526" i="1"/>
  <c r="J2526" i="1"/>
  <c r="N2525" i="1"/>
  <c r="J2525" i="1"/>
  <c r="N2524" i="1"/>
  <c r="J2524" i="1"/>
  <c r="N2523" i="1"/>
  <c r="J2523" i="1"/>
  <c r="N2522" i="1"/>
  <c r="J2522" i="1"/>
  <c r="N2521" i="1"/>
  <c r="J2521" i="1"/>
  <c r="N2520" i="1"/>
  <c r="J2520" i="1"/>
  <c r="N2519" i="1"/>
  <c r="J2519" i="1"/>
  <c r="N2518" i="1"/>
  <c r="J2518" i="1"/>
  <c r="N2517" i="1"/>
  <c r="J2517" i="1"/>
  <c r="N2516" i="1"/>
  <c r="J2516" i="1"/>
  <c r="N2515" i="1"/>
  <c r="J2515" i="1"/>
  <c r="N2514" i="1"/>
  <c r="J2514" i="1"/>
  <c r="N2513" i="1"/>
  <c r="J2513" i="1"/>
  <c r="N2512" i="1"/>
  <c r="J2512" i="1"/>
  <c r="N2511" i="1"/>
  <c r="J2511" i="1"/>
  <c r="N2510" i="1"/>
  <c r="J2510" i="1"/>
  <c r="N2509" i="1"/>
  <c r="J2509" i="1"/>
  <c r="N2508" i="1"/>
  <c r="J2508" i="1"/>
  <c r="N2507" i="1"/>
  <c r="J2507" i="1"/>
  <c r="N2506" i="1"/>
  <c r="J2506" i="1"/>
  <c r="N2505" i="1"/>
  <c r="J2505" i="1"/>
  <c r="N2504" i="1"/>
  <c r="J2504" i="1"/>
  <c r="N2503" i="1"/>
  <c r="J2503" i="1"/>
  <c r="N2502" i="1"/>
  <c r="J2502" i="1"/>
  <c r="N2501" i="1"/>
  <c r="J2501" i="1"/>
  <c r="N2500" i="1"/>
  <c r="J2500" i="1"/>
  <c r="N2499" i="1"/>
  <c r="J2499" i="1"/>
  <c r="N2498" i="1"/>
  <c r="J2498" i="1"/>
  <c r="N2497" i="1"/>
  <c r="J2497" i="1"/>
  <c r="N2496" i="1"/>
  <c r="J2496" i="1"/>
  <c r="N2495" i="1"/>
  <c r="J2495" i="1"/>
  <c r="N2494" i="1"/>
  <c r="J2494" i="1"/>
  <c r="N2493" i="1"/>
  <c r="J2493" i="1"/>
  <c r="N2492" i="1"/>
  <c r="J2492" i="1"/>
  <c r="N2491" i="1"/>
  <c r="J2491" i="1"/>
  <c r="N2490" i="1"/>
  <c r="J2490" i="1"/>
  <c r="N2489" i="1"/>
  <c r="J2489" i="1"/>
  <c r="N2488" i="1"/>
  <c r="J2488" i="1"/>
  <c r="N2487" i="1"/>
  <c r="J2487" i="1"/>
  <c r="N2486" i="1"/>
  <c r="J2486" i="1"/>
  <c r="N2485" i="1"/>
  <c r="J2485" i="1"/>
  <c r="N2484" i="1"/>
  <c r="J2484" i="1"/>
  <c r="N2483" i="1"/>
  <c r="J2483" i="1"/>
  <c r="N2482" i="1"/>
  <c r="J2482" i="1"/>
  <c r="N2481" i="1"/>
  <c r="J2481" i="1"/>
  <c r="N2480" i="1"/>
  <c r="J2480" i="1"/>
  <c r="N2479" i="1"/>
  <c r="J2479" i="1"/>
  <c r="N2478" i="1"/>
  <c r="J2478" i="1"/>
  <c r="N2477" i="1"/>
  <c r="J2477" i="1"/>
  <c r="N2476" i="1"/>
  <c r="J2476" i="1"/>
  <c r="N2475" i="1"/>
  <c r="J2475" i="1"/>
  <c r="N2474" i="1"/>
  <c r="J2474" i="1"/>
  <c r="N2473" i="1"/>
  <c r="J2473" i="1"/>
  <c r="N2472" i="1"/>
  <c r="J2472" i="1"/>
  <c r="N2471" i="1"/>
  <c r="J2471" i="1"/>
  <c r="N2470" i="1"/>
  <c r="J2470" i="1"/>
  <c r="N2469" i="1"/>
  <c r="J2469" i="1"/>
  <c r="N2468" i="1"/>
  <c r="J2468" i="1"/>
  <c r="N2467" i="1"/>
  <c r="J2467" i="1"/>
  <c r="N2466" i="1"/>
  <c r="J2466" i="1"/>
  <c r="N2465" i="1"/>
  <c r="J2465" i="1"/>
  <c r="N2464" i="1"/>
  <c r="J2464" i="1"/>
  <c r="N2463" i="1"/>
  <c r="J2463" i="1"/>
  <c r="N2462" i="1"/>
  <c r="J2462" i="1"/>
  <c r="N2461" i="1"/>
  <c r="J2461" i="1"/>
  <c r="N2460" i="1"/>
  <c r="J2460" i="1"/>
  <c r="N2459" i="1"/>
  <c r="J2459" i="1"/>
  <c r="N2458" i="1"/>
  <c r="J2458" i="1"/>
  <c r="N2457" i="1"/>
  <c r="J2457" i="1"/>
  <c r="N2456" i="1"/>
  <c r="J2456" i="1"/>
  <c r="N2455" i="1"/>
  <c r="J2455" i="1"/>
  <c r="N2454" i="1"/>
  <c r="J2454" i="1"/>
  <c r="N2453" i="1"/>
  <c r="J2453" i="1"/>
  <c r="N2452" i="1"/>
  <c r="J2452" i="1"/>
  <c r="N2451" i="1"/>
  <c r="J2451" i="1"/>
  <c r="N2450" i="1"/>
  <c r="J2450" i="1"/>
  <c r="N2449" i="1"/>
  <c r="J2449" i="1"/>
  <c r="N2448" i="1"/>
  <c r="J2448" i="1"/>
  <c r="N2447" i="1"/>
  <c r="J2447" i="1"/>
  <c r="N2446" i="1"/>
  <c r="J2446" i="1"/>
  <c r="N2445" i="1"/>
  <c r="J2445" i="1"/>
  <c r="N2444" i="1"/>
  <c r="J2444" i="1"/>
  <c r="N2443" i="1"/>
  <c r="J2443" i="1"/>
  <c r="N2442" i="1"/>
  <c r="J2442" i="1"/>
  <c r="N2441" i="1"/>
  <c r="J2441" i="1"/>
  <c r="N2440" i="1"/>
  <c r="J2440" i="1"/>
  <c r="N2439" i="1"/>
  <c r="J2439" i="1"/>
  <c r="N2438" i="1"/>
  <c r="J2438" i="1"/>
  <c r="N2437" i="1"/>
  <c r="J2437" i="1"/>
  <c r="N2436" i="1"/>
  <c r="J2436" i="1"/>
  <c r="N2435" i="1"/>
  <c r="J2435" i="1"/>
  <c r="N2434" i="1"/>
  <c r="J2434" i="1"/>
  <c r="N2433" i="1"/>
  <c r="J2433" i="1"/>
  <c r="N2432" i="1"/>
  <c r="J2432" i="1"/>
  <c r="N2431" i="1"/>
  <c r="J2431" i="1"/>
  <c r="N2430" i="1"/>
  <c r="J2430" i="1"/>
  <c r="N2429" i="1"/>
  <c r="J2429" i="1"/>
  <c r="N2428" i="1"/>
  <c r="J2428" i="1"/>
  <c r="N2427" i="1"/>
  <c r="J2427" i="1"/>
  <c r="N2426" i="1"/>
  <c r="J2426" i="1"/>
  <c r="N2425" i="1"/>
  <c r="J2425" i="1"/>
  <c r="N2424" i="1"/>
  <c r="J2424" i="1"/>
  <c r="N2423" i="1"/>
  <c r="J2423" i="1"/>
  <c r="N2422" i="1"/>
  <c r="J2422" i="1"/>
  <c r="N2421" i="1"/>
  <c r="J2421" i="1"/>
  <c r="N2420" i="1"/>
  <c r="J2420" i="1"/>
  <c r="N2419" i="1"/>
  <c r="J2419" i="1"/>
  <c r="N2418" i="1"/>
  <c r="J2418" i="1"/>
  <c r="N2417" i="1"/>
  <c r="J2417" i="1"/>
  <c r="N2416" i="1"/>
  <c r="J2416" i="1"/>
  <c r="N2415" i="1"/>
  <c r="J2415" i="1"/>
  <c r="N2414" i="1"/>
  <c r="J2414" i="1"/>
  <c r="N2413" i="1"/>
  <c r="J2413" i="1"/>
  <c r="N2412" i="1"/>
  <c r="J2412" i="1"/>
  <c r="N2411" i="1"/>
  <c r="J2411" i="1"/>
  <c r="N2410" i="1"/>
  <c r="J2410" i="1"/>
  <c r="N2409" i="1"/>
  <c r="J2409" i="1"/>
  <c r="N2408" i="1"/>
  <c r="J2408" i="1"/>
  <c r="N2407" i="1"/>
  <c r="J2407" i="1"/>
  <c r="N2406" i="1"/>
  <c r="J2406" i="1"/>
  <c r="N2405" i="1"/>
  <c r="J2405" i="1"/>
  <c r="N2404" i="1"/>
  <c r="J2404" i="1"/>
  <c r="N2403" i="1"/>
  <c r="J2403" i="1"/>
  <c r="N2402" i="1"/>
  <c r="J2402" i="1"/>
  <c r="N2401" i="1"/>
  <c r="J2401" i="1"/>
  <c r="N2400" i="1"/>
  <c r="J2400" i="1"/>
  <c r="N2399" i="1"/>
  <c r="J2399" i="1"/>
  <c r="N2398" i="1"/>
  <c r="J2398" i="1"/>
  <c r="N2397" i="1"/>
  <c r="J2397" i="1"/>
  <c r="N2396" i="1"/>
  <c r="J2396" i="1"/>
  <c r="N2395" i="1"/>
  <c r="J2395" i="1"/>
  <c r="N2394" i="1"/>
  <c r="J2394" i="1"/>
  <c r="N2393" i="1"/>
  <c r="J2393" i="1"/>
  <c r="N2392" i="1"/>
  <c r="J2392" i="1"/>
  <c r="N2391" i="1"/>
  <c r="J2391" i="1"/>
  <c r="N2390" i="1"/>
  <c r="J2390" i="1"/>
  <c r="N2389" i="1"/>
  <c r="J2389" i="1"/>
  <c r="N2388" i="1"/>
  <c r="J2388" i="1"/>
  <c r="N2387" i="1"/>
  <c r="J2387" i="1"/>
  <c r="N2386" i="1"/>
  <c r="J2386" i="1"/>
  <c r="N2385" i="1"/>
  <c r="J2385" i="1"/>
  <c r="N2384" i="1"/>
  <c r="J2384" i="1"/>
  <c r="N2383" i="1"/>
  <c r="J2383" i="1"/>
  <c r="N2382" i="1"/>
  <c r="J2382" i="1"/>
  <c r="N2381" i="1"/>
  <c r="J2381" i="1"/>
  <c r="N2380" i="1"/>
  <c r="J2380" i="1"/>
  <c r="N2379" i="1"/>
  <c r="J2379" i="1"/>
  <c r="N2378" i="1"/>
  <c r="J2378" i="1"/>
  <c r="N2377" i="1"/>
  <c r="J2377" i="1"/>
  <c r="N2376" i="1"/>
  <c r="J2376" i="1"/>
  <c r="N2375" i="1"/>
  <c r="J2375" i="1"/>
  <c r="N2374" i="1"/>
  <c r="J2374" i="1"/>
  <c r="N2373" i="1"/>
  <c r="J2373" i="1"/>
  <c r="N2372" i="1"/>
  <c r="J2372" i="1"/>
  <c r="N2371" i="1"/>
  <c r="J2371" i="1"/>
  <c r="N2370" i="1"/>
  <c r="J2370" i="1"/>
  <c r="N2369" i="1"/>
  <c r="J2369" i="1"/>
  <c r="N2368" i="1"/>
  <c r="J2368" i="1"/>
  <c r="N2367" i="1"/>
  <c r="J2367" i="1"/>
  <c r="N2366" i="1"/>
  <c r="J2366" i="1"/>
  <c r="N2365" i="1"/>
  <c r="J2365" i="1"/>
  <c r="N2364" i="1"/>
  <c r="J2364" i="1"/>
  <c r="N2363" i="1"/>
  <c r="J2363" i="1"/>
  <c r="N2362" i="1"/>
  <c r="J2362" i="1"/>
  <c r="N2361" i="1"/>
  <c r="J2361" i="1"/>
  <c r="N2360" i="1"/>
  <c r="J2360" i="1"/>
  <c r="N2359" i="1"/>
  <c r="J2359" i="1"/>
  <c r="N2358" i="1"/>
  <c r="J2358" i="1"/>
  <c r="N2357" i="1"/>
  <c r="J2357" i="1"/>
  <c r="N2356" i="1"/>
  <c r="J2356" i="1"/>
  <c r="N2355" i="1"/>
  <c r="J2355" i="1"/>
  <c r="N2354" i="1"/>
  <c r="J2354" i="1"/>
  <c r="N2353" i="1"/>
  <c r="J2353" i="1"/>
  <c r="N2352" i="1"/>
  <c r="J2352" i="1"/>
  <c r="N2351" i="1"/>
  <c r="J2351" i="1"/>
  <c r="N2350" i="1"/>
  <c r="J2350" i="1"/>
  <c r="N2349" i="1"/>
  <c r="J2349" i="1"/>
  <c r="N2348" i="1"/>
  <c r="J2348" i="1"/>
  <c r="N2347" i="1"/>
  <c r="J2347" i="1"/>
  <c r="N2346" i="1"/>
  <c r="J2346" i="1"/>
  <c r="N2345" i="1"/>
  <c r="J2345" i="1"/>
  <c r="N2344" i="1"/>
  <c r="J2344" i="1"/>
  <c r="N2343" i="1"/>
  <c r="J2343" i="1"/>
  <c r="N2342" i="1"/>
  <c r="J2342" i="1"/>
  <c r="N2341" i="1"/>
  <c r="J2341" i="1"/>
  <c r="N2340" i="1"/>
  <c r="J2340" i="1"/>
  <c r="N2339" i="1"/>
  <c r="J2339" i="1"/>
  <c r="N2338" i="1"/>
  <c r="J2338" i="1"/>
  <c r="N2337" i="1"/>
  <c r="J2337" i="1"/>
  <c r="N2336" i="1"/>
  <c r="J2336" i="1"/>
  <c r="N2335" i="1"/>
  <c r="J2335" i="1"/>
  <c r="N2334" i="1"/>
  <c r="J2334" i="1"/>
  <c r="N2333" i="1"/>
  <c r="J2333" i="1"/>
  <c r="N2332" i="1"/>
  <c r="J2332" i="1"/>
  <c r="N2331" i="1"/>
  <c r="J2331" i="1"/>
  <c r="N2330" i="1"/>
  <c r="J2330" i="1"/>
  <c r="N2329" i="1"/>
  <c r="J2329" i="1"/>
  <c r="N2328" i="1"/>
  <c r="J2328" i="1"/>
  <c r="N2327" i="1"/>
  <c r="J2327" i="1"/>
  <c r="N2326" i="1"/>
  <c r="J2326" i="1"/>
  <c r="N2325" i="1"/>
  <c r="J2325" i="1"/>
  <c r="N2324" i="1"/>
  <c r="J2324" i="1"/>
  <c r="N2323" i="1"/>
  <c r="J2323" i="1"/>
  <c r="N2322" i="1"/>
  <c r="J2322" i="1"/>
  <c r="N2321" i="1"/>
  <c r="J2321" i="1"/>
  <c r="N2320" i="1"/>
  <c r="J2320" i="1"/>
  <c r="N2319" i="1"/>
  <c r="J2319" i="1"/>
  <c r="N2318" i="1"/>
  <c r="J2318" i="1"/>
  <c r="N2317" i="1"/>
  <c r="J2317" i="1"/>
  <c r="N2316" i="1"/>
  <c r="J2316" i="1"/>
  <c r="N2315" i="1"/>
  <c r="J2315" i="1"/>
  <c r="N2314" i="1"/>
  <c r="J2314" i="1"/>
  <c r="N2313" i="1"/>
  <c r="J2313" i="1"/>
  <c r="N2312" i="1"/>
  <c r="J2312" i="1"/>
  <c r="N2311" i="1"/>
  <c r="J2311" i="1"/>
  <c r="N2310" i="1"/>
  <c r="J2310" i="1"/>
  <c r="N2309" i="1"/>
  <c r="J2309" i="1"/>
  <c r="N2308" i="1"/>
  <c r="J2308" i="1"/>
  <c r="N2307" i="1"/>
  <c r="J2307" i="1"/>
  <c r="N2306" i="1"/>
  <c r="J2306" i="1"/>
  <c r="N2305" i="1"/>
  <c r="J2305" i="1"/>
  <c r="N2304" i="1"/>
  <c r="J2304" i="1"/>
  <c r="N2303" i="1"/>
  <c r="J2303" i="1"/>
  <c r="N2302" i="1"/>
  <c r="J2302" i="1"/>
  <c r="N2301" i="1"/>
  <c r="J2301" i="1"/>
  <c r="N2300" i="1"/>
  <c r="J2300" i="1"/>
  <c r="N2299" i="1"/>
  <c r="J2299" i="1"/>
  <c r="N2298" i="1"/>
  <c r="J2298" i="1"/>
  <c r="N2297" i="1"/>
  <c r="J2297" i="1"/>
  <c r="N2296" i="1"/>
  <c r="J2296" i="1"/>
  <c r="N2295" i="1"/>
  <c r="J2295" i="1"/>
  <c r="N2294" i="1"/>
  <c r="J2294" i="1"/>
  <c r="N2293" i="1"/>
  <c r="J2293" i="1"/>
  <c r="N2292" i="1"/>
  <c r="J2292" i="1"/>
  <c r="N2291" i="1"/>
  <c r="J2291" i="1"/>
  <c r="N2290" i="1"/>
  <c r="J2290" i="1"/>
  <c r="N2289" i="1"/>
  <c r="J2289" i="1"/>
  <c r="N2288" i="1"/>
  <c r="J2288" i="1"/>
  <c r="N2287" i="1"/>
  <c r="J2287" i="1"/>
  <c r="N2286" i="1"/>
  <c r="J2286" i="1"/>
  <c r="N2285" i="1"/>
  <c r="J2285" i="1"/>
  <c r="N2284" i="1"/>
  <c r="J2284" i="1"/>
  <c r="N2283" i="1"/>
  <c r="J2283" i="1"/>
  <c r="N2282" i="1"/>
  <c r="J2282" i="1"/>
  <c r="N2281" i="1"/>
  <c r="J2281" i="1"/>
  <c r="N2280" i="1"/>
  <c r="J2280" i="1"/>
  <c r="N2279" i="1"/>
  <c r="J2279" i="1"/>
  <c r="N2278" i="1"/>
  <c r="J2278" i="1"/>
  <c r="N2277" i="1"/>
  <c r="J2277" i="1"/>
  <c r="N2276" i="1"/>
  <c r="J2276" i="1"/>
  <c r="N2275" i="1"/>
  <c r="J2275" i="1"/>
  <c r="N2274" i="1"/>
  <c r="J2274" i="1"/>
  <c r="N2273" i="1"/>
  <c r="J2273" i="1"/>
  <c r="N2272" i="1"/>
  <c r="J2272" i="1"/>
  <c r="N2271" i="1"/>
  <c r="J2271" i="1"/>
  <c r="N2270" i="1"/>
  <c r="J2270" i="1"/>
  <c r="N2269" i="1"/>
  <c r="J2269" i="1"/>
  <c r="N2268" i="1"/>
  <c r="J2268" i="1"/>
  <c r="N2267" i="1"/>
  <c r="J2267" i="1"/>
  <c r="N2266" i="1"/>
  <c r="J2266" i="1"/>
  <c r="N2265" i="1"/>
  <c r="J2265" i="1"/>
  <c r="N2264" i="1"/>
  <c r="J2264" i="1"/>
  <c r="N2263" i="1"/>
  <c r="J2263" i="1"/>
  <c r="N2262" i="1"/>
  <c r="J2262" i="1"/>
  <c r="N2261" i="1"/>
  <c r="J2261" i="1"/>
  <c r="N2260" i="1"/>
  <c r="J2260" i="1"/>
  <c r="N2259" i="1"/>
  <c r="J2259" i="1"/>
  <c r="N2258" i="1"/>
  <c r="J2258" i="1"/>
  <c r="N2257" i="1"/>
  <c r="J2257" i="1"/>
  <c r="N2256" i="1"/>
  <c r="J2256" i="1"/>
  <c r="N2255" i="1"/>
  <c r="J2255" i="1"/>
  <c r="N2254" i="1"/>
  <c r="J2254" i="1"/>
  <c r="N2253" i="1"/>
  <c r="J2253" i="1"/>
  <c r="N2252" i="1"/>
  <c r="J2252" i="1"/>
  <c r="N2251" i="1"/>
  <c r="J2251" i="1"/>
  <c r="N2250" i="1"/>
  <c r="J2250" i="1"/>
  <c r="N2249" i="1"/>
  <c r="J2249" i="1"/>
  <c r="N2248" i="1"/>
  <c r="J2248" i="1"/>
  <c r="N2247" i="1"/>
  <c r="J2247" i="1"/>
  <c r="N2246" i="1"/>
  <c r="J2246" i="1"/>
  <c r="N2245" i="1"/>
  <c r="J2245" i="1"/>
  <c r="N2244" i="1"/>
  <c r="J2244" i="1"/>
  <c r="N2243" i="1"/>
  <c r="J2243" i="1"/>
  <c r="N2242" i="1"/>
  <c r="J2242" i="1"/>
  <c r="N2241" i="1"/>
  <c r="J2241" i="1"/>
  <c r="N2240" i="1"/>
  <c r="J2240" i="1"/>
  <c r="N2239" i="1"/>
  <c r="J2239" i="1"/>
  <c r="N2238" i="1"/>
  <c r="J2238" i="1"/>
  <c r="N2237" i="1"/>
  <c r="J2237" i="1"/>
  <c r="N2236" i="1"/>
  <c r="J2236" i="1"/>
  <c r="N2235" i="1"/>
  <c r="J2235" i="1"/>
  <c r="N2234" i="1"/>
  <c r="J2234" i="1"/>
  <c r="N2233" i="1"/>
  <c r="J2233" i="1"/>
  <c r="N2232" i="1"/>
  <c r="J2232" i="1"/>
  <c r="N2231" i="1"/>
  <c r="J2231" i="1"/>
  <c r="N2230" i="1"/>
  <c r="J2230" i="1"/>
  <c r="N2229" i="1"/>
  <c r="J2229" i="1"/>
  <c r="N2228" i="1"/>
  <c r="J2228" i="1"/>
  <c r="N2227" i="1"/>
  <c r="J2227" i="1"/>
  <c r="N2226" i="1"/>
  <c r="J2226" i="1"/>
  <c r="N2225" i="1"/>
  <c r="J2225" i="1"/>
  <c r="N2224" i="1"/>
  <c r="J2224" i="1"/>
  <c r="N2223" i="1"/>
  <c r="J2223" i="1"/>
  <c r="N2222" i="1"/>
  <c r="J2222" i="1"/>
  <c r="N2221" i="1"/>
  <c r="J2221" i="1"/>
  <c r="N2220" i="1"/>
  <c r="J2220" i="1"/>
  <c r="N2219" i="1"/>
  <c r="J2219" i="1"/>
  <c r="N2218" i="1"/>
  <c r="J2218" i="1"/>
  <c r="N2217" i="1"/>
  <c r="J2217" i="1"/>
  <c r="N2216" i="1"/>
  <c r="J2216" i="1"/>
  <c r="N2215" i="1"/>
  <c r="J2215" i="1"/>
  <c r="N2214" i="1"/>
  <c r="J2214" i="1"/>
  <c r="N2213" i="1"/>
  <c r="J2213" i="1"/>
  <c r="N2212" i="1"/>
  <c r="J2212" i="1"/>
  <c r="N2211" i="1"/>
  <c r="J2211" i="1"/>
  <c r="N2210" i="1"/>
  <c r="J2210" i="1"/>
  <c r="N2209" i="1"/>
  <c r="J2209" i="1"/>
  <c r="N2208" i="1"/>
  <c r="J2208" i="1"/>
  <c r="N2207" i="1"/>
  <c r="J2207" i="1"/>
  <c r="N2206" i="1"/>
  <c r="J2206" i="1"/>
  <c r="N2205" i="1"/>
  <c r="J2205" i="1"/>
  <c r="N2204" i="1"/>
  <c r="J2204" i="1"/>
  <c r="N2203" i="1"/>
  <c r="J2203" i="1"/>
  <c r="N2202" i="1"/>
  <c r="J2202" i="1"/>
  <c r="N2201" i="1"/>
  <c r="J2201" i="1"/>
  <c r="N2200" i="1"/>
  <c r="J2200" i="1"/>
  <c r="N2199" i="1"/>
  <c r="J2199" i="1"/>
  <c r="N2198" i="1"/>
  <c r="J2198" i="1"/>
  <c r="N2197" i="1"/>
  <c r="J2197" i="1"/>
  <c r="N2196" i="1"/>
  <c r="J2196" i="1"/>
  <c r="N2195" i="1"/>
  <c r="J2195" i="1"/>
  <c r="N2194" i="1"/>
  <c r="J2194" i="1"/>
  <c r="N2193" i="1"/>
  <c r="J2193" i="1"/>
  <c r="N2192" i="1"/>
  <c r="J2192" i="1"/>
  <c r="N2191" i="1"/>
  <c r="J2191" i="1"/>
  <c r="N2190" i="1"/>
  <c r="J2190" i="1"/>
  <c r="N2189" i="1"/>
  <c r="J2189" i="1"/>
  <c r="N2188" i="1"/>
  <c r="J2188" i="1"/>
  <c r="N2187" i="1"/>
  <c r="J2187" i="1"/>
  <c r="N2186" i="1"/>
  <c r="J2186" i="1"/>
  <c r="N2185" i="1"/>
  <c r="J2185" i="1"/>
  <c r="N2184" i="1"/>
  <c r="J2184" i="1"/>
  <c r="N2183" i="1"/>
  <c r="J2183" i="1"/>
  <c r="N2182" i="1"/>
  <c r="J2182" i="1"/>
  <c r="N2181" i="1"/>
  <c r="J2181" i="1"/>
  <c r="N2180" i="1"/>
  <c r="J2180" i="1"/>
  <c r="N2179" i="1"/>
  <c r="J2179" i="1"/>
  <c r="N2178" i="1"/>
  <c r="J2178" i="1"/>
  <c r="N2177" i="1"/>
  <c r="J2177" i="1"/>
  <c r="N2176" i="1"/>
  <c r="J2176" i="1"/>
  <c r="N2175" i="1"/>
  <c r="J2175" i="1"/>
  <c r="N2174" i="1"/>
  <c r="J2174" i="1"/>
  <c r="N2173" i="1"/>
  <c r="J2173" i="1"/>
  <c r="N2172" i="1"/>
  <c r="J2172" i="1"/>
  <c r="N2171" i="1"/>
  <c r="J2171" i="1"/>
  <c r="N2170" i="1"/>
  <c r="J2170" i="1"/>
  <c r="N2169" i="1"/>
  <c r="J2169" i="1"/>
  <c r="N2168" i="1"/>
  <c r="J2168" i="1"/>
  <c r="N2167" i="1"/>
  <c r="J2167" i="1"/>
  <c r="N2166" i="1"/>
  <c r="J2166" i="1"/>
  <c r="N2165" i="1"/>
  <c r="J2165" i="1"/>
  <c r="N2164" i="1"/>
  <c r="J2164" i="1"/>
  <c r="N2163" i="1"/>
  <c r="J2163" i="1"/>
  <c r="N2162" i="1"/>
  <c r="J2162" i="1"/>
  <c r="N2161" i="1"/>
  <c r="J2161" i="1"/>
  <c r="N2160" i="1"/>
  <c r="J2160" i="1"/>
  <c r="N2159" i="1"/>
  <c r="J2159" i="1"/>
  <c r="N2158" i="1"/>
  <c r="J2158" i="1"/>
  <c r="N2157" i="1"/>
  <c r="J2157" i="1"/>
  <c r="N2156" i="1"/>
  <c r="J2156" i="1"/>
  <c r="N2155" i="1"/>
  <c r="J2155" i="1"/>
  <c r="N2154" i="1"/>
  <c r="J2154" i="1"/>
  <c r="N2153" i="1"/>
  <c r="J2153" i="1"/>
  <c r="N2152" i="1"/>
  <c r="J2152" i="1"/>
  <c r="N2151" i="1"/>
  <c r="J2151" i="1"/>
  <c r="N2150" i="1"/>
  <c r="J2150" i="1"/>
  <c r="N2149" i="1"/>
  <c r="J2149" i="1"/>
  <c r="N2148" i="1"/>
  <c r="J2148" i="1"/>
  <c r="N2147" i="1"/>
  <c r="J2147" i="1"/>
  <c r="N2146" i="1"/>
  <c r="J2146" i="1"/>
  <c r="N2145" i="1"/>
  <c r="J2145" i="1"/>
  <c r="N2144" i="1"/>
  <c r="J2144" i="1"/>
  <c r="N2143" i="1"/>
  <c r="J2143" i="1"/>
  <c r="N2142" i="1"/>
  <c r="J2142" i="1"/>
  <c r="N2141" i="1"/>
  <c r="J2141" i="1"/>
  <c r="N2140" i="1"/>
  <c r="J2140" i="1"/>
  <c r="N2139" i="1"/>
  <c r="J2139" i="1"/>
  <c r="N2138" i="1"/>
  <c r="J2138" i="1"/>
  <c r="N2137" i="1"/>
  <c r="J2137" i="1"/>
  <c r="N2136" i="1"/>
  <c r="J2136" i="1"/>
  <c r="N2135" i="1"/>
  <c r="J2135" i="1"/>
  <c r="N2134" i="1"/>
  <c r="J2134" i="1"/>
  <c r="N2133" i="1"/>
  <c r="J2133" i="1"/>
  <c r="N2132" i="1"/>
  <c r="J2132" i="1"/>
  <c r="N2131" i="1"/>
  <c r="J2131" i="1"/>
  <c r="N2130" i="1"/>
  <c r="J2130" i="1"/>
  <c r="N2129" i="1"/>
  <c r="J2129" i="1"/>
  <c r="N2128" i="1"/>
  <c r="J2128" i="1"/>
  <c r="N2127" i="1"/>
  <c r="J2127" i="1"/>
  <c r="N2126" i="1"/>
  <c r="J2126" i="1"/>
  <c r="N2125" i="1"/>
  <c r="J2125" i="1"/>
  <c r="N2124" i="1"/>
  <c r="J2124" i="1"/>
  <c r="N2123" i="1"/>
  <c r="J2123" i="1"/>
  <c r="N2122" i="1"/>
  <c r="J2122" i="1"/>
  <c r="N2121" i="1"/>
  <c r="J2121" i="1"/>
  <c r="N2120" i="1"/>
  <c r="J2120" i="1"/>
  <c r="N2119" i="1"/>
  <c r="J2119" i="1"/>
  <c r="N2118" i="1"/>
  <c r="J2118" i="1"/>
  <c r="N2117" i="1"/>
  <c r="J2117" i="1"/>
  <c r="N2116" i="1"/>
  <c r="J2116" i="1"/>
  <c r="N2115" i="1"/>
  <c r="J2115" i="1"/>
  <c r="N2114" i="1"/>
  <c r="J2114" i="1"/>
  <c r="N2113" i="1"/>
  <c r="J2113" i="1"/>
  <c r="N2112" i="1"/>
  <c r="J2112" i="1"/>
  <c r="N2111" i="1"/>
  <c r="J2111" i="1"/>
  <c r="N2110" i="1"/>
  <c r="J2110" i="1"/>
  <c r="N2109" i="1"/>
  <c r="J2109" i="1"/>
  <c r="N2108" i="1"/>
  <c r="J2108" i="1"/>
  <c r="N2107" i="1"/>
  <c r="J2107" i="1"/>
  <c r="N2106" i="1"/>
  <c r="J2106" i="1"/>
  <c r="N2105" i="1"/>
  <c r="J2105" i="1"/>
  <c r="N2104" i="1"/>
  <c r="J2104" i="1"/>
  <c r="N2103" i="1"/>
  <c r="J2103" i="1"/>
  <c r="N2102" i="1"/>
  <c r="J2102" i="1"/>
  <c r="N2101" i="1"/>
  <c r="J2101" i="1"/>
  <c r="N2100" i="1"/>
  <c r="J2100" i="1"/>
  <c r="N2099" i="1"/>
  <c r="J2099" i="1"/>
  <c r="N2098" i="1"/>
  <c r="J2098" i="1"/>
  <c r="N2097" i="1"/>
  <c r="J2097" i="1"/>
  <c r="N2096" i="1"/>
  <c r="J2096" i="1"/>
  <c r="N2095" i="1"/>
  <c r="J2095" i="1"/>
  <c r="N2094" i="1"/>
  <c r="J2094" i="1"/>
  <c r="N2093" i="1"/>
  <c r="J2093" i="1"/>
  <c r="N2092" i="1"/>
  <c r="J2092" i="1"/>
  <c r="N2091" i="1"/>
  <c r="J2091" i="1"/>
  <c r="N2090" i="1"/>
  <c r="J2090" i="1"/>
  <c r="N2089" i="1"/>
  <c r="J2089" i="1"/>
  <c r="N2088" i="1"/>
  <c r="J2088" i="1"/>
  <c r="N2087" i="1"/>
  <c r="J2087" i="1"/>
  <c r="N2086" i="1"/>
  <c r="J2086" i="1"/>
  <c r="N2085" i="1"/>
  <c r="J2085" i="1"/>
  <c r="N2084" i="1"/>
  <c r="J2084" i="1"/>
  <c r="N2083" i="1"/>
  <c r="J2083" i="1"/>
  <c r="N2082" i="1"/>
  <c r="J2082" i="1"/>
  <c r="N2081" i="1"/>
  <c r="J2081" i="1"/>
  <c r="N2080" i="1"/>
  <c r="J2080" i="1"/>
  <c r="N2079" i="1"/>
  <c r="J2079" i="1"/>
  <c r="N2078" i="1"/>
  <c r="J2078" i="1"/>
  <c r="N2077" i="1"/>
  <c r="J2077" i="1"/>
  <c r="N2076" i="1"/>
  <c r="J2076" i="1"/>
  <c r="N2075" i="1"/>
  <c r="J2075" i="1"/>
  <c r="N2074" i="1"/>
  <c r="J2074" i="1"/>
  <c r="N2073" i="1"/>
  <c r="J2073" i="1"/>
  <c r="N2072" i="1"/>
  <c r="J2072" i="1"/>
  <c r="N2071" i="1"/>
  <c r="J2071" i="1"/>
  <c r="N2070" i="1"/>
  <c r="J2070" i="1"/>
  <c r="N2069" i="1"/>
  <c r="J2069" i="1"/>
  <c r="N2068" i="1"/>
  <c r="J2068" i="1"/>
  <c r="N2067" i="1"/>
  <c r="J2067" i="1"/>
  <c r="N2066" i="1"/>
  <c r="J2066" i="1"/>
  <c r="N2065" i="1"/>
  <c r="J2065" i="1"/>
  <c r="N2064" i="1"/>
  <c r="J2064" i="1"/>
  <c r="N2063" i="1"/>
  <c r="J2063" i="1"/>
  <c r="N2062" i="1"/>
  <c r="J2062" i="1"/>
  <c r="N2061" i="1"/>
  <c r="J2061" i="1"/>
  <c r="N2060" i="1"/>
  <c r="J2060" i="1"/>
  <c r="N2059" i="1"/>
  <c r="J2059" i="1"/>
  <c r="N2058" i="1"/>
  <c r="J2058" i="1"/>
  <c r="N2057" i="1"/>
  <c r="J2057" i="1"/>
  <c r="N2056" i="1"/>
  <c r="J2056" i="1"/>
  <c r="N2055" i="1"/>
  <c r="J2055" i="1"/>
  <c r="N2054" i="1"/>
  <c r="J2054" i="1"/>
  <c r="N2053" i="1"/>
  <c r="J2053" i="1"/>
  <c r="N2052" i="1"/>
  <c r="J2052" i="1"/>
  <c r="N2051" i="1"/>
  <c r="J2051" i="1"/>
  <c r="N2050" i="1"/>
  <c r="J2050" i="1"/>
  <c r="N2049" i="1"/>
  <c r="J2049" i="1"/>
  <c r="N2048" i="1"/>
  <c r="J2048" i="1"/>
  <c r="N2047" i="1"/>
  <c r="J2047" i="1"/>
  <c r="N2046" i="1"/>
  <c r="J2046" i="1"/>
  <c r="N2045" i="1"/>
  <c r="J2045" i="1"/>
  <c r="N2044" i="1"/>
  <c r="J2044" i="1"/>
  <c r="N2043" i="1"/>
  <c r="J2043" i="1"/>
  <c r="N2042" i="1"/>
  <c r="J2042" i="1"/>
  <c r="N2041" i="1"/>
  <c r="J2041" i="1"/>
  <c r="N2040" i="1"/>
  <c r="J2040" i="1"/>
  <c r="N2039" i="1"/>
  <c r="J2039" i="1"/>
  <c r="N2038" i="1"/>
  <c r="J2038" i="1"/>
  <c r="N2037" i="1"/>
  <c r="J2037" i="1"/>
  <c r="N2036" i="1"/>
  <c r="J2036" i="1"/>
  <c r="N2035" i="1"/>
  <c r="J2035" i="1"/>
  <c r="N2034" i="1"/>
  <c r="J2034" i="1"/>
  <c r="N2033" i="1"/>
  <c r="J2033" i="1"/>
  <c r="N2032" i="1"/>
  <c r="J2032" i="1"/>
  <c r="N2031" i="1"/>
  <c r="J2031" i="1"/>
  <c r="N2030" i="1"/>
  <c r="J2030" i="1"/>
  <c r="N2029" i="1"/>
  <c r="J2029" i="1"/>
  <c r="N2028" i="1"/>
  <c r="J2028" i="1"/>
  <c r="N2027" i="1"/>
  <c r="J2027" i="1"/>
  <c r="N2026" i="1"/>
  <c r="J2026" i="1"/>
  <c r="N2025" i="1"/>
  <c r="J2025" i="1"/>
  <c r="N2024" i="1"/>
  <c r="J2024" i="1"/>
  <c r="N2023" i="1"/>
  <c r="J2023" i="1"/>
  <c r="N2022" i="1"/>
  <c r="J2022" i="1"/>
  <c r="N2021" i="1"/>
  <c r="J2021" i="1"/>
  <c r="N2020" i="1"/>
  <c r="J2020" i="1"/>
  <c r="N2019" i="1"/>
  <c r="J2019" i="1"/>
  <c r="N2018" i="1"/>
  <c r="J2018" i="1"/>
  <c r="N2017" i="1"/>
  <c r="J2017" i="1"/>
  <c r="N2016" i="1"/>
  <c r="J2016" i="1"/>
  <c r="N2015" i="1"/>
  <c r="J2015" i="1"/>
  <c r="N2014" i="1"/>
  <c r="J2014" i="1"/>
  <c r="N2013" i="1"/>
  <c r="J2013" i="1"/>
  <c r="N2012" i="1"/>
  <c r="J2012" i="1"/>
  <c r="N2011" i="1"/>
  <c r="J2011" i="1"/>
  <c r="N2010" i="1"/>
  <c r="J2010" i="1"/>
  <c r="N2009" i="1"/>
  <c r="J2009" i="1"/>
  <c r="N2008" i="1"/>
  <c r="J2008" i="1"/>
  <c r="N2007" i="1"/>
  <c r="J2007" i="1"/>
  <c r="N2006" i="1"/>
  <c r="J2006" i="1"/>
  <c r="N2005" i="1"/>
  <c r="J2005" i="1"/>
  <c r="N2004" i="1"/>
  <c r="J2004" i="1"/>
  <c r="N2003" i="1"/>
  <c r="J2003" i="1"/>
  <c r="N2002" i="1"/>
  <c r="J2002" i="1"/>
  <c r="N2001" i="1"/>
  <c r="J2001" i="1"/>
  <c r="N2000" i="1"/>
  <c r="J2000" i="1"/>
  <c r="N1999" i="1"/>
  <c r="J1999" i="1"/>
  <c r="N1998" i="1"/>
  <c r="J1998" i="1"/>
  <c r="N1997" i="1"/>
  <c r="J1997" i="1"/>
  <c r="N1996" i="1"/>
  <c r="J1996" i="1"/>
  <c r="N1995" i="1"/>
  <c r="J1995" i="1"/>
  <c r="N1994" i="1"/>
  <c r="J1994" i="1"/>
  <c r="N1993" i="1"/>
  <c r="J1993" i="1"/>
  <c r="N1992" i="1"/>
  <c r="J1992" i="1"/>
  <c r="N1991" i="1"/>
  <c r="J1991" i="1"/>
  <c r="N1990" i="1"/>
  <c r="J1990" i="1"/>
  <c r="N1989" i="1"/>
  <c r="J1989" i="1"/>
  <c r="N1988" i="1"/>
  <c r="J1988" i="1"/>
  <c r="N1987" i="1"/>
  <c r="J1987" i="1"/>
  <c r="N1986" i="1"/>
  <c r="J1986" i="1"/>
  <c r="N1985" i="1"/>
  <c r="J1985" i="1"/>
  <c r="N1984" i="1"/>
  <c r="J1984" i="1"/>
  <c r="N1983" i="1"/>
  <c r="J1983" i="1"/>
  <c r="N1982" i="1"/>
  <c r="J1982" i="1"/>
  <c r="N1981" i="1"/>
  <c r="J1981" i="1"/>
  <c r="N1980" i="1"/>
  <c r="J1980" i="1"/>
  <c r="N1979" i="1"/>
  <c r="J1979" i="1"/>
  <c r="N1978" i="1"/>
  <c r="J1978" i="1"/>
  <c r="N1977" i="1"/>
  <c r="J1977" i="1"/>
  <c r="N1976" i="1"/>
  <c r="J1976" i="1"/>
  <c r="N1975" i="1"/>
  <c r="J1975" i="1"/>
  <c r="N1974" i="1"/>
  <c r="J1974" i="1"/>
  <c r="N1973" i="1"/>
  <c r="J1973" i="1"/>
  <c r="N1972" i="1"/>
  <c r="J1972" i="1"/>
  <c r="N1971" i="1"/>
  <c r="J1971" i="1"/>
  <c r="N1970" i="1"/>
  <c r="J1970" i="1"/>
  <c r="N1969" i="1"/>
  <c r="J1969" i="1"/>
  <c r="N1968" i="1"/>
  <c r="J1968" i="1"/>
  <c r="N1967" i="1"/>
  <c r="J1967" i="1"/>
  <c r="N1966" i="1"/>
  <c r="J1966" i="1"/>
  <c r="N1965" i="1"/>
  <c r="J1965" i="1"/>
  <c r="N1964" i="1"/>
  <c r="J1964" i="1"/>
  <c r="N1963" i="1"/>
  <c r="J1963" i="1"/>
  <c r="N1962" i="1"/>
  <c r="J1962" i="1"/>
  <c r="N1961" i="1"/>
  <c r="J1961" i="1"/>
  <c r="N1960" i="1"/>
  <c r="J1960" i="1"/>
  <c r="N1959" i="1"/>
  <c r="J1959" i="1"/>
  <c r="N1958" i="1"/>
  <c r="J1958" i="1"/>
  <c r="N1957" i="1"/>
  <c r="J1957" i="1"/>
  <c r="N1956" i="1"/>
  <c r="J1956" i="1"/>
  <c r="N1955" i="1"/>
  <c r="J1955" i="1"/>
  <c r="N1954" i="1"/>
  <c r="J1954" i="1"/>
  <c r="N1953" i="1"/>
  <c r="J1953" i="1"/>
  <c r="N1952" i="1"/>
  <c r="J1952" i="1"/>
  <c r="N1951" i="1"/>
  <c r="J1951" i="1"/>
  <c r="N1950" i="1"/>
  <c r="J1950" i="1"/>
  <c r="N1949" i="1"/>
  <c r="J1949" i="1"/>
  <c r="N1948" i="1"/>
  <c r="J1948" i="1"/>
  <c r="N1947" i="1"/>
  <c r="J1947" i="1"/>
  <c r="N1946" i="1"/>
  <c r="J1946" i="1"/>
  <c r="N1945" i="1"/>
  <c r="J1945" i="1"/>
  <c r="N1944" i="1"/>
  <c r="J1944" i="1"/>
  <c r="N1943" i="1"/>
  <c r="J1943" i="1"/>
  <c r="N1942" i="1"/>
  <c r="J1942" i="1"/>
  <c r="N1941" i="1"/>
  <c r="J1941" i="1"/>
  <c r="N1940" i="1"/>
  <c r="J1940" i="1"/>
  <c r="N1939" i="1"/>
  <c r="J1939" i="1"/>
  <c r="N1938" i="1"/>
  <c r="J1938" i="1"/>
  <c r="N1937" i="1"/>
  <c r="J1937" i="1"/>
  <c r="N1936" i="1"/>
  <c r="J1936" i="1"/>
  <c r="N1935" i="1"/>
  <c r="J1935" i="1"/>
  <c r="N1934" i="1"/>
  <c r="J1934" i="1"/>
  <c r="N1933" i="1"/>
  <c r="J1933" i="1"/>
  <c r="N1932" i="1"/>
  <c r="J1932" i="1"/>
  <c r="N1931" i="1"/>
  <c r="J1931" i="1"/>
  <c r="N1930" i="1"/>
  <c r="J1930" i="1"/>
  <c r="N1929" i="1"/>
  <c r="J1929" i="1"/>
  <c r="N1928" i="1"/>
  <c r="J1928" i="1"/>
  <c r="N1927" i="1"/>
  <c r="J1927" i="1"/>
  <c r="N1926" i="1"/>
  <c r="J1926" i="1"/>
  <c r="N1925" i="1"/>
  <c r="J1925" i="1"/>
  <c r="N1924" i="1"/>
  <c r="J1924" i="1"/>
  <c r="N1923" i="1"/>
  <c r="J1923" i="1"/>
  <c r="N1922" i="1"/>
  <c r="J1922" i="1"/>
  <c r="N1921" i="1"/>
  <c r="J1921" i="1"/>
  <c r="N1920" i="1"/>
  <c r="J1920" i="1"/>
  <c r="N1919" i="1"/>
  <c r="J1919" i="1"/>
  <c r="N1918" i="1"/>
  <c r="J1918" i="1"/>
  <c r="N1917" i="1"/>
  <c r="J1917" i="1"/>
  <c r="N1916" i="1"/>
  <c r="J1916" i="1"/>
  <c r="N1915" i="1"/>
  <c r="J1915" i="1"/>
  <c r="N1914" i="1"/>
  <c r="J1914" i="1"/>
  <c r="N1913" i="1"/>
  <c r="J1913" i="1"/>
  <c r="N1912" i="1"/>
  <c r="J1912" i="1"/>
  <c r="N1911" i="1"/>
  <c r="J1911" i="1"/>
  <c r="N1910" i="1"/>
  <c r="J1910" i="1"/>
  <c r="N1909" i="1"/>
  <c r="J1909" i="1"/>
  <c r="N1908" i="1"/>
  <c r="J1908" i="1"/>
  <c r="N1907" i="1"/>
  <c r="J1907" i="1"/>
  <c r="N1906" i="1"/>
  <c r="J1906" i="1"/>
  <c r="N1905" i="1"/>
  <c r="J1905" i="1"/>
  <c r="N1904" i="1"/>
  <c r="J1904" i="1"/>
  <c r="N1903" i="1"/>
  <c r="J1903" i="1"/>
  <c r="N1902" i="1"/>
  <c r="J1902" i="1"/>
  <c r="N1901" i="1"/>
  <c r="J1901" i="1"/>
  <c r="N1900" i="1"/>
  <c r="J1900" i="1"/>
  <c r="N1899" i="1"/>
  <c r="J1899" i="1"/>
  <c r="N1898" i="1"/>
  <c r="J1898" i="1"/>
  <c r="N1897" i="1"/>
  <c r="J1897" i="1"/>
  <c r="N1896" i="1"/>
  <c r="J1896" i="1"/>
  <c r="N1895" i="1"/>
  <c r="J1895" i="1"/>
  <c r="N1894" i="1"/>
  <c r="J1894" i="1"/>
  <c r="N1893" i="1"/>
  <c r="J1893" i="1"/>
  <c r="N1892" i="1"/>
  <c r="J1892" i="1"/>
  <c r="N1891" i="1"/>
  <c r="J1891" i="1"/>
  <c r="N1890" i="1"/>
  <c r="J1890" i="1"/>
  <c r="N1889" i="1"/>
  <c r="J1889" i="1"/>
  <c r="N1888" i="1"/>
  <c r="J1888" i="1"/>
  <c r="N1887" i="1"/>
  <c r="J1887" i="1"/>
  <c r="N1886" i="1"/>
  <c r="J1886" i="1"/>
  <c r="N1885" i="1"/>
  <c r="J1885" i="1"/>
  <c r="N1884" i="1"/>
  <c r="J1884" i="1"/>
  <c r="N1883" i="1"/>
  <c r="J1883" i="1"/>
  <c r="N1882" i="1"/>
  <c r="J1882" i="1"/>
  <c r="N1881" i="1"/>
  <c r="J1881" i="1"/>
  <c r="N1880" i="1"/>
  <c r="J1880" i="1"/>
  <c r="N1879" i="1"/>
  <c r="J1879" i="1"/>
  <c r="N1878" i="1"/>
  <c r="J1878" i="1"/>
  <c r="N1877" i="1"/>
  <c r="J1877" i="1"/>
  <c r="N1876" i="1"/>
  <c r="J1876" i="1"/>
  <c r="N1875" i="1"/>
  <c r="J1875" i="1"/>
  <c r="N1874" i="1"/>
  <c r="J1874" i="1"/>
  <c r="N1873" i="1"/>
  <c r="J1873" i="1"/>
  <c r="N1872" i="1"/>
  <c r="J1872" i="1"/>
  <c r="N1871" i="1"/>
  <c r="J1871" i="1"/>
  <c r="N1870" i="1"/>
  <c r="J1870" i="1"/>
  <c r="N1869" i="1"/>
  <c r="J1869" i="1"/>
  <c r="N1868" i="1"/>
  <c r="J1868" i="1"/>
  <c r="N1867" i="1"/>
  <c r="J1867" i="1"/>
  <c r="N1866" i="1"/>
  <c r="J1866" i="1"/>
  <c r="N1865" i="1"/>
  <c r="J1865" i="1"/>
  <c r="N1864" i="1"/>
  <c r="J1864" i="1"/>
  <c r="N1863" i="1"/>
  <c r="J1863" i="1"/>
  <c r="N1862" i="1"/>
  <c r="J1862" i="1"/>
  <c r="N1861" i="1"/>
  <c r="J1861" i="1"/>
  <c r="N1860" i="1"/>
  <c r="J1860" i="1"/>
  <c r="N1859" i="1"/>
  <c r="J1859" i="1"/>
  <c r="N1858" i="1"/>
  <c r="J1858" i="1"/>
  <c r="N1857" i="1"/>
  <c r="J1857" i="1"/>
  <c r="N1856" i="1"/>
  <c r="J1856" i="1"/>
  <c r="N1855" i="1"/>
  <c r="J1855" i="1"/>
  <c r="N1854" i="1"/>
  <c r="J1854" i="1"/>
  <c r="N1853" i="1"/>
  <c r="J1853" i="1"/>
  <c r="N1852" i="1"/>
  <c r="J1852" i="1"/>
  <c r="N1851" i="1"/>
  <c r="J1851" i="1"/>
  <c r="N1850" i="1"/>
  <c r="J1850" i="1"/>
  <c r="N1849" i="1"/>
  <c r="J1849" i="1"/>
  <c r="N1848" i="1"/>
  <c r="J1848" i="1"/>
  <c r="N1847" i="1"/>
  <c r="J1847" i="1"/>
  <c r="N1846" i="1"/>
  <c r="J1846" i="1"/>
  <c r="N1845" i="1"/>
  <c r="J1845" i="1"/>
  <c r="N1844" i="1"/>
  <c r="J1844" i="1"/>
  <c r="N1843" i="1"/>
  <c r="J1843" i="1"/>
  <c r="N1842" i="1"/>
  <c r="J1842" i="1"/>
  <c r="N1841" i="1"/>
  <c r="J1841" i="1"/>
  <c r="N1840" i="1"/>
  <c r="J1840" i="1"/>
  <c r="N1839" i="1"/>
  <c r="J1839" i="1"/>
  <c r="N1838" i="1"/>
  <c r="J1838" i="1"/>
  <c r="N1837" i="1"/>
  <c r="J1837" i="1"/>
  <c r="N1836" i="1"/>
  <c r="J1836" i="1"/>
  <c r="N1835" i="1"/>
  <c r="J1835" i="1"/>
  <c r="N1834" i="1"/>
  <c r="J1834" i="1"/>
  <c r="N1833" i="1"/>
  <c r="J1833" i="1"/>
  <c r="N1832" i="1"/>
  <c r="J1832" i="1"/>
  <c r="N1831" i="1"/>
  <c r="J1831" i="1"/>
  <c r="N1830" i="1"/>
  <c r="J1830" i="1"/>
  <c r="N1829" i="1"/>
  <c r="J1829" i="1"/>
  <c r="N1828" i="1"/>
  <c r="J1828" i="1"/>
  <c r="N1827" i="1"/>
  <c r="J1827" i="1"/>
  <c r="N1826" i="1"/>
  <c r="J1826" i="1"/>
  <c r="N1825" i="1"/>
  <c r="J1825" i="1"/>
  <c r="N1824" i="1"/>
  <c r="J1824" i="1"/>
  <c r="N1823" i="1"/>
  <c r="J1823" i="1"/>
  <c r="N1822" i="1"/>
  <c r="J1822" i="1"/>
  <c r="N1821" i="1"/>
  <c r="J1821" i="1"/>
  <c r="N1820" i="1"/>
  <c r="J1820" i="1"/>
  <c r="N1819" i="1"/>
  <c r="J1819" i="1"/>
  <c r="N1818" i="1"/>
  <c r="J1818" i="1"/>
  <c r="N1817" i="1"/>
  <c r="J1817" i="1"/>
  <c r="N1816" i="1"/>
  <c r="J1816" i="1"/>
  <c r="N1815" i="1"/>
  <c r="J1815" i="1"/>
  <c r="N1814" i="1"/>
  <c r="J1814" i="1"/>
  <c r="N1813" i="1"/>
  <c r="J1813" i="1"/>
  <c r="N1812" i="1"/>
  <c r="J1812" i="1"/>
  <c r="N1811" i="1"/>
  <c r="J1811" i="1"/>
  <c r="N1810" i="1"/>
  <c r="J1810" i="1"/>
  <c r="N1809" i="1"/>
  <c r="J1809" i="1"/>
  <c r="N1808" i="1"/>
  <c r="J1808" i="1"/>
  <c r="N1807" i="1"/>
  <c r="J1807" i="1"/>
  <c r="N1806" i="1"/>
  <c r="J1806" i="1"/>
  <c r="N1805" i="1"/>
  <c r="J1805" i="1"/>
  <c r="N1804" i="1"/>
  <c r="J1804" i="1"/>
  <c r="N1803" i="1"/>
  <c r="J1803" i="1"/>
  <c r="N1802" i="1"/>
  <c r="J1802" i="1"/>
  <c r="N1801" i="1"/>
  <c r="J1801" i="1"/>
  <c r="N1800" i="1"/>
  <c r="J1800" i="1"/>
  <c r="N1799" i="1"/>
  <c r="J1799" i="1"/>
  <c r="N1798" i="1"/>
  <c r="J1798" i="1"/>
  <c r="N1797" i="1"/>
  <c r="J1797" i="1"/>
  <c r="N1796" i="1"/>
  <c r="J1796" i="1"/>
  <c r="N1795" i="1"/>
  <c r="J1795" i="1"/>
  <c r="N1794" i="1"/>
  <c r="J1794" i="1"/>
  <c r="N1793" i="1"/>
  <c r="J1793" i="1"/>
  <c r="N1792" i="1"/>
  <c r="J1792" i="1"/>
  <c r="N1791" i="1"/>
  <c r="J1791" i="1"/>
  <c r="N1790" i="1"/>
  <c r="J1790" i="1"/>
  <c r="N1789" i="1"/>
  <c r="J1789" i="1"/>
  <c r="N1788" i="1"/>
  <c r="J1788" i="1"/>
  <c r="N1787" i="1"/>
  <c r="J1787" i="1"/>
  <c r="N1786" i="1"/>
  <c r="J1786" i="1"/>
  <c r="N1785" i="1"/>
  <c r="J1785" i="1"/>
  <c r="N1784" i="1"/>
  <c r="J1784" i="1"/>
  <c r="N1783" i="1"/>
  <c r="J1783" i="1"/>
  <c r="N1782" i="1"/>
  <c r="J1782" i="1"/>
  <c r="N1781" i="1"/>
  <c r="J1781" i="1"/>
  <c r="N1780" i="1"/>
  <c r="J1780" i="1"/>
  <c r="N1779" i="1"/>
  <c r="J1779" i="1"/>
  <c r="N1778" i="1"/>
  <c r="J1778" i="1"/>
  <c r="N1777" i="1"/>
  <c r="J1777" i="1"/>
  <c r="N1776" i="1"/>
  <c r="J1776" i="1"/>
  <c r="N1775" i="1"/>
  <c r="J1775" i="1"/>
  <c r="N1774" i="1"/>
  <c r="J1774" i="1"/>
  <c r="N1773" i="1"/>
  <c r="J1773" i="1"/>
  <c r="N1772" i="1"/>
  <c r="J1772" i="1"/>
  <c r="N1771" i="1"/>
  <c r="J1771" i="1"/>
  <c r="N1770" i="1"/>
  <c r="J1770" i="1"/>
  <c r="N1769" i="1"/>
  <c r="J1769" i="1"/>
  <c r="N1768" i="1"/>
  <c r="J1768" i="1"/>
  <c r="N1767" i="1"/>
  <c r="J1767" i="1"/>
  <c r="N1766" i="1"/>
  <c r="J1766" i="1"/>
  <c r="N1765" i="1"/>
  <c r="J1765" i="1"/>
  <c r="N1764" i="1"/>
  <c r="J1764" i="1"/>
  <c r="N1763" i="1"/>
  <c r="J1763" i="1"/>
  <c r="N1762" i="1"/>
  <c r="J1762" i="1"/>
  <c r="N1761" i="1"/>
  <c r="J1761" i="1"/>
  <c r="N1760" i="1"/>
  <c r="J1760" i="1"/>
  <c r="N1759" i="1"/>
  <c r="J1759" i="1"/>
  <c r="N1758" i="1"/>
  <c r="J1758" i="1"/>
  <c r="N1757" i="1"/>
  <c r="J1757" i="1"/>
  <c r="N1756" i="1"/>
  <c r="J1756" i="1"/>
  <c r="N1755" i="1"/>
  <c r="J1755" i="1"/>
  <c r="N1754" i="1"/>
  <c r="J1754" i="1"/>
  <c r="N1753" i="1"/>
  <c r="J1753" i="1"/>
  <c r="N1752" i="1"/>
  <c r="J1752" i="1"/>
  <c r="N1751" i="1"/>
  <c r="J1751" i="1"/>
  <c r="N1750" i="1"/>
  <c r="J1750" i="1"/>
  <c r="N1749" i="1"/>
  <c r="J1749" i="1"/>
  <c r="N1748" i="1"/>
  <c r="J1748" i="1"/>
  <c r="N1747" i="1"/>
  <c r="J1747" i="1"/>
  <c r="N1746" i="1"/>
  <c r="J1746" i="1"/>
  <c r="N1745" i="1"/>
  <c r="J1745" i="1"/>
  <c r="N1744" i="1"/>
  <c r="J1744" i="1"/>
  <c r="N1743" i="1"/>
  <c r="J1743" i="1"/>
  <c r="N1742" i="1"/>
  <c r="J1742" i="1"/>
  <c r="N1741" i="1"/>
  <c r="J1741" i="1"/>
  <c r="N1740" i="1"/>
  <c r="J1740" i="1"/>
  <c r="N1739" i="1"/>
  <c r="J1739" i="1"/>
  <c r="N1738" i="1"/>
  <c r="J1738" i="1"/>
  <c r="N1737" i="1"/>
  <c r="J1737" i="1"/>
  <c r="N1736" i="1"/>
  <c r="J1736" i="1"/>
  <c r="N1735" i="1"/>
  <c r="J1735" i="1"/>
  <c r="N1734" i="1"/>
  <c r="J1734" i="1"/>
  <c r="N1733" i="1"/>
  <c r="J1733" i="1"/>
  <c r="N1732" i="1"/>
  <c r="J1732" i="1"/>
  <c r="N1731" i="1"/>
  <c r="J1731" i="1"/>
  <c r="N1730" i="1"/>
  <c r="J1730" i="1"/>
  <c r="N1729" i="1"/>
  <c r="J1729" i="1"/>
  <c r="N1728" i="1"/>
  <c r="J1728" i="1"/>
  <c r="N1727" i="1"/>
  <c r="J1727" i="1"/>
  <c r="N1726" i="1"/>
  <c r="J1726" i="1"/>
  <c r="N1725" i="1"/>
  <c r="J1725" i="1"/>
  <c r="N1724" i="1"/>
  <c r="J1724" i="1"/>
  <c r="N1723" i="1"/>
  <c r="J1723" i="1"/>
  <c r="N1722" i="1"/>
  <c r="J1722" i="1"/>
  <c r="N1721" i="1"/>
  <c r="J1721" i="1"/>
  <c r="N1720" i="1"/>
  <c r="J1720" i="1"/>
  <c r="N1719" i="1"/>
  <c r="J1719" i="1"/>
  <c r="N1718" i="1"/>
  <c r="J1718" i="1"/>
  <c r="N1717" i="1"/>
  <c r="J1717" i="1"/>
  <c r="N1716" i="1"/>
  <c r="J1716" i="1"/>
  <c r="N1715" i="1"/>
  <c r="J1715" i="1"/>
  <c r="N1714" i="1"/>
  <c r="J1714" i="1"/>
  <c r="N1713" i="1"/>
  <c r="J1713" i="1"/>
  <c r="N1712" i="1"/>
  <c r="J1712" i="1"/>
  <c r="N1711" i="1"/>
  <c r="J1711" i="1"/>
  <c r="N1710" i="1"/>
  <c r="J1710" i="1"/>
  <c r="N1709" i="1"/>
  <c r="J1709" i="1"/>
  <c r="N1708" i="1"/>
  <c r="J1708" i="1"/>
  <c r="N1707" i="1"/>
  <c r="J1707" i="1"/>
  <c r="N1706" i="1"/>
  <c r="J1706" i="1"/>
  <c r="N1705" i="1"/>
  <c r="J1705" i="1"/>
  <c r="N1704" i="1"/>
  <c r="J1704" i="1"/>
  <c r="N1703" i="1"/>
  <c r="J1703" i="1"/>
  <c r="N1702" i="1"/>
  <c r="J1702" i="1"/>
  <c r="N1701" i="1"/>
  <c r="J1701" i="1"/>
  <c r="N1700" i="1"/>
  <c r="J1700" i="1"/>
  <c r="N1699" i="1"/>
  <c r="J1699" i="1"/>
  <c r="N1698" i="1"/>
  <c r="J1698" i="1"/>
  <c r="N1697" i="1"/>
  <c r="J1697" i="1"/>
  <c r="N1696" i="1"/>
  <c r="J1696" i="1"/>
  <c r="N1695" i="1"/>
  <c r="J1695" i="1"/>
  <c r="N1694" i="1"/>
  <c r="J1694" i="1"/>
  <c r="N1693" i="1"/>
  <c r="J1693" i="1"/>
  <c r="N1692" i="1"/>
  <c r="J1692" i="1"/>
  <c r="N1691" i="1"/>
  <c r="J1691" i="1"/>
  <c r="N1690" i="1"/>
  <c r="J1690" i="1"/>
  <c r="N1689" i="1"/>
  <c r="J1689" i="1"/>
  <c r="N1688" i="1"/>
  <c r="J1688" i="1"/>
  <c r="N1687" i="1"/>
  <c r="J1687" i="1"/>
  <c r="N1686" i="1"/>
  <c r="J1686" i="1"/>
  <c r="N1685" i="1"/>
  <c r="J1685" i="1"/>
  <c r="N1684" i="1"/>
  <c r="J1684" i="1"/>
  <c r="N1683" i="1"/>
  <c r="J1683" i="1"/>
  <c r="N1682" i="1"/>
  <c r="J1682" i="1"/>
  <c r="N1681" i="1"/>
  <c r="J1681" i="1"/>
  <c r="N1680" i="1"/>
  <c r="J1680" i="1"/>
  <c r="N1679" i="1"/>
  <c r="J1679" i="1"/>
  <c r="N1678" i="1"/>
  <c r="J1678" i="1"/>
  <c r="N1677" i="1"/>
  <c r="J1677" i="1"/>
  <c r="N1676" i="1"/>
  <c r="J1676" i="1"/>
  <c r="N1675" i="1"/>
  <c r="J1675" i="1"/>
  <c r="N1674" i="1"/>
  <c r="J1674" i="1"/>
  <c r="N1673" i="1"/>
  <c r="J1673" i="1"/>
  <c r="N1672" i="1"/>
  <c r="J1672" i="1"/>
  <c r="N1671" i="1"/>
  <c r="J1671" i="1"/>
  <c r="N1670" i="1"/>
  <c r="J1670" i="1"/>
  <c r="N1669" i="1"/>
  <c r="J1669" i="1"/>
  <c r="N1668" i="1"/>
  <c r="J1668" i="1"/>
  <c r="N1667" i="1"/>
  <c r="J1667" i="1"/>
  <c r="N1666" i="1"/>
  <c r="J1666" i="1"/>
  <c r="N1665" i="1"/>
  <c r="J1665" i="1"/>
  <c r="N1664" i="1"/>
  <c r="J1664" i="1"/>
  <c r="N1663" i="1"/>
  <c r="J1663" i="1"/>
  <c r="N1662" i="1"/>
  <c r="J1662" i="1"/>
  <c r="N1661" i="1"/>
  <c r="J1661" i="1"/>
  <c r="N1660" i="1"/>
  <c r="J1660" i="1"/>
  <c r="N1659" i="1"/>
  <c r="J1659" i="1"/>
  <c r="N1658" i="1"/>
  <c r="J1658" i="1"/>
  <c r="N1657" i="1"/>
  <c r="J1657" i="1"/>
  <c r="N1656" i="1"/>
  <c r="J1656" i="1"/>
  <c r="N1655" i="1"/>
  <c r="J1655" i="1"/>
  <c r="N1654" i="1"/>
  <c r="J1654" i="1"/>
  <c r="N1653" i="1"/>
  <c r="J1653" i="1"/>
  <c r="N1652" i="1"/>
  <c r="J1652" i="1"/>
  <c r="N1651" i="1"/>
  <c r="J1651" i="1"/>
  <c r="N1650" i="1"/>
  <c r="J1650" i="1"/>
  <c r="N1649" i="1"/>
  <c r="J1649" i="1"/>
  <c r="N1648" i="1"/>
  <c r="J1648" i="1"/>
  <c r="N1647" i="1"/>
  <c r="J1647" i="1"/>
  <c r="N1646" i="1"/>
  <c r="J1646" i="1"/>
  <c r="N1645" i="1"/>
  <c r="J1645" i="1"/>
  <c r="N1644" i="1"/>
  <c r="J1644" i="1"/>
  <c r="N1643" i="1"/>
  <c r="J1643" i="1"/>
  <c r="N1642" i="1"/>
  <c r="J1642" i="1"/>
  <c r="N1641" i="1"/>
  <c r="J1641" i="1"/>
  <c r="N1640" i="1"/>
  <c r="J1640" i="1"/>
  <c r="N1639" i="1"/>
  <c r="J1639" i="1"/>
  <c r="N1638" i="1"/>
  <c r="J1638" i="1"/>
  <c r="N1637" i="1"/>
  <c r="J1637" i="1"/>
  <c r="N1636" i="1"/>
  <c r="J1636" i="1"/>
  <c r="N1635" i="1"/>
  <c r="J1635" i="1"/>
  <c r="N1634" i="1"/>
  <c r="J1634" i="1"/>
  <c r="N1633" i="1"/>
  <c r="J1633" i="1"/>
  <c r="N1632" i="1"/>
  <c r="J1632" i="1"/>
  <c r="N1631" i="1"/>
  <c r="J1631" i="1"/>
  <c r="N1630" i="1"/>
  <c r="J1630" i="1"/>
  <c r="N1629" i="1"/>
  <c r="J1629" i="1"/>
  <c r="N1628" i="1"/>
  <c r="J1628" i="1"/>
  <c r="N1627" i="1"/>
  <c r="J1627" i="1"/>
  <c r="N1626" i="1"/>
  <c r="J1626" i="1"/>
  <c r="N1625" i="1"/>
  <c r="J1625" i="1"/>
  <c r="N1624" i="1"/>
  <c r="J1624" i="1"/>
  <c r="N1623" i="1"/>
  <c r="J1623" i="1"/>
  <c r="N1622" i="1"/>
  <c r="J1622" i="1"/>
  <c r="N1621" i="1"/>
  <c r="J1621" i="1"/>
  <c r="N1620" i="1"/>
  <c r="J1620" i="1"/>
  <c r="N1619" i="1"/>
  <c r="J1619" i="1"/>
  <c r="N1618" i="1"/>
  <c r="J1618" i="1"/>
  <c r="N1617" i="1"/>
  <c r="J1617" i="1"/>
  <c r="N1616" i="1"/>
  <c r="J1616" i="1"/>
  <c r="N1615" i="1"/>
  <c r="J1615" i="1"/>
  <c r="N1614" i="1"/>
  <c r="J1614" i="1"/>
  <c r="N1613" i="1"/>
  <c r="J1613" i="1"/>
  <c r="N1612" i="1"/>
  <c r="J1612" i="1"/>
  <c r="N1611" i="1"/>
  <c r="J1611" i="1"/>
  <c r="N1610" i="1"/>
  <c r="J1610" i="1"/>
  <c r="N1609" i="1"/>
  <c r="J1609" i="1"/>
  <c r="N1608" i="1"/>
  <c r="J1608" i="1"/>
  <c r="N1607" i="1"/>
  <c r="J1607" i="1"/>
  <c r="N1606" i="1"/>
  <c r="J1606" i="1"/>
  <c r="N1605" i="1"/>
  <c r="J1605" i="1"/>
  <c r="N1604" i="1"/>
  <c r="J1604" i="1"/>
  <c r="N1603" i="1"/>
  <c r="J1603" i="1"/>
  <c r="N1602" i="1"/>
  <c r="J1602" i="1"/>
  <c r="N1601" i="1"/>
  <c r="J1601" i="1"/>
  <c r="N1600" i="1"/>
  <c r="J1600" i="1"/>
  <c r="N1599" i="1"/>
  <c r="J1599" i="1"/>
  <c r="N1598" i="1"/>
  <c r="J1598" i="1"/>
  <c r="N1597" i="1"/>
  <c r="J1597" i="1"/>
  <c r="N1596" i="1"/>
  <c r="J1596" i="1"/>
  <c r="N1595" i="1"/>
  <c r="J1595" i="1"/>
  <c r="N1594" i="1"/>
  <c r="J1594" i="1"/>
  <c r="N1593" i="1"/>
  <c r="J1593" i="1"/>
  <c r="N1592" i="1"/>
  <c r="J1592" i="1"/>
  <c r="N1591" i="1"/>
  <c r="J1591" i="1"/>
  <c r="N1590" i="1"/>
  <c r="J1590" i="1"/>
  <c r="N1589" i="1"/>
  <c r="J1589" i="1"/>
  <c r="N1588" i="1"/>
  <c r="J1588" i="1"/>
  <c r="N1587" i="1"/>
  <c r="J1587" i="1"/>
  <c r="N1586" i="1"/>
  <c r="J1586" i="1"/>
  <c r="N1585" i="1"/>
  <c r="J1585" i="1"/>
  <c r="N1584" i="1"/>
  <c r="J1584" i="1"/>
  <c r="N1583" i="1"/>
  <c r="J1583" i="1"/>
  <c r="N1582" i="1"/>
  <c r="J1582" i="1"/>
  <c r="N1581" i="1"/>
  <c r="J1581" i="1"/>
  <c r="N1580" i="1"/>
  <c r="J1580" i="1"/>
  <c r="N1579" i="1"/>
  <c r="J1579" i="1"/>
  <c r="N1578" i="1"/>
  <c r="J1578" i="1"/>
  <c r="N1577" i="1"/>
  <c r="J1577" i="1"/>
  <c r="N1576" i="1"/>
  <c r="J1576" i="1"/>
  <c r="N1575" i="1"/>
  <c r="J1575" i="1"/>
  <c r="N1574" i="1"/>
  <c r="J1574" i="1"/>
  <c r="N1573" i="1"/>
  <c r="J1573" i="1"/>
  <c r="N1572" i="1"/>
  <c r="J1572" i="1"/>
  <c r="N1571" i="1"/>
  <c r="J1571" i="1"/>
  <c r="N1570" i="1"/>
  <c r="J1570" i="1"/>
  <c r="N1569" i="1"/>
  <c r="J1569" i="1"/>
  <c r="N1568" i="1"/>
  <c r="J1568" i="1"/>
  <c r="N1567" i="1"/>
  <c r="J1567" i="1"/>
  <c r="N1566" i="1"/>
  <c r="J1566" i="1"/>
  <c r="N1565" i="1"/>
  <c r="J1565" i="1"/>
  <c r="N1564" i="1"/>
  <c r="J1564" i="1"/>
  <c r="N1563" i="1"/>
  <c r="J1563" i="1"/>
  <c r="N1562" i="1"/>
  <c r="J1562" i="1"/>
  <c r="N1561" i="1"/>
  <c r="J1561" i="1"/>
  <c r="N1560" i="1"/>
  <c r="J1560" i="1"/>
  <c r="N1559" i="1"/>
  <c r="J1559" i="1"/>
  <c r="N1558" i="1"/>
  <c r="J1558" i="1"/>
  <c r="N1557" i="1"/>
  <c r="J1557" i="1"/>
  <c r="N1556" i="1"/>
  <c r="J1556" i="1"/>
  <c r="N1555" i="1"/>
  <c r="J1555" i="1"/>
  <c r="N1554" i="1"/>
  <c r="J1554" i="1"/>
  <c r="N1553" i="1"/>
  <c r="J1553" i="1"/>
  <c r="N1552" i="1"/>
  <c r="J1552" i="1"/>
  <c r="N1551" i="1"/>
  <c r="J1551" i="1"/>
  <c r="N1550" i="1"/>
  <c r="J1550" i="1"/>
  <c r="N1549" i="1"/>
  <c r="J1549" i="1"/>
  <c r="N1548" i="1"/>
  <c r="J1548" i="1"/>
  <c r="N1547" i="1"/>
  <c r="J1547" i="1"/>
  <c r="N1546" i="1"/>
  <c r="J1546" i="1"/>
  <c r="N1545" i="1"/>
  <c r="J1545" i="1"/>
  <c r="N1544" i="1"/>
  <c r="J1544" i="1"/>
  <c r="N1543" i="1"/>
  <c r="J1543" i="1"/>
  <c r="N1542" i="1"/>
  <c r="J1542" i="1"/>
  <c r="N1541" i="1"/>
  <c r="J1541" i="1"/>
  <c r="N1540" i="1"/>
  <c r="J1540" i="1"/>
  <c r="N1539" i="1"/>
  <c r="J1539" i="1"/>
  <c r="N1538" i="1"/>
  <c r="J1538" i="1"/>
  <c r="N1537" i="1"/>
  <c r="J1537" i="1"/>
  <c r="N1536" i="1"/>
  <c r="J1536" i="1"/>
  <c r="N1535" i="1"/>
  <c r="J1535" i="1"/>
  <c r="N1534" i="1"/>
  <c r="J1534" i="1"/>
  <c r="N1533" i="1"/>
  <c r="J1533" i="1"/>
  <c r="N1532" i="1"/>
  <c r="J1532" i="1"/>
  <c r="N1531" i="1"/>
  <c r="J1531" i="1"/>
  <c r="N1530" i="1"/>
  <c r="J1530" i="1"/>
  <c r="N1529" i="1"/>
  <c r="J1529" i="1"/>
  <c r="N1528" i="1"/>
  <c r="J1528" i="1"/>
  <c r="N1527" i="1"/>
  <c r="J1527" i="1"/>
  <c r="N1526" i="1"/>
  <c r="J1526" i="1"/>
  <c r="N1525" i="1"/>
  <c r="J1525" i="1"/>
  <c r="N1524" i="1"/>
  <c r="J1524" i="1"/>
  <c r="N1523" i="1"/>
  <c r="J1523" i="1"/>
  <c r="N1522" i="1"/>
  <c r="J1522" i="1"/>
  <c r="N1521" i="1"/>
  <c r="J1521" i="1"/>
  <c r="N1520" i="1"/>
  <c r="J1520" i="1"/>
  <c r="N1519" i="1"/>
  <c r="J1519" i="1"/>
  <c r="N1518" i="1"/>
  <c r="J1518" i="1"/>
  <c r="N1517" i="1"/>
  <c r="J1517" i="1"/>
  <c r="N1516" i="1"/>
  <c r="J1516" i="1"/>
  <c r="N1515" i="1"/>
  <c r="J1515" i="1"/>
  <c r="N1514" i="1"/>
  <c r="J1514" i="1"/>
  <c r="N1513" i="1"/>
  <c r="J1513" i="1"/>
  <c r="N1512" i="1"/>
  <c r="J1512" i="1"/>
  <c r="N1511" i="1"/>
  <c r="J1511" i="1"/>
  <c r="N1510" i="1"/>
  <c r="J1510" i="1"/>
  <c r="N1509" i="1"/>
  <c r="J1509" i="1"/>
  <c r="N1508" i="1"/>
  <c r="J1508" i="1"/>
  <c r="N1507" i="1"/>
  <c r="J1507" i="1"/>
  <c r="N1506" i="1"/>
  <c r="J1506" i="1"/>
  <c r="N1505" i="1"/>
  <c r="J1505" i="1"/>
  <c r="N1504" i="1"/>
  <c r="J1504" i="1"/>
  <c r="N1503" i="1"/>
  <c r="J1503" i="1"/>
  <c r="N1502" i="1"/>
  <c r="J1502" i="1"/>
  <c r="N1501" i="1"/>
  <c r="J1501" i="1"/>
  <c r="N1500" i="1"/>
  <c r="J1500" i="1"/>
  <c r="N1499" i="1"/>
  <c r="J1499" i="1"/>
  <c r="N1498" i="1"/>
  <c r="J1498" i="1"/>
  <c r="N1497" i="1"/>
  <c r="J1497" i="1"/>
  <c r="N1496" i="1"/>
  <c r="J1496" i="1"/>
  <c r="N1495" i="1"/>
  <c r="J1495" i="1"/>
  <c r="N1494" i="1"/>
  <c r="J1494" i="1"/>
  <c r="N1493" i="1"/>
  <c r="J1493" i="1"/>
  <c r="N1492" i="1"/>
  <c r="J1492" i="1"/>
  <c r="N1491" i="1"/>
  <c r="J1491" i="1"/>
  <c r="N1490" i="1"/>
  <c r="J1490" i="1"/>
  <c r="N1489" i="1"/>
  <c r="J1489" i="1"/>
  <c r="N1488" i="1"/>
  <c r="J1488" i="1"/>
  <c r="N1487" i="1"/>
  <c r="J1487" i="1"/>
  <c r="N1486" i="1"/>
  <c r="J1486" i="1"/>
  <c r="N1485" i="1"/>
  <c r="J1485" i="1"/>
  <c r="N1484" i="1"/>
  <c r="J1484" i="1"/>
  <c r="N1483" i="1"/>
  <c r="J1483" i="1"/>
  <c r="N1482" i="1"/>
  <c r="J1482" i="1"/>
  <c r="N1481" i="1"/>
  <c r="J1481" i="1"/>
  <c r="N1480" i="1"/>
  <c r="J1480" i="1"/>
  <c r="N1479" i="1"/>
  <c r="J1479" i="1"/>
  <c r="N1478" i="1"/>
  <c r="J1478" i="1"/>
  <c r="N1477" i="1"/>
  <c r="J1477" i="1"/>
  <c r="N1476" i="1"/>
  <c r="J1476" i="1"/>
  <c r="N1475" i="1"/>
  <c r="J1475" i="1"/>
  <c r="N1474" i="1"/>
  <c r="J1474" i="1"/>
  <c r="N1473" i="1"/>
  <c r="J1473" i="1"/>
  <c r="N1472" i="1"/>
  <c r="J1472" i="1"/>
  <c r="N1471" i="1"/>
  <c r="J1471" i="1"/>
  <c r="N1470" i="1"/>
  <c r="J1470" i="1"/>
  <c r="N1469" i="1"/>
  <c r="J1469" i="1"/>
  <c r="N1468" i="1"/>
  <c r="J1468" i="1"/>
  <c r="N1467" i="1"/>
  <c r="J1467" i="1"/>
  <c r="N1466" i="1"/>
  <c r="J1466" i="1"/>
  <c r="N1465" i="1"/>
  <c r="J1465" i="1"/>
  <c r="N1464" i="1"/>
  <c r="J1464" i="1"/>
  <c r="N1463" i="1"/>
  <c r="J1463" i="1"/>
  <c r="N1462" i="1"/>
  <c r="J1462" i="1"/>
  <c r="N1461" i="1"/>
  <c r="J1461" i="1"/>
  <c r="N1460" i="1"/>
  <c r="J1460" i="1"/>
  <c r="N1459" i="1"/>
  <c r="J1459" i="1"/>
  <c r="N1458" i="1"/>
  <c r="J1458" i="1"/>
  <c r="N1457" i="1"/>
  <c r="J1457" i="1"/>
  <c r="N1456" i="1"/>
  <c r="J1456" i="1"/>
  <c r="N1455" i="1"/>
  <c r="J1455" i="1"/>
  <c r="N1454" i="1"/>
  <c r="J1454" i="1"/>
  <c r="N1453" i="1"/>
  <c r="J1453" i="1"/>
  <c r="N1452" i="1"/>
  <c r="J1452" i="1"/>
  <c r="N1451" i="1"/>
  <c r="J1451" i="1"/>
  <c r="N1450" i="1"/>
  <c r="J1450" i="1"/>
  <c r="N1449" i="1"/>
  <c r="J1449" i="1"/>
  <c r="N1448" i="1"/>
  <c r="J1448" i="1"/>
  <c r="N1447" i="1"/>
  <c r="J1447" i="1"/>
  <c r="N1446" i="1"/>
  <c r="J1446" i="1"/>
  <c r="N1445" i="1"/>
  <c r="J1445" i="1"/>
  <c r="N1444" i="1"/>
  <c r="J1444" i="1"/>
  <c r="N1443" i="1"/>
  <c r="J1443" i="1"/>
  <c r="N1442" i="1"/>
  <c r="J1442" i="1"/>
  <c r="N1441" i="1"/>
  <c r="J1441" i="1"/>
  <c r="N1440" i="1"/>
  <c r="J1440" i="1"/>
  <c r="N1439" i="1"/>
  <c r="J1439" i="1"/>
  <c r="N1438" i="1"/>
  <c r="J1438" i="1"/>
  <c r="N1437" i="1"/>
  <c r="J1437" i="1"/>
  <c r="N1436" i="1"/>
  <c r="J1436" i="1"/>
  <c r="N1435" i="1"/>
  <c r="J1435" i="1"/>
  <c r="N1434" i="1"/>
  <c r="J1434" i="1"/>
  <c r="N1433" i="1"/>
  <c r="J1433" i="1"/>
  <c r="N1432" i="1"/>
  <c r="J1432" i="1"/>
  <c r="N1431" i="1"/>
  <c r="J1431" i="1"/>
  <c r="N1430" i="1"/>
  <c r="J1430" i="1"/>
  <c r="N1429" i="1"/>
  <c r="J1429" i="1"/>
  <c r="N1428" i="1"/>
  <c r="J1428" i="1"/>
  <c r="N1427" i="1"/>
  <c r="J1427" i="1"/>
  <c r="N1426" i="1"/>
  <c r="J1426" i="1"/>
  <c r="N1425" i="1"/>
  <c r="J1425" i="1"/>
  <c r="N1424" i="1"/>
  <c r="J1424" i="1"/>
  <c r="N1423" i="1"/>
  <c r="J1423" i="1"/>
  <c r="N1422" i="1"/>
  <c r="J1422" i="1"/>
  <c r="N1421" i="1"/>
  <c r="J1421" i="1"/>
  <c r="N1420" i="1"/>
  <c r="J1420" i="1"/>
  <c r="N1419" i="1"/>
  <c r="J1419" i="1"/>
  <c r="N1418" i="1"/>
  <c r="J1418" i="1"/>
  <c r="N1417" i="1"/>
  <c r="J1417" i="1"/>
  <c r="N1416" i="1"/>
  <c r="J1416" i="1"/>
  <c r="N1415" i="1"/>
  <c r="J1415" i="1"/>
  <c r="N1414" i="1"/>
  <c r="J1414" i="1"/>
  <c r="N1413" i="1"/>
  <c r="J1413" i="1"/>
  <c r="N1412" i="1"/>
  <c r="J1412" i="1"/>
  <c r="N1411" i="1"/>
  <c r="J1411" i="1"/>
  <c r="N1410" i="1"/>
  <c r="J1410" i="1"/>
  <c r="N1409" i="1"/>
  <c r="J1409" i="1"/>
  <c r="N1408" i="1"/>
  <c r="J1408" i="1"/>
  <c r="N1407" i="1"/>
  <c r="J1407" i="1"/>
  <c r="N1406" i="1"/>
  <c r="J1406" i="1"/>
  <c r="N1405" i="1"/>
  <c r="J1405" i="1"/>
  <c r="N1404" i="1"/>
  <c r="J1404" i="1"/>
  <c r="N1403" i="1"/>
  <c r="J1403" i="1"/>
  <c r="N1402" i="1"/>
  <c r="J1402" i="1"/>
  <c r="N1401" i="1"/>
  <c r="J1401" i="1"/>
  <c r="N1400" i="1"/>
  <c r="J1400" i="1"/>
  <c r="N1399" i="1"/>
  <c r="J1399" i="1"/>
  <c r="N1398" i="1"/>
  <c r="J1398" i="1"/>
  <c r="N1397" i="1"/>
  <c r="J1397" i="1"/>
  <c r="N1396" i="1"/>
  <c r="J1396" i="1"/>
  <c r="N1395" i="1"/>
  <c r="J1395" i="1"/>
  <c r="N1394" i="1"/>
  <c r="J1394" i="1"/>
  <c r="N1393" i="1"/>
  <c r="J1393" i="1"/>
  <c r="N1392" i="1"/>
  <c r="J1392" i="1"/>
  <c r="N1391" i="1"/>
  <c r="J1391" i="1"/>
  <c r="N1390" i="1"/>
  <c r="J1390" i="1"/>
  <c r="N1389" i="1"/>
  <c r="J1389" i="1"/>
  <c r="N1388" i="1"/>
  <c r="J1388" i="1"/>
  <c r="N1387" i="1"/>
  <c r="J1387" i="1"/>
  <c r="N1386" i="1"/>
  <c r="J1386" i="1"/>
  <c r="N1385" i="1"/>
  <c r="J1385" i="1"/>
  <c r="N1384" i="1"/>
  <c r="J1384" i="1"/>
  <c r="N1383" i="1"/>
  <c r="J1383" i="1"/>
  <c r="N1382" i="1"/>
  <c r="J1382" i="1"/>
  <c r="N1381" i="1"/>
  <c r="J1381" i="1"/>
  <c r="N1380" i="1"/>
  <c r="J1380" i="1"/>
  <c r="N1379" i="1"/>
  <c r="J1379" i="1"/>
  <c r="N1378" i="1"/>
  <c r="J1378" i="1"/>
  <c r="N1377" i="1"/>
  <c r="J1377" i="1"/>
  <c r="N1376" i="1"/>
  <c r="J1376" i="1"/>
  <c r="N1375" i="1"/>
  <c r="J1375" i="1"/>
  <c r="N1374" i="1"/>
  <c r="J1374" i="1"/>
  <c r="N1373" i="1"/>
  <c r="J1373" i="1"/>
  <c r="N1372" i="1"/>
  <c r="J1372" i="1"/>
  <c r="N1371" i="1"/>
  <c r="J1371" i="1"/>
  <c r="N1370" i="1"/>
  <c r="J1370" i="1"/>
  <c r="N1369" i="1"/>
  <c r="J1369" i="1"/>
  <c r="N1368" i="1"/>
  <c r="J1368" i="1"/>
  <c r="N1367" i="1"/>
  <c r="J1367" i="1"/>
  <c r="N1366" i="1"/>
  <c r="J1366" i="1"/>
  <c r="N1365" i="1"/>
  <c r="J1365" i="1"/>
  <c r="N1364" i="1"/>
  <c r="J1364" i="1"/>
  <c r="N1363" i="1"/>
  <c r="J1363" i="1"/>
  <c r="N1362" i="1"/>
  <c r="J1362" i="1"/>
  <c r="N1361" i="1"/>
  <c r="J1361" i="1"/>
  <c r="N1360" i="1"/>
  <c r="J1360" i="1"/>
  <c r="N1359" i="1"/>
  <c r="J1359" i="1"/>
  <c r="N1358" i="1"/>
  <c r="J1358" i="1"/>
  <c r="N1357" i="1"/>
  <c r="J1357" i="1"/>
  <c r="N1356" i="1"/>
  <c r="J1356" i="1"/>
  <c r="N1355" i="1"/>
  <c r="J1355" i="1"/>
  <c r="N1354" i="1"/>
  <c r="J1354" i="1"/>
  <c r="N1353" i="1"/>
  <c r="J1353" i="1"/>
  <c r="N1352" i="1"/>
  <c r="J1352" i="1"/>
  <c r="N1351" i="1"/>
  <c r="J1351" i="1"/>
  <c r="N1350" i="1"/>
  <c r="J1350" i="1"/>
  <c r="N1349" i="1"/>
  <c r="J1349" i="1"/>
  <c r="N1348" i="1"/>
  <c r="J1348" i="1"/>
  <c r="N1347" i="1"/>
  <c r="J1347" i="1"/>
  <c r="N1346" i="1"/>
  <c r="J1346" i="1"/>
  <c r="N1345" i="1"/>
  <c r="J1345" i="1"/>
  <c r="N1344" i="1"/>
  <c r="J1344" i="1"/>
  <c r="N1343" i="1"/>
  <c r="J1343" i="1"/>
  <c r="N1342" i="1"/>
  <c r="J1342" i="1"/>
  <c r="N1341" i="1"/>
  <c r="J1341" i="1"/>
  <c r="N1340" i="1"/>
  <c r="J1340" i="1"/>
  <c r="N1339" i="1"/>
  <c r="J1339" i="1"/>
  <c r="N1338" i="1"/>
  <c r="J1338" i="1"/>
  <c r="N1337" i="1"/>
  <c r="J1337" i="1"/>
  <c r="N1336" i="1"/>
  <c r="J1336" i="1"/>
  <c r="N1335" i="1"/>
  <c r="J1335" i="1"/>
  <c r="N1334" i="1"/>
  <c r="J1334" i="1"/>
  <c r="N1333" i="1"/>
  <c r="J1333" i="1"/>
  <c r="N1332" i="1"/>
  <c r="J1332" i="1"/>
  <c r="N1331" i="1"/>
  <c r="J1331" i="1"/>
  <c r="N1330" i="1"/>
  <c r="J1330" i="1"/>
  <c r="N1329" i="1"/>
  <c r="J1329" i="1"/>
  <c r="N1328" i="1"/>
  <c r="J1328" i="1"/>
  <c r="N1327" i="1"/>
  <c r="J1327" i="1"/>
  <c r="N1326" i="1"/>
  <c r="J1326" i="1"/>
  <c r="N1325" i="1"/>
  <c r="J1325" i="1"/>
  <c r="N1324" i="1"/>
  <c r="J1324" i="1"/>
  <c r="N1323" i="1"/>
  <c r="J1323" i="1"/>
  <c r="N1322" i="1"/>
  <c r="J1322" i="1"/>
  <c r="N1321" i="1"/>
  <c r="J1321" i="1"/>
  <c r="N1320" i="1"/>
  <c r="J1320" i="1"/>
  <c r="N1319" i="1"/>
  <c r="J1319" i="1"/>
  <c r="N1318" i="1"/>
  <c r="J1318" i="1"/>
  <c r="N1317" i="1"/>
  <c r="J1317" i="1"/>
  <c r="N1316" i="1"/>
  <c r="J1316" i="1"/>
  <c r="N1315" i="1"/>
  <c r="J1315" i="1"/>
  <c r="N1314" i="1"/>
  <c r="J1314" i="1"/>
  <c r="N1313" i="1"/>
  <c r="J1313" i="1"/>
  <c r="N1312" i="1"/>
  <c r="J1312" i="1"/>
  <c r="N1311" i="1"/>
  <c r="J1311" i="1"/>
  <c r="N1310" i="1"/>
  <c r="J1310" i="1"/>
  <c r="N1309" i="1"/>
  <c r="J1309" i="1"/>
  <c r="N1308" i="1"/>
  <c r="J1308" i="1"/>
  <c r="N1307" i="1"/>
  <c r="J1307" i="1"/>
  <c r="N1306" i="1"/>
  <c r="J1306" i="1"/>
  <c r="N1305" i="1"/>
  <c r="J1305" i="1"/>
  <c r="N1304" i="1"/>
  <c r="J1304" i="1"/>
  <c r="N1303" i="1"/>
  <c r="J1303" i="1"/>
  <c r="N1302" i="1"/>
  <c r="J1302" i="1"/>
  <c r="N1301" i="1"/>
  <c r="J1301" i="1"/>
  <c r="N1300" i="1"/>
  <c r="J1300" i="1"/>
  <c r="N1299" i="1"/>
  <c r="J1299" i="1"/>
  <c r="N1298" i="1"/>
  <c r="J1298" i="1"/>
  <c r="N1297" i="1"/>
  <c r="J1297" i="1"/>
  <c r="N1296" i="1"/>
  <c r="J1296" i="1"/>
  <c r="N1295" i="1"/>
  <c r="J1295" i="1"/>
  <c r="N1294" i="1"/>
  <c r="J1294" i="1"/>
  <c r="N1293" i="1"/>
  <c r="J1293" i="1"/>
  <c r="N1292" i="1"/>
  <c r="J1292" i="1"/>
  <c r="N1291" i="1"/>
  <c r="J1291" i="1"/>
  <c r="N1290" i="1"/>
  <c r="J1290" i="1"/>
  <c r="N1289" i="1"/>
  <c r="J1289" i="1"/>
  <c r="N1288" i="1"/>
  <c r="J1288" i="1"/>
  <c r="N1287" i="1"/>
  <c r="J1287" i="1"/>
  <c r="N1286" i="1"/>
  <c r="J1286" i="1"/>
  <c r="N1285" i="1"/>
  <c r="J1285" i="1"/>
  <c r="N1284" i="1"/>
  <c r="J1284" i="1"/>
  <c r="N1283" i="1"/>
  <c r="J1283" i="1"/>
  <c r="N1282" i="1"/>
  <c r="J1282" i="1"/>
  <c r="N1281" i="1"/>
  <c r="J1281" i="1"/>
  <c r="N1280" i="1"/>
  <c r="J1280" i="1"/>
  <c r="N1279" i="1"/>
  <c r="J1279" i="1"/>
  <c r="N1278" i="1"/>
  <c r="J1278" i="1"/>
  <c r="N1277" i="1"/>
  <c r="J1277" i="1"/>
  <c r="N1276" i="1"/>
  <c r="J1276" i="1"/>
  <c r="N1275" i="1"/>
  <c r="J1275" i="1"/>
  <c r="N1274" i="1"/>
  <c r="J1274" i="1"/>
  <c r="N1273" i="1"/>
  <c r="J1273" i="1"/>
  <c r="N1272" i="1"/>
  <c r="J1272" i="1"/>
  <c r="N1271" i="1"/>
  <c r="J1271" i="1"/>
  <c r="N1270" i="1"/>
  <c r="J1270" i="1"/>
  <c r="N1269" i="1"/>
  <c r="J1269" i="1"/>
  <c r="N1268" i="1"/>
  <c r="J1268" i="1"/>
  <c r="N1267" i="1"/>
  <c r="J1267" i="1"/>
  <c r="N1266" i="1"/>
  <c r="J1266" i="1"/>
  <c r="N1265" i="1"/>
  <c r="J1265" i="1"/>
  <c r="N1264" i="1"/>
  <c r="J1264" i="1"/>
  <c r="N1263" i="1"/>
  <c r="J1263" i="1"/>
  <c r="N1262" i="1"/>
  <c r="J1262" i="1"/>
  <c r="N1261" i="1"/>
  <c r="J1261" i="1"/>
  <c r="N1260" i="1"/>
  <c r="J1260" i="1"/>
  <c r="N1259" i="1"/>
  <c r="J1259" i="1"/>
  <c r="N1258" i="1"/>
  <c r="J1258" i="1"/>
  <c r="N1257" i="1"/>
  <c r="J1257" i="1"/>
  <c r="N1256" i="1"/>
  <c r="J1256" i="1"/>
  <c r="N1255" i="1"/>
  <c r="J1255" i="1"/>
  <c r="N1254" i="1"/>
  <c r="J1254" i="1"/>
  <c r="N1253" i="1"/>
  <c r="J1253" i="1"/>
  <c r="N1252" i="1"/>
  <c r="J1252" i="1"/>
  <c r="N1251" i="1"/>
  <c r="J1251" i="1"/>
  <c r="N1250" i="1"/>
  <c r="J1250" i="1"/>
  <c r="N1249" i="1"/>
  <c r="J1249" i="1"/>
  <c r="N1248" i="1"/>
  <c r="J1248" i="1"/>
  <c r="N1247" i="1"/>
  <c r="J1247" i="1"/>
  <c r="N1246" i="1"/>
  <c r="J1246" i="1"/>
  <c r="N1245" i="1"/>
  <c r="J1245" i="1"/>
  <c r="N1244" i="1"/>
  <c r="J1244" i="1"/>
  <c r="N1243" i="1"/>
  <c r="J1243" i="1"/>
  <c r="N1242" i="1"/>
  <c r="J1242" i="1"/>
  <c r="N1241" i="1"/>
  <c r="J1241" i="1"/>
  <c r="N1240" i="1"/>
  <c r="J1240" i="1"/>
  <c r="N1239" i="1"/>
  <c r="J1239" i="1"/>
  <c r="N1238" i="1"/>
  <c r="J1238" i="1"/>
  <c r="N1237" i="1"/>
  <c r="J1237" i="1"/>
  <c r="N1236" i="1"/>
  <c r="J1236" i="1"/>
  <c r="N1235" i="1"/>
  <c r="J1235" i="1"/>
  <c r="N1234" i="1"/>
  <c r="J1234" i="1"/>
  <c r="N1233" i="1"/>
  <c r="J1233" i="1"/>
  <c r="N1232" i="1"/>
  <c r="J1232" i="1"/>
  <c r="N1231" i="1"/>
  <c r="J1231" i="1"/>
  <c r="N1230" i="1"/>
  <c r="J1230" i="1"/>
  <c r="N1229" i="1"/>
  <c r="J1229" i="1"/>
  <c r="N1228" i="1"/>
  <c r="J1228" i="1"/>
  <c r="N1227" i="1"/>
  <c r="J1227" i="1"/>
  <c r="N1226" i="1"/>
  <c r="J1226" i="1"/>
  <c r="N1225" i="1"/>
  <c r="J1225" i="1"/>
  <c r="N1224" i="1"/>
  <c r="J1224" i="1"/>
  <c r="N1223" i="1"/>
  <c r="J1223" i="1"/>
  <c r="N1222" i="1"/>
  <c r="J1222" i="1"/>
  <c r="N1221" i="1"/>
  <c r="J1221" i="1"/>
  <c r="N1220" i="1"/>
  <c r="J1220" i="1"/>
  <c r="N1219" i="1"/>
  <c r="J1219" i="1"/>
  <c r="N1218" i="1"/>
  <c r="J1218" i="1"/>
  <c r="N1217" i="1"/>
  <c r="J1217" i="1"/>
  <c r="N1216" i="1"/>
  <c r="J1216" i="1"/>
  <c r="N1215" i="1"/>
  <c r="J1215" i="1"/>
  <c r="N1214" i="1"/>
  <c r="J1214" i="1"/>
  <c r="N1213" i="1"/>
  <c r="J1213" i="1"/>
  <c r="N1212" i="1"/>
  <c r="J1212" i="1"/>
  <c r="N1211" i="1"/>
  <c r="J1211" i="1"/>
  <c r="N1210" i="1"/>
  <c r="J1210" i="1"/>
  <c r="N1209" i="1"/>
  <c r="J1209" i="1"/>
  <c r="N1208" i="1"/>
  <c r="J1208" i="1"/>
  <c r="N1207" i="1"/>
  <c r="J1207" i="1"/>
  <c r="N1206" i="1"/>
  <c r="J1206" i="1"/>
  <c r="N1205" i="1"/>
  <c r="J1205" i="1"/>
  <c r="N1204" i="1"/>
  <c r="J1204" i="1"/>
  <c r="N1203" i="1"/>
  <c r="J1203" i="1"/>
  <c r="N1202" i="1"/>
  <c r="J1202" i="1"/>
  <c r="N1201" i="1"/>
  <c r="J1201" i="1"/>
  <c r="N1200" i="1"/>
  <c r="J1200" i="1"/>
  <c r="N1199" i="1"/>
  <c r="J1199" i="1"/>
  <c r="N1198" i="1"/>
  <c r="J1198" i="1"/>
  <c r="N1197" i="1"/>
  <c r="J1197" i="1"/>
  <c r="N1196" i="1"/>
  <c r="J1196" i="1"/>
  <c r="N1195" i="1"/>
  <c r="J1195" i="1"/>
  <c r="N1194" i="1"/>
  <c r="J1194" i="1"/>
  <c r="N1193" i="1"/>
  <c r="J1193" i="1"/>
  <c r="N1192" i="1"/>
  <c r="J1192" i="1"/>
  <c r="N1191" i="1"/>
  <c r="J1191" i="1"/>
  <c r="N1190" i="1"/>
  <c r="J1190" i="1"/>
  <c r="N1189" i="1"/>
  <c r="J1189" i="1"/>
  <c r="N1188" i="1"/>
  <c r="J1188" i="1"/>
  <c r="N1187" i="1"/>
  <c r="J1187" i="1"/>
  <c r="N1186" i="1"/>
  <c r="J1186" i="1"/>
  <c r="N1185" i="1"/>
  <c r="J1185" i="1"/>
  <c r="N1184" i="1"/>
  <c r="J1184" i="1"/>
  <c r="N1183" i="1"/>
  <c r="J1183" i="1"/>
  <c r="N1182" i="1"/>
  <c r="J1182" i="1"/>
  <c r="N1181" i="1"/>
  <c r="J1181" i="1"/>
  <c r="N1180" i="1"/>
  <c r="J1180" i="1"/>
  <c r="N1179" i="1"/>
  <c r="J1179" i="1"/>
  <c r="N1178" i="1"/>
  <c r="J1178" i="1"/>
  <c r="N1177" i="1"/>
  <c r="J1177" i="1"/>
  <c r="N1176" i="1"/>
  <c r="J1176" i="1"/>
  <c r="N1175" i="1"/>
  <c r="J1175" i="1"/>
  <c r="N1174" i="1"/>
  <c r="J1174" i="1"/>
  <c r="N1173" i="1"/>
  <c r="J1173" i="1"/>
  <c r="N1172" i="1"/>
  <c r="J1172" i="1"/>
  <c r="N1171" i="1"/>
  <c r="J1171" i="1"/>
  <c r="N1170" i="1"/>
  <c r="J1170" i="1"/>
  <c r="N1169" i="1"/>
  <c r="J1169" i="1"/>
  <c r="N1168" i="1"/>
  <c r="J1168" i="1"/>
  <c r="N1167" i="1"/>
  <c r="J1167" i="1"/>
  <c r="N1166" i="1"/>
  <c r="J1166" i="1"/>
  <c r="N1165" i="1"/>
  <c r="J1165" i="1"/>
  <c r="N1164" i="1"/>
  <c r="J1164" i="1"/>
  <c r="N1163" i="1"/>
  <c r="J1163" i="1"/>
  <c r="N1162" i="1"/>
  <c r="J1162" i="1"/>
  <c r="N1161" i="1"/>
  <c r="J1161" i="1"/>
  <c r="N1160" i="1"/>
  <c r="J1160" i="1"/>
  <c r="N1159" i="1"/>
  <c r="J1159" i="1"/>
  <c r="N1158" i="1"/>
  <c r="J1158" i="1"/>
  <c r="N1157" i="1"/>
  <c r="J1157" i="1"/>
  <c r="N1156" i="1"/>
  <c r="J1156" i="1"/>
  <c r="N1155" i="1"/>
  <c r="J1155" i="1"/>
  <c r="N1154" i="1"/>
  <c r="J1154" i="1"/>
  <c r="N1153" i="1"/>
  <c r="J1153" i="1"/>
  <c r="N1152" i="1"/>
  <c r="J1152" i="1"/>
  <c r="N1151" i="1"/>
  <c r="J1151" i="1"/>
  <c r="N1150" i="1"/>
  <c r="J1150" i="1"/>
  <c r="N1149" i="1"/>
  <c r="J1149" i="1"/>
  <c r="N1148" i="1"/>
  <c r="J1148" i="1"/>
  <c r="N1147" i="1"/>
  <c r="J1147" i="1"/>
  <c r="N1146" i="1"/>
  <c r="J1146" i="1"/>
  <c r="N1145" i="1"/>
  <c r="J1145" i="1"/>
  <c r="N1144" i="1"/>
  <c r="J1144" i="1"/>
  <c r="N1143" i="1"/>
  <c r="J1143" i="1"/>
  <c r="N1142" i="1"/>
  <c r="J1142" i="1"/>
  <c r="N1141" i="1"/>
  <c r="J1141" i="1"/>
  <c r="N1140" i="1"/>
  <c r="J1140" i="1"/>
  <c r="N1139" i="1"/>
  <c r="J1139" i="1"/>
  <c r="N1138" i="1"/>
  <c r="J1138" i="1"/>
  <c r="N1137" i="1"/>
  <c r="J1137" i="1"/>
  <c r="N1136" i="1"/>
  <c r="J1136" i="1"/>
  <c r="N1135" i="1"/>
  <c r="J1135" i="1"/>
  <c r="N1134" i="1"/>
  <c r="J1134" i="1"/>
  <c r="N1133" i="1"/>
  <c r="J1133" i="1"/>
  <c r="N1132" i="1"/>
  <c r="J1132" i="1"/>
  <c r="N1131" i="1"/>
  <c r="J1131" i="1"/>
  <c r="N1130" i="1"/>
  <c r="J1130" i="1"/>
  <c r="N1129" i="1"/>
  <c r="J1129" i="1"/>
  <c r="N1128" i="1"/>
  <c r="J1128" i="1"/>
  <c r="N1127" i="1"/>
  <c r="J1127" i="1"/>
  <c r="N1126" i="1"/>
  <c r="J1126" i="1"/>
  <c r="N1125" i="1"/>
  <c r="J1125" i="1"/>
  <c r="N1124" i="1"/>
  <c r="J1124" i="1"/>
  <c r="N1123" i="1"/>
  <c r="J1123" i="1"/>
  <c r="N1122" i="1"/>
  <c r="J1122" i="1"/>
  <c r="N1121" i="1"/>
  <c r="J1121" i="1"/>
  <c r="N1120" i="1"/>
  <c r="J1120" i="1"/>
  <c r="N1119" i="1"/>
  <c r="J1119" i="1"/>
  <c r="N1118" i="1"/>
  <c r="J1118" i="1"/>
  <c r="N1117" i="1"/>
  <c r="J1117" i="1"/>
  <c r="N1116" i="1"/>
  <c r="J1116" i="1"/>
  <c r="N1115" i="1"/>
  <c r="J1115" i="1"/>
  <c r="N1114" i="1"/>
  <c r="J1114" i="1"/>
  <c r="N1113" i="1"/>
  <c r="J1113" i="1"/>
  <c r="N1112" i="1"/>
  <c r="J1112" i="1"/>
  <c r="N1111" i="1"/>
  <c r="J1111" i="1"/>
  <c r="N1110" i="1"/>
  <c r="J1110" i="1"/>
  <c r="N1109" i="1"/>
  <c r="J1109" i="1"/>
  <c r="N1108" i="1"/>
  <c r="J1108" i="1"/>
  <c r="N1107" i="1"/>
  <c r="J1107" i="1"/>
  <c r="N1106" i="1"/>
  <c r="J1106" i="1"/>
  <c r="N1105" i="1"/>
  <c r="J1105" i="1"/>
  <c r="N1104" i="1"/>
  <c r="J1104" i="1"/>
  <c r="N1103" i="1"/>
  <c r="J1103" i="1"/>
  <c r="N1102" i="1"/>
  <c r="J1102" i="1"/>
  <c r="N1101" i="1"/>
  <c r="J1101" i="1"/>
  <c r="N1100" i="1"/>
  <c r="J1100" i="1"/>
  <c r="N1099" i="1"/>
  <c r="J1099" i="1"/>
  <c r="N1098" i="1"/>
  <c r="J1098" i="1"/>
  <c r="N1097" i="1"/>
  <c r="J1097" i="1"/>
  <c r="N1096" i="1"/>
  <c r="J1096" i="1"/>
  <c r="N1095" i="1"/>
  <c r="J1095" i="1"/>
  <c r="N1094" i="1"/>
  <c r="J1094" i="1"/>
  <c r="N1093" i="1"/>
  <c r="J1093" i="1"/>
  <c r="N1092" i="1"/>
  <c r="J1092" i="1"/>
  <c r="N1091" i="1"/>
  <c r="J1091" i="1"/>
  <c r="N1090" i="1"/>
  <c r="J1090" i="1"/>
  <c r="N1089" i="1"/>
  <c r="J1089" i="1"/>
  <c r="N1088" i="1"/>
  <c r="J1088" i="1"/>
  <c r="N1087" i="1"/>
  <c r="J1087" i="1"/>
  <c r="N1086" i="1"/>
  <c r="J1086" i="1"/>
  <c r="N1085" i="1"/>
  <c r="J1085" i="1"/>
  <c r="N1084" i="1"/>
  <c r="J1084" i="1"/>
  <c r="N1083" i="1"/>
  <c r="J1083" i="1"/>
  <c r="N1082" i="1"/>
  <c r="J1082" i="1"/>
  <c r="N1081" i="1"/>
  <c r="J1081" i="1"/>
  <c r="N1080" i="1"/>
  <c r="J1080" i="1"/>
  <c r="N1079" i="1"/>
  <c r="J1079" i="1"/>
  <c r="N1078" i="1"/>
  <c r="J1078" i="1"/>
  <c r="N1077" i="1"/>
  <c r="J1077" i="1"/>
  <c r="N1076" i="1"/>
  <c r="J1076" i="1"/>
  <c r="N1075" i="1"/>
  <c r="J1075" i="1"/>
  <c r="N1074" i="1"/>
  <c r="J1074" i="1"/>
  <c r="N1073" i="1"/>
  <c r="J1073" i="1"/>
  <c r="N1072" i="1"/>
  <c r="J1072" i="1"/>
  <c r="N1071" i="1"/>
  <c r="J1071" i="1"/>
  <c r="N1070" i="1"/>
  <c r="J1070" i="1"/>
  <c r="N1069" i="1"/>
  <c r="J1069" i="1"/>
  <c r="N1068" i="1"/>
  <c r="J1068" i="1"/>
  <c r="N1067" i="1"/>
  <c r="J1067" i="1"/>
  <c r="N1066" i="1"/>
  <c r="J1066" i="1"/>
  <c r="N1065" i="1"/>
  <c r="J1065" i="1"/>
  <c r="N1064" i="1"/>
  <c r="J1064" i="1"/>
  <c r="N1063" i="1"/>
  <c r="J1063" i="1"/>
  <c r="N1062" i="1"/>
  <c r="J1062" i="1"/>
  <c r="N1061" i="1"/>
  <c r="J1061" i="1"/>
  <c r="N1060" i="1"/>
  <c r="J1060" i="1"/>
  <c r="N1059" i="1"/>
  <c r="J1059" i="1"/>
  <c r="N1058" i="1"/>
  <c r="J1058" i="1"/>
  <c r="N1057" i="1"/>
  <c r="J1057" i="1"/>
  <c r="N1056" i="1"/>
  <c r="J1056" i="1"/>
  <c r="N1055" i="1"/>
  <c r="J1055" i="1"/>
  <c r="N1054" i="1"/>
  <c r="J1054" i="1"/>
  <c r="N1053" i="1"/>
  <c r="J1053" i="1"/>
  <c r="N1052" i="1"/>
  <c r="J1052" i="1"/>
  <c r="N1051" i="1"/>
  <c r="J1051" i="1"/>
  <c r="N1050" i="1"/>
  <c r="J1050" i="1"/>
  <c r="N1049" i="1"/>
  <c r="J1049" i="1"/>
  <c r="N1048" i="1"/>
  <c r="J1048" i="1"/>
  <c r="N1047" i="1"/>
  <c r="J1047" i="1"/>
  <c r="N1046" i="1"/>
  <c r="J1046" i="1"/>
  <c r="N1045" i="1"/>
  <c r="J1045" i="1"/>
  <c r="N1044" i="1"/>
  <c r="J1044" i="1"/>
  <c r="N1043" i="1"/>
  <c r="J1043" i="1"/>
  <c r="N1042" i="1"/>
  <c r="J1042" i="1"/>
  <c r="N1041" i="1"/>
  <c r="J1041" i="1"/>
  <c r="N1040" i="1"/>
  <c r="J1040" i="1"/>
  <c r="N1039" i="1"/>
  <c r="J1039" i="1"/>
  <c r="N1038" i="1"/>
  <c r="J1038" i="1"/>
  <c r="N1037" i="1"/>
  <c r="J1037" i="1"/>
  <c r="N1036" i="1"/>
  <c r="J1036" i="1"/>
  <c r="N1035" i="1"/>
  <c r="J1035" i="1"/>
  <c r="N1034" i="1"/>
  <c r="J1034" i="1"/>
  <c r="N1033" i="1"/>
  <c r="J1033" i="1"/>
  <c r="N1032" i="1"/>
  <c r="J1032" i="1"/>
  <c r="N1031" i="1"/>
  <c r="J1031" i="1"/>
  <c r="N1030" i="1"/>
  <c r="J1030" i="1"/>
  <c r="N1029" i="1"/>
  <c r="J1029" i="1"/>
  <c r="N1028" i="1"/>
  <c r="J1028" i="1"/>
  <c r="N1027" i="1"/>
  <c r="J1027" i="1"/>
  <c r="N1026" i="1"/>
  <c r="J1026" i="1"/>
  <c r="N1025" i="1"/>
  <c r="J1025" i="1"/>
  <c r="N1024" i="1"/>
  <c r="J1024" i="1"/>
  <c r="N1023" i="1"/>
  <c r="J1023" i="1"/>
  <c r="N1022" i="1"/>
  <c r="J1022" i="1"/>
  <c r="N1021" i="1"/>
  <c r="J1021" i="1"/>
  <c r="N1020" i="1"/>
  <c r="J1020" i="1"/>
  <c r="N1019" i="1"/>
  <c r="J1019" i="1"/>
  <c r="N1018" i="1"/>
  <c r="J1018" i="1"/>
  <c r="N1017" i="1"/>
  <c r="J1017" i="1"/>
  <c r="N1016" i="1"/>
  <c r="J1016" i="1"/>
  <c r="N1015" i="1"/>
  <c r="J1015" i="1"/>
  <c r="N1014" i="1"/>
  <c r="J1014" i="1"/>
  <c r="N1013" i="1"/>
  <c r="J1013" i="1"/>
  <c r="N1012" i="1"/>
  <c r="J1012" i="1"/>
  <c r="N1011" i="1"/>
  <c r="J1011" i="1"/>
  <c r="N1010" i="1"/>
  <c r="J1010" i="1"/>
  <c r="N1009" i="1"/>
  <c r="J1009" i="1"/>
  <c r="N1008" i="1"/>
  <c r="J1008" i="1"/>
  <c r="N1007" i="1"/>
  <c r="J1007" i="1"/>
  <c r="N1006" i="1"/>
  <c r="J1006" i="1"/>
  <c r="N1005" i="1"/>
  <c r="J1005" i="1"/>
  <c r="N1004" i="1"/>
  <c r="J1004" i="1"/>
  <c r="N1003" i="1"/>
  <c r="J1003" i="1"/>
  <c r="N1002" i="1"/>
  <c r="J1002" i="1"/>
  <c r="N1001" i="1"/>
  <c r="J1001" i="1"/>
  <c r="N1000" i="1"/>
  <c r="J1000" i="1"/>
  <c r="N999" i="1"/>
  <c r="J999" i="1"/>
  <c r="N998" i="1"/>
  <c r="J998" i="1"/>
  <c r="N997" i="1"/>
  <c r="J997" i="1"/>
  <c r="N996" i="1"/>
  <c r="J996" i="1"/>
  <c r="N995" i="1"/>
  <c r="J995" i="1"/>
  <c r="N994" i="1"/>
  <c r="J994" i="1"/>
  <c r="N993" i="1"/>
  <c r="J993" i="1"/>
  <c r="N992" i="1"/>
  <c r="J992" i="1"/>
  <c r="N991" i="1"/>
  <c r="J991" i="1"/>
  <c r="N990" i="1"/>
  <c r="J990" i="1"/>
  <c r="N989" i="1"/>
  <c r="J989" i="1"/>
  <c r="N988" i="1"/>
  <c r="J988" i="1"/>
  <c r="N987" i="1"/>
  <c r="J987" i="1"/>
  <c r="N986" i="1"/>
  <c r="J986" i="1"/>
  <c r="N985" i="1"/>
  <c r="J985" i="1"/>
  <c r="N984" i="1"/>
  <c r="J984" i="1"/>
  <c r="N983" i="1"/>
  <c r="J983" i="1"/>
  <c r="N982" i="1"/>
  <c r="J982" i="1"/>
  <c r="N981" i="1"/>
  <c r="J981" i="1"/>
  <c r="N980" i="1"/>
  <c r="J980" i="1"/>
  <c r="N979" i="1"/>
  <c r="J979" i="1"/>
  <c r="N978" i="1"/>
  <c r="J978" i="1"/>
  <c r="N977" i="1"/>
  <c r="J977" i="1"/>
  <c r="N976" i="1"/>
  <c r="J976" i="1"/>
  <c r="N975" i="1"/>
  <c r="J975" i="1"/>
  <c r="N974" i="1"/>
  <c r="J974" i="1"/>
  <c r="N973" i="1"/>
  <c r="J973" i="1"/>
  <c r="N972" i="1"/>
  <c r="J972" i="1"/>
  <c r="N971" i="1"/>
  <c r="J971" i="1"/>
  <c r="N970" i="1"/>
  <c r="J970" i="1"/>
  <c r="N969" i="1"/>
  <c r="J969" i="1"/>
  <c r="N968" i="1"/>
  <c r="J968" i="1"/>
  <c r="N967" i="1"/>
  <c r="J967" i="1"/>
  <c r="N966" i="1"/>
  <c r="J966" i="1"/>
  <c r="N965" i="1"/>
  <c r="J965" i="1"/>
  <c r="N964" i="1"/>
  <c r="J964" i="1"/>
  <c r="N963" i="1"/>
  <c r="J963" i="1"/>
  <c r="N962" i="1"/>
  <c r="J962" i="1"/>
  <c r="N961" i="1"/>
  <c r="J961" i="1"/>
  <c r="N960" i="1"/>
  <c r="J960" i="1"/>
  <c r="N959" i="1"/>
  <c r="J959" i="1"/>
  <c r="N958" i="1"/>
  <c r="J958" i="1"/>
  <c r="N957" i="1"/>
  <c r="J957" i="1"/>
  <c r="N956" i="1"/>
  <c r="J956" i="1"/>
  <c r="N955" i="1"/>
  <c r="J955" i="1"/>
  <c r="N954" i="1"/>
  <c r="J954" i="1"/>
  <c r="N953" i="1"/>
  <c r="J953" i="1"/>
  <c r="N952" i="1"/>
  <c r="J952" i="1"/>
  <c r="N951" i="1"/>
  <c r="J951" i="1"/>
  <c r="N950" i="1"/>
  <c r="J950" i="1"/>
  <c r="N949" i="1"/>
  <c r="J949" i="1"/>
  <c r="N948" i="1"/>
  <c r="J948" i="1"/>
  <c r="N947" i="1"/>
  <c r="J947" i="1"/>
  <c r="N946" i="1"/>
  <c r="J946" i="1"/>
  <c r="N945" i="1"/>
  <c r="J945" i="1"/>
  <c r="N944" i="1"/>
  <c r="J944" i="1"/>
  <c r="N943" i="1"/>
  <c r="J943" i="1"/>
  <c r="N942" i="1"/>
  <c r="J942" i="1"/>
  <c r="N941" i="1"/>
  <c r="J941" i="1"/>
  <c r="N940" i="1"/>
  <c r="J940" i="1"/>
  <c r="N939" i="1"/>
  <c r="J939" i="1"/>
  <c r="N938" i="1"/>
  <c r="J938" i="1"/>
  <c r="N937" i="1"/>
  <c r="J937" i="1"/>
  <c r="N936" i="1"/>
  <c r="J936" i="1"/>
  <c r="N935" i="1"/>
  <c r="J935" i="1"/>
  <c r="N934" i="1"/>
  <c r="J934" i="1"/>
  <c r="N933" i="1"/>
  <c r="J933" i="1"/>
  <c r="N932" i="1"/>
  <c r="J932" i="1"/>
  <c r="N931" i="1"/>
  <c r="J931" i="1"/>
  <c r="N930" i="1"/>
  <c r="J930" i="1"/>
  <c r="N929" i="1"/>
  <c r="J929" i="1"/>
  <c r="N928" i="1"/>
  <c r="J928" i="1"/>
  <c r="N927" i="1"/>
  <c r="J927" i="1"/>
  <c r="N926" i="1"/>
  <c r="J926" i="1"/>
  <c r="N925" i="1"/>
  <c r="J925" i="1"/>
  <c r="N924" i="1"/>
  <c r="J924" i="1"/>
  <c r="N923" i="1"/>
  <c r="J923" i="1"/>
  <c r="N922" i="1"/>
  <c r="J922" i="1"/>
  <c r="N921" i="1"/>
  <c r="J921" i="1"/>
  <c r="N920" i="1"/>
  <c r="J920" i="1"/>
  <c r="N919" i="1"/>
  <c r="J919" i="1"/>
  <c r="N918" i="1"/>
  <c r="J918" i="1"/>
  <c r="N917" i="1"/>
  <c r="J917" i="1"/>
  <c r="N916" i="1"/>
  <c r="J916" i="1"/>
  <c r="N915" i="1"/>
  <c r="J915" i="1"/>
  <c r="N914" i="1"/>
  <c r="J914" i="1"/>
  <c r="N913" i="1"/>
  <c r="J913" i="1"/>
  <c r="N912" i="1"/>
  <c r="J912" i="1"/>
  <c r="N911" i="1"/>
  <c r="J911" i="1"/>
  <c r="N910" i="1"/>
  <c r="J910" i="1"/>
  <c r="N909" i="1"/>
  <c r="J909" i="1"/>
  <c r="N908" i="1"/>
  <c r="J908" i="1"/>
  <c r="N907" i="1"/>
  <c r="J907" i="1"/>
  <c r="N906" i="1"/>
  <c r="J906" i="1"/>
  <c r="N905" i="1"/>
  <c r="J905" i="1"/>
  <c r="N904" i="1"/>
  <c r="J904" i="1"/>
  <c r="N903" i="1"/>
  <c r="J903" i="1"/>
  <c r="N902" i="1"/>
  <c r="J902" i="1"/>
  <c r="N901" i="1"/>
  <c r="J901" i="1"/>
  <c r="N900" i="1"/>
  <c r="J900" i="1"/>
  <c r="N899" i="1"/>
  <c r="J899" i="1"/>
  <c r="N898" i="1"/>
  <c r="J898" i="1"/>
  <c r="N897" i="1"/>
  <c r="J897" i="1"/>
  <c r="N896" i="1"/>
  <c r="J896" i="1"/>
  <c r="N895" i="1"/>
  <c r="J895" i="1"/>
  <c r="N894" i="1"/>
  <c r="J894" i="1"/>
  <c r="N893" i="1"/>
  <c r="J893" i="1"/>
  <c r="N892" i="1"/>
  <c r="J892" i="1"/>
  <c r="N891" i="1"/>
  <c r="J891" i="1"/>
  <c r="N890" i="1"/>
  <c r="J890" i="1"/>
  <c r="N889" i="1"/>
  <c r="J889" i="1"/>
  <c r="N888" i="1"/>
  <c r="J888" i="1"/>
  <c r="N887" i="1"/>
  <c r="J887" i="1"/>
  <c r="N886" i="1"/>
  <c r="J886" i="1"/>
  <c r="N885" i="1"/>
  <c r="J885" i="1"/>
  <c r="N884" i="1"/>
  <c r="J884" i="1"/>
  <c r="N883" i="1"/>
  <c r="J883" i="1"/>
  <c r="N882" i="1"/>
  <c r="J882" i="1"/>
  <c r="N881" i="1"/>
  <c r="J881" i="1"/>
  <c r="N880" i="1"/>
  <c r="J880" i="1"/>
  <c r="N879" i="1"/>
  <c r="J879" i="1"/>
  <c r="N878" i="1"/>
  <c r="J878" i="1"/>
  <c r="N877" i="1"/>
  <c r="J877" i="1"/>
  <c r="N876" i="1"/>
  <c r="J876" i="1"/>
  <c r="N875" i="1"/>
  <c r="J875" i="1"/>
  <c r="N874" i="1"/>
  <c r="J874" i="1"/>
  <c r="N873" i="1"/>
  <c r="J873" i="1"/>
  <c r="N872" i="1"/>
  <c r="J872" i="1"/>
  <c r="N871" i="1"/>
  <c r="J871" i="1"/>
  <c r="N870" i="1"/>
  <c r="J870" i="1"/>
  <c r="N869" i="1"/>
  <c r="J869" i="1"/>
  <c r="N868" i="1"/>
  <c r="J868" i="1"/>
  <c r="N867" i="1"/>
  <c r="J867" i="1"/>
  <c r="N866" i="1"/>
  <c r="J866" i="1"/>
  <c r="N865" i="1"/>
  <c r="J865" i="1"/>
  <c r="N864" i="1"/>
  <c r="J864" i="1"/>
  <c r="N863" i="1"/>
  <c r="J863" i="1"/>
  <c r="N862" i="1"/>
  <c r="J862" i="1"/>
  <c r="N861" i="1"/>
  <c r="J861" i="1"/>
  <c r="N860" i="1"/>
  <c r="J860" i="1"/>
  <c r="N859" i="1"/>
  <c r="J859" i="1"/>
  <c r="N858" i="1"/>
  <c r="J858" i="1"/>
  <c r="N857" i="1"/>
  <c r="J857" i="1"/>
  <c r="N856" i="1"/>
  <c r="J856" i="1"/>
  <c r="N855" i="1"/>
  <c r="J855" i="1"/>
  <c r="N854" i="1"/>
  <c r="J854" i="1"/>
  <c r="N853" i="1"/>
  <c r="J853" i="1"/>
  <c r="N852" i="1"/>
  <c r="J852" i="1"/>
  <c r="N851" i="1"/>
  <c r="J851" i="1"/>
  <c r="N850" i="1"/>
  <c r="J850" i="1"/>
  <c r="N849" i="1"/>
  <c r="J849" i="1"/>
  <c r="N848" i="1"/>
  <c r="J848" i="1"/>
  <c r="N847" i="1"/>
  <c r="J847" i="1"/>
  <c r="N846" i="1"/>
  <c r="J846" i="1"/>
  <c r="N845" i="1"/>
  <c r="J845" i="1"/>
  <c r="N844" i="1"/>
  <c r="J844" i="1"/>
  <c r="N843" i="1"/>
  <c r="J843" i="1"/>
  <c r="N842" i="1"/>
  <c r="J842" i="1"/>
  <c r="N841" i="1"/>
  <c r="J841" i="1"/>
  <c r="N840" i="1"/>
  <c r="J840" i="1"/>
  <c r="N839" i="1"/>
  <c r="J839" i="1"/>
  <c r="N838" i="1"/>
  <c r="J838" i="1"/>
  <c r="N837" i="1"/>
  <c r="J837" i="1"/>
  <c r="N836" i="1"/>
  <c r="J836" i="1"/>
  <c r="N835" i="1"/>
  <c r="J835" i="1"/>
  <c r="N834" i="1"/>
  <c r="J834" i="1"/>
  <c r="N833" i="1"/>
  <c r="J833" i="1"/>
  <c r="N832" i="1"/>
  <c r="J832" i="1"/>
  <c r="N831" i="1"/>
  <c r="J831" i="1"/>
  <c r="N830" i="1"/>
  <c r="J830" i="1"/>
  <c r="N829" i="1"/>
  <c r="J829" i="1"/>
  <c r="N828" i="1"/>
  <c r="J828" i="1"/>
  <c r="N827" i="1"/>
  <c r="J827" i="1"/>
  <c r="N826" i="1"/>
  <c r="J826" i="1"/>
  <c r="N825" i="1"/>
  <c r="J825" i="1"/>
  <c r="N824" i="1"/>
  <c r="J824" i="1"/>
  <c r="N823" i="1"/>
  <c r="J823" i="1"/>
  <c r="N822" i="1"/>
  <c r="J822" i="1"/>
  <c r="N821" i="1"/>
  <c r="J821" i="1"/>
  <c r="N820" i="1"/>
  <c r="J820" i="1"/>
  <c r="N819" i="1"/>
  <c r="J819" i="1"/>
  <c r="N818" i="1"/>
  <c r="J818" i="1"/>
  <c r="N817" i="1"/>
  <c r="J817" i="1"/>
  <c r="N816" i="1"/>
  <c r="J816" i="1"/>
  <c r="N815" i="1"/>
  <c r="J815" i="1"/>
  <c r="N814" i="1"/>
  <c r="J814" i="1"/>
  <c r="N813" i="1"/>
  <c r="J813" i="1"/>
  <c r="N812" i="1"/>
  <c r="J812" i="1"/>
  <c r="N811" i="1"/>
  <c r="J811" i="1"/>
  <c r="N810" i="1"/>
  <c r="J810" i="1"/>
  <c r="N809" i="1"/>
  <c r="J809" i="1"/>
  <c r="N808" i="1"/>
  <c r="J808" i="1"/>
  <c r="N807" i="1"/>
  <c r="J807" i="1"/>
  <c r="N806" i="1"/>
  <c r="J806" i="1"/>
  <c r="N805" i="1"/>
  <c r="J805" i="1"/>
  <c r="N804" i="1"/>
  <c r="J804" i="1"/>
  <c r="N803" i="1"/>
  <c r="J803" i="1"/>
  <c r="N802" i="1"/>
  <c r="J802" i="1"/>
  <c r="N801" i="1"/>
  <c r="J801" i="1"/>
  <c r="N800" i="1"/>
  <c r="J800" i="1"/>
  <c r="N799" i="1"/>
  <c r="J799" i="1"/>
  <c r="N798" i="1"/>
  <c r="J798" i="1"/>
  <c r="N797" i="1"/>
  <c r="J797" i="1"/>
  <c r="N796" i="1"/>
  <c r="J796" i="1"/>
  <c r="N795" i="1"/>
  <c r="J795" i="1"/>
  <c r="N794" i="1"/>
  <c r="J794" i="1"/>
  <c r="N793" i="1"/>
  <c r="J793" i="1"/>
  <c r="N792" i="1"/>
  <c r="J792" i="1"/>
  <c r="N791" i="1"/>
  <c r="J791" i="1"/>
  <c r="N790" i="1"/>
  <c r="J790" i="1"/>
  <c r="N789" i="1"/>
  <c r="J789" i="1"/>
  <c r="N788" i="1"/>
  <c r="J788" i="1"/>
  <c r="N787" i="1"/>
  <c r="J787" i="1"/>
  <c r="N786" i="1"/>
  <c r="J786" i="1"/>
  <c r="N785" i="1"/>
  <c r="J785" i="1"/>
  <c r="N784" i="1"/>
  <c r="J784" i="1"/>
  <c r="N783" i="1"/>
  <c r="J783" i="1"/>
  <c r="N782" i="1"/>
  <c r="J782" i="1"/>
  <c r="N781" i="1"/>
  <c r="J781" i="1"/>
  <c r="N780" i="1"/>
  <c r="J780" i="1"/>
  <c r="N779" i="1"/>
  <c r="J779" i="1"/>
  <c r="N778" i="1"/>
  <c r="J778" i="1"/>
  <c r="N777" i="1"/>
  <c r="J777" i="1"/>
  <c r="N776" i="1"/>
  <c r="J776" i="1"/>
  <c r="N775" i="1"/>
  <c r="J775" i="1"/>
  <c r="N774" i="1"/>
  <c r="J774" i="1"/>
  <c r="N773" i="1"/>
  <c r="J773" i="1"/>
  <c r="N772" i="1"/>
  <c r="J772" i="1"/>
  <c r="N771" i="1"/>
  <c r="J771" i="1"/>
  <c r="N770" i="1"/>
  <c r="J770" i="1"/>
  <c r="N769" i="1"/>
  <c r="J769" i="1"/>
  <c r="N768" i="1"/>
  <c r="J768" i="1"/>
  <c r="N767" i="1"/>
  <c r="J767" i="1"/>
  <c r="N766" i="1"/>
  <c r="J766" i="1"/>
  <c r="N765" i="1"/>
  <c r="J765" i="1"/>
  <c r="N764" i="1"/>
  <c r="J764" i="1"/>
  <c r="N763" i="1"/>
  <c r="J763" i="1"/>
  <c r="N762" i="1"/>
  <c r="J762" i="1"/>
  <c r="N761" i="1"/>
  <c r="J761" i="1"/>
  <c r="N760" i="1"/>
  <c r="J760" i="1"/>
  <c r="N759" i="1"/>
  <c r="J759" i="1"/>
  <c r="N758" i="1"/>
  <c r="J758" i="1"/>
  <c r="N757" i="1"/>
  <c r="J757" i="1"/>
  <c r="N756" i="1"/>
  <c r="J756" i="1"/>
  <c r="N755" i="1"/>
  <c r="J755" i="1"/>
  <c r="N754" i="1"/>
  <c r="J754" i="1"/>
  <c r="N753" i="1"/>
  <c r="J753" i="1"/>
  <c r="N752" i="1"/>
  <c r="J752" i="1"/>
  <c r="N751" i="1"/>
  <c r="J751" i="1"/>
  <c r="N750" i="1"/>
  <c r="J750" i="1"/>
  <c r="N749" i="1"/>
  <c r="J749" i="1"/>
  <c r="N748" i="1"/>
  <c r="J748" i="1"/>
  <c r="N747" i="1"/>
  <c r="J747" i="1"/>
  <c r="N746" i="1"/>
  <c r="J746" i="1"/>
  <c r="N745" i="1"/>
  <c r="J745" i="1"/>
  <c r="N744" i="1"/>
  <c r="J744" i="1"/>
  <c r="N743" i="1"/>
  <c r="J743" i="1"/>
  <c r="N742" i="1"/>
  <c r="J742" i="1"/>
  <c r="N741" i="1"/>
  <c r="J741" i="1"/>
  <c r="N740" i="1"/>
  <c r="J740" i="1"/>
  <c r="N739" i="1"/>
  <c r="J739" i="1"/>
  <c r="N738" i="1"/>
  <c r="J738" i="1"/>
  <c r="N737" i="1"/>
  <c r="J737" i="1"/>
  <c r="N736" i="1"/>
  <c r="J736" i="1"/>
  <c r="N735" i="1"/>
  <c r="J735" i="1"/>
  <c r="N734" i="1"/>
  <c r="J734" i="1"/>
  <c r="N733" i="1"/>
  <c r="J733" i="1"/>
  <c r="N732" i="1"/>
  <c r="J732" i="1"/>
  <c r="N731" i="1"/>
  <c r="J731" i="1"/>
  <c r="N730" i="1"/>
  <c r="J730" i="1"/>
  <c r="N729" i="1"/>
  <c r="J729" i="1"/>
  <c r="N728" i="1"/>
  <c r="J728" i="1"/>
  <c r="N727" i="1"/>
  <c r="J727" i="1"/>
  <c r="N726" i="1"/>
  <c r="J726" i="1"/>
  <c r="N725" i="1"/>
  <c r="J725" i="1"/>
  <c r="N724" i="1"/>
  <c r="J724" i="1"/>
  <c r="N723" i="1"/>
  <c r="J723" i="1"/>
  <c r="N722" i="1"/>
  <c r="J722" i="1"/>
  <c r="N721" i="1"/>
  <c r="J721" i="1"/>
  <c r="N720" i="1"/>
  <c r="J720" i="1"/>
  <c r="N719" i="1"/>
  <c r="J719" i="1"/>
  <c r="N718" i="1"/>
  <c r="J718" i="1"/>
  <c r="N717" i="1"/>
  <c r="J717" i="1"/>
  <c r="N716" i="1"/>
  <c r="J716" i="1"/>
  <c r="N715" i="1"/>
  <c r="J715" i="1"/>
  <c r="N714" i="1"/>
  <c r="J714" i="1"/>
  <c r="N713" i="1"/>
  <c r="J713" i="1"/>
  <c r="N712" i="1"/>
  <c r="J712" i="1"/>
  <c r="N711" i="1"/>
  <c r="J711" i="1"/>
  <c r="N710" i="1"/>
  <c r="J710" i="1"/>
  <c r="N709" i="1"/>
  <c r="J709" i="1"/>
  <c r="N708" i="1"/>
  <c r="J708" i="1"/>
  <c r="N707" i="1"/>
  <c r="J707" i="1"/>
  <c r="N706" i="1"/>
  <c r="J706" i="1"/>
  <c r="N705" i="1"/>
  <c r="J705" i="1"/>
  <c r="N704" i="1"/>
  <c r="J704" i="1"/>
  <c r="N703" i="1"/>
  <c r="J703" i="1"/>
  <c r="N702" i="1"/>
  <c r="J702" i="1"/>
  <c r="N701" i="1"/>
  <c r="J701" i="1"/>
  <c r="N700" i="1"/>
  <c r="J700" i="1"/>
  <c r="N699" i="1"/>
  <c r="J699" i="1"/>
  <c r="N698" i="1"/>
  <c r="J698" i="1"/>
  <c r="N697" i="1"/>
  <c r="J697" i="1"/>
  <c r="N696" i="1"/>
  <c r="J696" i="1"/>
  <c r="N695" i="1"/>
  <c r="J695" i="1"/>
  <c r="N694" i="1"/>
  <c r="J694" i="1"/>
  <c r="N693" i="1"/>
  <c r="J693" i="1"/>
  <c r="N692" i="1"/>
  <c r="J692" i="1"/>
  <c r="N691" i="1"/>
  <c r="J691" i="1"/>
  <c r="N690" i="1"/>
  <c r="J690" i="1"/>
  <c r="N689" i="1"/>
  <c r="J689" i="1"/>
  <c r="N688" i="1"/>
  <c r="J688" i="1"/>
  <c r="N687" i="1"/>
  <c r="J687" i="1"/>
  <c r="N686" i="1"/>
  <c r="J686" i="1"/>
  <c r="N685" i="1"/>
  <c r="J685" i="1"/>
  <c r="N684" i="1"/>
  <c r="J684" i="1"/>
  <c r="N683" i="1"/>
  <c r="J683" i="1"/>
  <c r="N682" i="1"/>
  <c r="J682" i="1"/>
  <c r="N681" i="1"/>
  <c r="J681" i="1"/>
  <c r="N680" i="1"/>
  <c r="J680" i="1"/>
  <c r="N679" i="1"/>
  <c r="J679" i="1"/>
  <c r="N678" i="1"/>
  <c r="J678" i="1"/>
  <c r="N677" i="1"/>
  <c r="J677" i="1"/>
  <c r="N676" i="1"/>
  <c r="J676" i="1"/>
  <c r="N675" i="1"/>
  <c r="J675" i="1"/>
  <c r="N674" i="1"/>
  <c r="J674" i="1"/>
  <c r="N673" i="1"/>
  <c r="J673" i="1"/>
  <c r="N672" i="1"/>
  <c r="J672" i="1"/>
  <c r="N671" i="1"/>
  <c r="J671" i="1"/>
  <c r="N670" i="1"/>
  <c r="J670" i="1"/>
  <c r="N669" i="1"/>
  <c r="J669" i="1"/>
  <c r="N668" i="1"/>
  <c r="J668" i="1"/>
  <c r="N667" i="1"/>
  <c r="J667" i="1"/>
  <c r="N666" i="1"/>
  <c r="J666" i="1"/>
  <c r="N665" i="1"/>
  <c r="J665" i="1"/>
  <c r="N664" i="1"/>
  <c r="J664" i="1"/>
  <c r="N663" i="1"/>
  <c r="J663" i="1"/>
  <c r="N662" i="1"/>
  <c r="J662" i="1"/>
  <c r="N661" i="1"/>
  <c r="J661" i="1"/>
  <c r="N660" i="1"/>
  <c r="J660" i="1"/>
  <c r="N659" i="1"/>
  <c r="J659" i="1"/>
  <c r="N658" i="1"/>
  <c r="J658" i="1"/>
  <c r="N657" i="1"/>
  <c r="J657" i="1"/>
  <c r="N656" i="1"/>
  <c r="J656" i="1"/>
  <c r="N655" i="1"/>
  <c r="J655" i="1"/>
  <c r="N654" i="1"/>
  <c r="J654" i="1"/>
  <c r="N653" i="1"/>
  <c r="J653" i="1"/>
  <c r="N652" i="1"/>
  <c r="J652" i="1"/>
  <c r="N651" i="1"/>
  <c r="J651" i="1"/>
  <c r="N650" i="1"/>
  <c r="J650" i="1"/>
  <c r="N649" i="1"/>
  <c r="J649" i="1"/>
  <c r="N648" i="1"/>
  <c r="J648" i="1"/>
  <c r="N647" i="1"/>
  <c r="J647" i="1"/>
  <c r="N646" i="1"/>
  <c r="J646" i="1"/>
  <c r="N645" i="1"/>
  <c r="J645" i="1"/>
  <c r="N644" i="1"/>
  <c r="J644" i="1"/>
  <c r="N643" i="1"/>
  <c r="J643" i="1"/>
  <c r="N642" i="1"/>
  <c r="J642" i="1"/>
  <c r="N641" i="1"/>
  <c r="J641" i="1"/>
  <c r="N640" i="1"/>
  <c r="J640" i="1"/>
  <c r="N639" i="1"/>
  <c r="J639" i="1"/>
  <c r="N638" i="1"/>
  <c r="J638" i="1"/>
  <c r="N637" i="1"/>
  <c r="J637" i="1"/>
  <c r="N636" i="1"/>
  <c r="J636" i="1"/>
  <c r="N635" i="1"/>
  <c r="J635" i="1"/>
  <c r="N634" i="1"/>
  <c r="J634" i="1"/>
  <c r="N633" i="1"/>
  <c r="J633" i="1"/>
  <c r="N632" i="1"/>
  <c r="J632" i="1"/>
  <c r="N631" i="1"/>
  <c r="J631" i="1"/>
  <c r="N630" i="1"/>
  <c r="J630" i="1"/>
  <c r="N629" i="1"/>
  <c r="J629" i="1"/>
  <c r="N628" i="1"/>
  <c r="J628" i="1"/>
  <c r="N627" i="1"/>
  <c r="J627" i="1"/>
  <c r="N626" i="1"/>
  <c r="J626" i="1"/>
  <c r="N625" i="1"/>
  <c r="J625" i="1"/>
  <c r="N624" i="1"/>
  <c r="J624" i="1"/>
  <c r="N623" i="1"/>
  <c r="J623" i="1"/>
  <c r="N622" i="1"/>
  <c r="J622" i="1"/>
  <c r="N621" i="1"/>
  <c r="J621" i="1"/>
  <c r="N620" i="1"/>
  <c r="J620" i="1"/>
  <c r="N619" i="1"/>
  <c r="J619" i="1"/>
  <c r="N618" i="1"/>
  <c r="J618" i="1"/>
  <c r="N617" i="1"/>
  <c r="J617" i="1"/>
  <c r="N616" i="1"/>
  <c r="J616" i="1"/>
  <c r="N615" i="1"/>
  <c r="J615" i="1"/>
  <c r="N614" i="1"/>
  <c r="J614" i="1"/>
  <c r="N613" i="1"/>
  <c r="J613" i="1"/>
  <c r="N612" i="1"/>
  <c r="J612" i="1"/>
  <c r="N611" i="1"/>
  <c r="J611" i="1"/>
  <c r="N610" i="1"/>
  <c r="J610" i="1"/>
  <c r="N609" i="1"/>
  <c r="J609" i="1"/>
  <c r="N608" i="1"/>
  <c r="J608" i="1"/>
  <c r="N607" i="1"/>
  <c r="J607" i="1"/>
  <c r="N606" i="1"/>
  <c r="J606" i="1"/>
  <c r="N605" i="1"/>
  <c r="J605" i="1"/>
  <c r="N604" i="1"/>
  <c r="J604" i="1"/>
  <c r="N603" i="1"/>
  <c r="J603" i="1"/>
  <c r="N602" i="1"/>
  <c r="J602" i="1"/>
  <c r="N601" i="1"/>
  <c r="J601" i="1"/>
  <c r="N600" i="1"/>
  <c r="J600" i="1"/>
  <c r="N599" i="1"/>
  <c r="J599" i="1"/>
  <c r="N598" i="1"/>
  <c r="J598" i="1"/>
  <c r="N597" i="1"/>
  <c r="J597" i="1"/>
  <c r="N596" i="1"/>
  <c r="J596" i="1"/>
  <c r="N595" i="1"/>
  <c r="J595" i="1"/>
  <c r="N594" i="1"/>
  <c r="J594" i="1"/>
  <c r="N593" i="1"/>
  <c r="J593" i="1"/>
  <c r="N592" i="1"/>
  <c r="J592" i="1"/>
  <c r="N591" i="1"/>
  <c r="J591" i="1"/>
  <c r="N590" i="1"/>
  <c r="J590" i="1"/>
  <c r="N589" i="1"/>
  <c r="J589" i="1"/>
  <c r="N588" i="1"/>
  <c r="J588" i="1"/>
  <c r="N587" i="1"/>
  <c r="J587" i="1"/>
  <c r="N586" i="1"/>
  <c r="J586" i="1"/>
  <c r="N585" i="1"/>
  <c r="J585" i="1"/>
  <c r="N584" i="1"/>
  <c r="J584" i="1"/>
  <c r="N583" i="1"/>
  <c r="J583" i="1"/>
  <c r="N582" i="1"/>
  <c r="J582" i="1"/>
  <c r="N581" i="1"/>
  <c r="J581" i="1"/>
  <c r="N580" i="1"/>
  <c r="J580" i="1"/>
  <c r="N579" i="1"/>
  <c r="J579" i="1"/>
  <c r="N578" i="1"/>
  <c r="J578" i="1"/>
  <c r="N577" i="1"/>
  <c r="J577" i="1"/>
  <c r="N576" i="1"/>
  <c r="J576" i="1"/>
  <c r="N575" i="1"/>
  <c r="J575" i="1"/>
  <c r="N574" i="1"/>
  <c r="J574" i="1"/>
  <c r="N573" i="1"/>
  <c r="J573" i="1"/>
  <c r="N572" i="1"/>
  <c r="J572" i="1"/>
  <c r="N571" i="1"/>
  <c r="J571" i="1"/>
  <c r="N570" i="1"/>
  <c r="J570" i="1"/>
  <c r="N569" i="1"/>
  <c r="J569" i="1"/>
  <c r="N568" i="1"/>
  <c r="J568" i="1"/>
  <c r="N567" i="1"/>
  <c r="J567" i="1"/>
  <c r="N566" i="1"/>
  <c r="J566" i="1"/>
  <c r="N565" i="1"/>
  <c r="J565" i="1"/>
  <c r="N564" i="1"/>
  <c r="J564" i="1"/>
  <c r="N563" i="1"/>
  <c r="J563" i="1"/>
  <c r="N562" i="1"/>
  <c r="J562" i="1"/>
  <c r="N561" i="1"/>
  <c r="J561" i="1"/>
  <c r="N560" i="1"/>
  <c r="J560" i="1"/>
  <c r="N559" i="1"/>
  <c r="J559" i="1"/>
  <c r="N558" i="1"/>
  <c r="J558" i="1"/>
  <c r="N557" i="1"/>
  <c r="J557" i="1"/>
  <c r="N556" i="1"/>
  <c r="J556" i="1"/>
  <c r="N555" i="1"/>
  <c r="J555" i="1"/>
  <c r="N554" i="1"/>
  <c r="J554" i="1"/>
  <c r="N553" i="1"/>
  <c r="J553" i="1"/>
  <c r="N552" i="1"/>
  <c r="J552" i="1"/>
  <c r="N551" i="1"/>
  <c r="J551" i="1"/>
  <c r="N550" i="1"/>
  <c r="J550" i="1"/>
  <c r="N549" i="1"/>
  <c r="J549" i="1"/>
  <c r="N548" i="1"/>
  <c r="J548" i="1"/>
  <c r="N547" i="1"/>
  <c r="J547" i="1"/>
  <c r="N546" i="1"/>
  <c r="J546" i="1"/>
  <c r="N545" i="1"/>
  <c r="J545" i="1"/>
  <c r="N544" i="1"/>
  <c r="J544" i="1"/>
  <c r="N543" i="1"/>
  <c r="J543" i="1"/>
  <c r="N542" i="1"/>
  <c r="J542" i="1"/>
  <c r="N541" i="1"/>
  <c r="J541" i="1"/>
  <c r="N540" i="1"/>
  <c r="J540" i="1"/>
  <c r="N539" i="1"/>
  <c r="J539" i="1"/>
  <c r="N538" i="1"/>
  <c r="J538" i="1"/>
  <c r="N537" i="1"/>
  <c r="J537" i="1"/>
  <c r="N536" i="1"/>
  <c r="J536" i="1"/>
  <c r="N535" i="1"/>
  <c r="J535" i="1"/>
  <c r="N534" i="1"/>
  <c r="J534" i="1"/>
  <c r="N533" i="1"/>
  <c r="J533" i="1"/>
  <c r="N532" i="1"/>
  <c r="J532" i="1"/>
  <c r="N531" i="1"/>
  <c r="J531" i="1"/>
  <c r="N530" i="1"/>
  <c r="J530" i="1"/>
  <c r="N529" i="1"/>
  <c r="J529" i="1"/>
  <c r="N528" i="1"/>
  <c r="J528" i="1"/>
  <c r="N527" i="1"/>
  <c r="J527" i="1"/>
  <c r="N526" i="1"/>
  <c r="J526" i="1"/>
  <c r="N525" i="1"/>
  <c r="J525" i="1"/>
  <c r="N524" i="1"/>
  <c r="J524" i="1"/>
  <c r="N523" i="1"/>
  <c r="J523" i="1"/>
  <c r="N522" i="1"/>
  <c r="J522" i="1"/>
  <c r="N521" i="1"/>
  <c r="J521" i="1"/>
  <c r="N520" i="1"/>
  <c r="J520" i="1"/>
  <c r="N519" i="1"/>
  <c r="J519" i="1"/>
  <c r="N518" i="1"/>
  <c r="J518" i="1"/>
  <c r="N517" i="1"/>
  <c r="J517" i="1"/>
  <c r="N516" i="1"/>
  <c r="J516" i="1"/>
  <c r="N515" i="1"/>
  <c r="J515" i="1"/>
  <c r="N514" i="1"/>
  <c r="J514" i="1"/>
  <c r="N513" i="1"/>
  <c r="J513" i="1"/>
  <c r="N512" i="1"/>
  <c r="J512" i="1"/>
  <c r="N511" i="1"/>
  <c r="J511" i="1"/>
  <c r="N510" i="1"/>
  <c r="J510" i="1"/>
  <c r="N509" i="1"/>
  <c r="J509" i="1"/>
  <c r="N508" i="1"/>
  <c r="J508" i="1"/>
  <c r="N507" i="1"/>
  <c r="J507" i="1"/>
  <c r="N506" i="1"/>
  <c r="J506" i="1"/>
  <c r="N505" i="1"/>
  <c r="J505" i="1"/>
  <c r="N504" i="1"/>
  <c r="J504" i="1"/>
  <c r="N503" i="1"/>
  <c r="J503" i="1"/>
  <c r="N502" i="1"/>
  <c r="J502" i="1"/>
  <c r="N501" i="1"/>
  <c r="J501" i="1"/>
  <c r="N500" i="1"/>
  <c r="J500" i="1"/>
  <c r="N499" i="1"/>
  <c r="J499" i="1"/>
  <c r="N498" i="1"/>
  <c r="J498" i="1"/>
  <c r="N497" i="1"/>
  <c r="J497" i="1"/>
  <c r="N496" i="1"/>
  <c r="J496" i="1"/>
  <c r="N495" i="1"/>
  <c r="J495" i="1"/>
  <c r="N494" i="1"/>
  <c r="J494" i="1"/>
  <c r="N493" i="1"/>
  <c r="J493" i="1"/>
  <c r="N492" i="1"/>
  <c r="J492" i="1"/>
  <c r="N491" i="1"/>
  <c r="J491" i="1"/>
  <c r="N490" i="1"/>
  <c r="J490" i="1"/>
  <c r="N489" i="1"/>
  <c r="J489" i="1"/>
  <c r="N488" i="1"/>
  <c r="J488" i="1"/>
  <c r="N487" i="1"/>
  <c r="J487" i="1"/>
  <c r="N486" i="1"/>
  <c r="J486" i="1"/>
  <c r="N485" i="1"/>
  <c r="J485" i="1"/>
  <c r="N484" i="1"/>
  <c r="J484" i="1"/>
  <c r="N483" i="1"/>
  <c r="J483" i="1"/>
  <c r="N482" i="1"/>
  <c r="J482" i="1"/>
  <c r="N481" i="1"/>
  <c r="J481" i="1"/>
  <c r="N480" i="1"/>
  <c r="J480" i="1"/>
  <c r="N479" i="1"/>
  <c r="J479" i="1"/>
  <c r="N478" i="1"/>
  <c r="J478" i="1"/>
  <c r="N477" i="1"/>
  <c r="J477" i="1"/>
  <c r="N476" i="1"/>
  <c r="J476" i="1"/>
  <c r="N475" i="1"/>
  <c r="J475" i="1"/>
  <c r="N474" i="1"/>
  <c r="J474" i="1"/>
  <c r="N473" i="1"/>
  <c r="J473" i="1"/>
  <c r="N472" i="1"/>
  <c r="J472" i="1"/>
  <c r="N471" i="1"/>
  <c r="J471" i="1"/>
  <c r="N470" i="1"/>
  <c r="J470" i="1"/>
  <c r="N469" i="1"/>
  <c r="J469" i="1"/>
  <c r="N468" i="1"/>
  <c r="J468" i="1"/>
  <c r="N467" i="1"/>
  <c r="J467" i="1"/>
  <c r="N466" i="1"/>
  <c r="J466" i="1"/>
  <c r="N465" i="1"/>
  <c r="J465" i="1"/>
  <c r="N464" i="1"/>
  <c r="J464" i="1"/>
  <c r="N463" i="1"/>
  <c r="J463" i="1"/>
  <c r="N462" i="1"/>
  <c r="J462" i="1"/>
  <c r="N461" i="1"/>
  <c r="J461" i="1"/>
  <c r="N460" i="1"/>
  <c r="J460" i="1"/>
  <c r="N459" i="1"/>
  <c r="J459" i="1"/>
  <c r="N458" i="1"/>
  <c r="J458" i="1"/>
  <c r="N457" i="1"/>
  <c r="J457" i="1"/>
  <c r="N456" i="1"/>
  <c r="J456" i="1"/>
  <c r="N455" i="1"/>
  <c r="J455" i="1"/>
  <c r="N454" i="1"/>
  <c r="J454" i="1"/>
  <c r="N453" i="1"/>
  <c r="J453" i="1"/>
  <c r="N452" i="1"/>
  <c r="J452" i="1"/>
  <c r="N451" i="1"/>
  <c r="J451" i="1"/>
  <c r="N450" i="1"/>
  <c r="J450" i="1"/>
  <c r="N449" i="1"/>
  <c r="J449" i="1"/>
  <c r="N448" i="1"/>
  <c r="J448" i="1"/>
  <c r="N447" i="1"/>
  <c r="J447" i="1"/>
  <c r="N446" i="1"/>
  <c r="J446" i="1"/>
  <c r="N445" i="1"/>
  <c r="J445" i="1"/>
  <c r="N444" i="1"/>
  <c r="J444" i="1"/>
  <c r="N443" i="1"/>
  <c r="J443" i="1"/>
  <c r="N442" i="1"/>
  <c r="J442" i="1"/>
  <c r="N441" i="1"/>
  <c r="J441" i="1"/>
  <c r="N440" i="1"/>
  <c r="J440" i="1"/>
  <c r="N439" i="1"/>
  <c r="J439" i="1"/>
  <c r="N438" i="1"/>
  <c r="J438" i="1"/>
  <c r="N437" i="1"/>
  <c r="J437" i="1"/>
  <c r="N436" i="1"/>
  <c r="J436" i="1"/>
  <c r="N435" i="1"/>
  <c r="J435" i="1"/>
  <c r="N434" i="1"/>
  <c r="J434" i="1"/>
  <c r="N433" i="1"/>
  <c r="J433" i="1"/>
  <c r="N432" i="1"/>
  <c r="J432" i="1"/>
  <c r="N431" i="1"/>
  <c r="J431" i="1"/>
  <c r="N430" i="1"/>
  <c r="J430" i="1"/>
  <c r="N429" i="1"/>
  <c r="J429" i="1"/>
  <c r="N428" i="1"/>
  <c r="J428" i="1"/>
  <c r="N427" i="1"/>
  <c r="J427" i="1"/>
  <c r="N426" i="1"/>
  <c r="J426" i="1"/>
  <c r="N425" i="1"/>
  <c r="J425" i="1"/>
  <c r="N424" i="1"/>
  <c r="J424" i="1"/>
  <c r="N423" i="1"/>
  <c r="J423" i="1"/>
  <c r="N422" i="1"/>
  <c r="J422" i="1"/>
  <c r="N421" i="1"/>
  <c r="J421" i="1"/>
  <c r="N420" i="1"/>
  <c r="J420" i="1"/>
  <c r="N419" i="1"/>
  <c r="J419" i="1"/>
  <c r="N418" i="1"/>
  <c r="J418" i="1"/>
  <c r="N417" i="1"/>
  <c r="J417" i="1"/>
  <c r="N416" i="1"/>
  <c r="J416" i="1"/>
  <c r="N415" i="1"/>
  <c r="J415" i="1"/>
  <c r="N414" i="1"/>
  <c r="J414" i="1"/>
  <c r="N413" i="1"/>
  <c r="J413" i="1"/>
  <c r="N412" i="1"/>
  <c r="J412" i="1"/>
  <c r="N411" i="1"/>
  <c r="J411" i="1"/>
  <c r="N410" i="1"/>
  <c r="J410" i="1"/>
  <c r="N409" i="1"/>
  <c r="J409" i="1"/>
  <c r="N408" i="1"/>
  <c r="J408" i="1"/>
  <c r="N407" i="1"/>
  <c r="J407" i="1"/>
  <c r="N406" i="1"/>
  <c r="J406" i="1"/>
  <c r="N405" i="1"/>
  <c r="J405" i="1"/>
  <c r="N404" i="1"/>
  <c r="J404" i="1"/>
  <c r="N403" i="1"/>
  <c r="J403" i="1"/>
  <c r="N402" i="1"/>
  <c r="J402" i="1"/>
  <c r="N401" i="1"/>
  <c r="J401" i="1"/>
  <c r="N400" i="1"/>
  <c r="J400" i="1"/>
  <c r="N399" i="1"/>
  <c r="J399" i="1"/>
  <c r="N398" i="1"/>
  <c r="J398" i="1"/>
  <c r="N397" i="1"/>
  <c r="J397" i="1"/>
  <c r="N396" i="1"/>
  <c r="J396" i="1"/>
  <c r="N395" i="1"/>
  <c r="J395" i="1"/>
  <c r="N394" i="1"/>
  <c r="J394" i="1"/>
  <c r="N393" i="1"/>
  <c r="J393" i="1"/>
  <c r="N392" i="1"/>
  <c r="J392" i="1"/>
  <c r="N391" i="1"/>
  <c r="J391" i="1"/>
  <c r="N390" i="1"/>
  <c r="J390" i="1"/>
  <c r="N389" i="1"/>
  <c r="J389" i="1"/>
  <c r="N388" i="1"/>
  <c r="J388" i="1"/>
  <c r="N387" i="1"/>
  <c r="J387" i="1"/>
  <c r="N386" i="1"/>
  <c r="J386" i="1"/>
  <c r="N385" i="1"/>
  <c r="J385" i="1"/>
  <c r="N384" i="1"/>
  <c r="J384" i="1"/>
  <c r="N383" i="1"/>
  <c r="J383" i="1"/>
  <c r="N382" i="1"/>
  <c r="J382" i="1"/>
  <c r="N381" i="1"/>
  <c r="J381" i="1"/>
  <c r="N380" i="1"/>
  <c r="J380" i="1"/>
  <c r="N379" i="1"/>
  <c r="J379" i="1"/>
  <c r="N378" i="1"/>
  <c r="J378" i="1"/>
  <c r="N377" i="1"/>
  <c r="J377" i="1"/>
  <c r="N376" i="1"/>
  <c r="J376" i="1"/>
  <c r="N375" i="1"/>
  <c r="J375" i="1"/>
  <c r="N374" i="1"/>
  <c r="J374" i="1"/>
  <c r="N373" i="1"/>
  <c r="J373" i="1"/>
  <c r="N372" i="1"/>
  <c r="J372" i="1"/>
  <c r="N371" i="1"/>
  <c r="J371" i="1"/>
  <c r="N370" i="1"/>
  <c r="J370" i="1"/>
  <c r="N369" i="1"/>
  <c r="J369" i="1"/>
  <c r="N368" i="1"/>
  <c r="J368" i="1"/>
  <c r="N367" i="1"/>
  <c r="J367" i="1"/>
  <c r="N366" i="1"/>
  <c r="J366" i="1"/>
  <c r="N365" i="1"/>
  <c r="J365" i="1"/>
  <c r="N364" i="1"/>
  <c r="J364" i="1"/>
  <c r="N363" i="1"/>
  <c r="J363" i="1"/>
  <c r="N362" i="1"/>
  <c r="J362" i="1"/>
  <c r="N361" i="1"/>
  <c r="J361" i="1"/>
  <c r="N360" i="1"/>
  <c r="J360" i="1"/>
  <c r="N359" i="1"/>
  <c r="J359" i="1"/>
  <c r="N358" i="1"/>
  <c r="J358" i="1"/>
  <c r="N357" i="1"/>
  <c r="J357" i="1"/>
  <c r="N356" i="1"/>
  <c r="J356" i="1"/>
  <c r="N355" i="1"/>
  <c r="J355" i="1"/>
  <c r="N354" i="1"/>
  <c r="J354" i="1"/>
  <c r="N353" i="1"/>
  <c r="J353" i="1"/>
  <c r="N352" i="1"/>
  <c r="J352" i="1"/>
  <c r="N351" i="1"/>
  <c r="J351" i="1"/>
  <c r="N350" i="1"/>
  <c r="J350" i="1"/>
  <c r="N349" i="1"/>
  <c r="J349" i="1"/>
  <c r="N348" i="1"/>
  <c r="J348" i="1"/>
  <c r="N347" i="1"/>
  <c r="J347" i="1"/>
  <c r="N346" i="1"/>
  <c r="J346" i="1"/>
  <c r="N345" i="1"/>
  <c r="J345" i="1"/>
  <c r="N344" i="1"/>
  <c r="J344" i="1"/>
  <c r="N343" i="1"/>
  <c r="J343" i="1"/>
  <c r="N342" i="1"/>
  <c r="J342" i="1"/>
  <c r="N341" i="1"/>
  <c r="J341" i="1"/>
  <c r="N340" i="1"/>
  <c r="J340" i="1"/>
  <c r="N339" i="1"/>
  <c r="J339" i="1"/>
  <c r="N338" i="1"/>
  <c r="J338" i="1"/>
  <c r="N337" i="1"/>
  <c r="J337" i="1"/>
  <c r="N336" i="1"/>
  <c r="J336" i="1"/>
  <c r="N335" i="1"/>
  <c r="J335" i="1"/>
  <c r="N334" i="1"/>
  <c r="J334" i="1"/>
  <c r="N333" i="1"/>
  <c r="J333" i="1"/>
  <c r="N332" i="1"/>
  <c r="J332" i="1"/>
  <c r="N331" i="1"/>
  <c r="J331" i="1"/>
  <c r="N330" i="1"/>
  <c r="J330" i="1"/>
  <c r="N329" i="1"/>
  <c r="J329" i="1"/>
  <c r="N328" i="1"/>
  <c r="J328" i="1"/>
  <c r="N327" i="1"/>
  <c r="J327" i="1"/>
  <c r="N326" i="1"/>
  <c r="J326" i="1"/>
  <c r="N325" i="1"/>
  <c r="J325" i="1"/>
  <c r="N324" i="1"/>
  <c r="J324" i="1"/>
  <c r="N323" i="1"/>
  <c r="J323" i="1"/>
  <c r="N322" i="1"/>
  <c r="J322" i="1"/>
  <c r="N321" i="1"/>
  <c r="J321" i="1"/>
  <c r="N320" i="1"/>
  <c r="J320" i="1"/>
  <c r="N319" i="1"/>
  <c r="J319" i="1"/>
  <c r="N318" i="1"/>
  <c r="J318" i="1"/>
  <c r="N317" i="1"/>
  <c r="J317" i="1"/>
  <c r="N316" i="1"/>
  <c r="J316" i="1"/>
  <c r="N315" i="1"/>
  <c r="J315" i="1"/>
  <c r="N314" i="1"/>
  <c r="J314" i="1"/>
  <c r="N313" i="1"/>
  <c r="J313" i="1"/>
  <c r="N312" i="1"/>
  <c r="J312" i="1"/>
  <c r="N311" i="1"/>
  <c r="J311" i="1"/>
  <c r="N310" i="1"/>
  <c r="J310" i="1"/>
  <c r="N309" i="1"/>
  <c r="J309" i="1"/>
  <c r="N308" i="1"/>
  <c r="J308" i="1"/>
  <c r="N307" i="1"/>
  <c r="J307" i="1"/>
  <c r="N306" i="1"/>
  <c r="J306" i="1"/>
  <c r="N305" i="1"/>
  <c r="J305" i="1"/>
  <c r="N304" i="1"/>
  <c r="J304" i="1"/>
  <c r="N303" i="1"/>
  <c r="J303" i="1"/>
  <c r="N302" i="1"/>
  <c r="J302" i="1"/>
  <c r="N301" i="1"/>
  <c r="J301" i="1"/>
  <c r="N300" i="1"/>
  <c r="J300" i="1"/>
  <c r="N299" i="1"/>
  <c r="J299" i="1"/>
  <c r="N298" i="1"/>
  <c r="J298" i="1"/>
  <c r="N297" i="1"/>
  <c r="J297" i="1"/>
  <c r="N296" i="1"/>
  <c r="J296" i="1"/>
  <c r="N295" i="1"/>
  <c r="J295" i="1"/>
  <c r="N294" i="1"/>
  <c r="J294" i="1"/>
  <c r="N293" i="1"/>
  <c r="J293" i="1"/>
  <c r="N292" i="1"/>
  <c r="J292" i="1"/>
  <c r="N291" i="1"/>
  <c r="J291" i="1"/>
  <c r="N290" i="1"/>
  <c r="J290" i="1"/>
  <c r="N289" i="1"/>
  <c r="J289" i="1"/>
  <c r="N288" i="1"/>
  <c r="J288" i="1"/>
  <c r="N287" i="1"/>
  <c r="J287" i="1"/>
  <c r="N286" i="1"/>
  <c r="J286" i="1"/>
  <c r="N285" i="1"/>
  <c r="J285" i="1"/>
  <c r="N284" i="1"/>
  <c r="J284" i="1"/>
  <c r="N283" i="1"/>
  <c r="J283" i="1"/>
  <c r="N282" i="1"/>
  <c r="J282" i="1"/>
  <c r="N281" i="1"/>
  <c r="J281" i="1"/>
  <c r="N280" i="1"/>
  <c r="J280" i="1"/>
  <c r="N279" i="1"/>
  <c r="J279" i="1"/>
  <c r="N278" i="1"/>
  <c r="J278" i="1"/>
  <c r="N277" i="1"/>
  <c r="J277" i="1"/>
  <c r="N276" i="1"/>
  <c r="J276" i="1"/>
  <c r="N275" i="1"/>
  <c r="J275" i="1"/>
  <c r="N274" i="1"/>
  <c r="J274" i="1"/>
  <c r="N273" i="1"/>
  <c r="J273" i="1"/>
  <c r="N272" i="1"/>
  <c r="J272" i="1"/>
  <c r="N271" i="1"/>
  <c r="J271" i="1"/>
  <c r="N270" i="1"/>
  <c r="J270" i="1"/>
  <c r="N269" i="1"/>
  <c r="J269" i="1"/>
  <c r="N268" i="1"/>
  <c r="J268" i="1"/>
  <c r="N267" i="1"/>
  <c r="J267" i="1"/>
  <c r="N266" i="1"/>
  <c r="J266" i="1"/>
  <c r="N265" i="1"/>
  <c r="J265" i="1"/>
  <c r="N264" i="1"/>
  <c r="J264" i="1"/>
  <c r="N263" i="1"/>
  <c r="J263" i="1"/>
  <c r="N262" i="1"/>
  <c r="J262" i="1"/>
  <c r="N261" i="1"/>
  <c r="J261" i="1"/>
  <c r="N260" i="1"/>
  <c r="J260" i="1"/>
  <c r="N259" i="1"/>
  <c r="J259" i="1"/>
  <c r="N258" i="1"/>
  <c r="J258" i="1"/>
  <c r="N257" i="1"/>
  <c r="J257" i="1"/>
  <c r="N256" i="1"/>
  <c r="J256" i="1"/>
  <c r="N255" i="1"/>
  <c r="J255" i="1"/>
  <c r="N254" i="1"/>
  <c r="J254" i="1"/>
  <c r="N253" i="1"/>
  <c r="J253" i="1"/>
  <c r="N252" i="1"/>
  <c r="J252" i="1"/>
  <c r="N251" i="1"/>
  <c r="J251" i="1"/>
  <c r="N250" i="1"/>
  <c r="J250" i="1"/>
  <c r="N249" i="1"/>
  <c r="J249" i="1"/>
  <c r="N248" i="1"/>
  <c r="J248" i="1"/>
  <c r="N247" i="1"/>
  <c r="J247" i="1"/>
  <c r="N246" i="1"/>
  <c r="J246" i="1"/>
  <c r="N245" i="1"/>
  <c r="J245" i="1"/>
  <c r="N244" i="1"/>
  <c r="J244" i="1"/>
  <c r="N243" i="1"/>
  <c r="J243" i="1"/>
  <c r="N242" i="1"/>
  <c r="J242" i="1"/>
  <c r="N241" i="1"/>
  <c r="J241" i="1"/>
  <c r="N240" i="1"/>
  <c r="J240" i="1"/>
  <c r="N239" i="1"/>
  <c r="J239" i="1"/>
  <c r="N238" i="1"/>
  <c r="J238" i="1"/>
  <c r="N237" i="1"/>
  <c r="J237" i="1"/>
  <c r="N236" i="1"/>
  <c r="J236" i="1"/>
  <c r="N235" i="1"/>
  <c r="J235" i="1"/>
  <c r="N234" i="1"/>
  <c r="J234" i="1"/>
  <c r="N233" i="1"/>
  <c r="J233" i="1"/>
  <c r="N232" i="1"/>
  <c r="J232" i="1"/>
  <c r="N231" i="1"/>
  <c r="J231" i="1"/>
  <c r="N230" i="1"/>
  <c r="J230" i="1"/>
  <c r="N229" i="1"/>
  <c r="J229" i="1"/>
  <c r="N228" i="1"/>
  <c r="J228" i="1"/>
  <c r="N227" i="1"/>
  <c r="J227" i="1"/>
  <c r="N226" i="1"/>
  <c r="J226" i="1"/>
  <c r="N225" i="1"/>
  <c r="J225" i="1"/>
  <c r="N224" i="1"/>
  <c r="J224" i="1"/>
  <c r="N223" i="1"/>
  <c r="J223" i="1"/>
  <c r="N222" i="1"/>
  <c r="J222" i="1"/>
  <c r="N221" i="1"/>
  <c r="J221" i="1"/>
  <c r="N220" i="1"/>
  <c r="J220" i="1"/>
  <c r="N219" i="1"/>
  <c r="J219" i="1"/>
  <c r="N218" i="1"/>
  <c r="J218" i="1"/>
  <c r="N217" i="1"/>
  <c r="J217" i="1"/>
  <c r="N216" i="1"/>
  <c r="J216" i="1"/>
  <c r="N215" i="1"/>
  <c r="J215" i="1"/>
  <c r="N214" i="1"/>
  <c r="J214" i="1"/>
  <c r="N213" i="1"/>
  <c r="J213" i="1"/>
  <c r="N212" i="1"/>
  <c r="J212" i="1"/>
  <c r="N211" i="1"/>
  <c r="J211" i="1"/>
  <c r="N210" i="1"/>
  <c r="J210" i="1"/>
  <c r="N209" i="1"/>
  <c r="J209" i="1"/>
  <c r="N208" i="1"/>
  <c r="J208" i="1"/>
  <c r="N207" i="1"/>
  <c r="J207" i="1"/>
  <c r="N206" i="1"/>
  <c r="J206" i="1"/>
  <c r="N205" i="1"/>
  <c r="J205" i="1"/>
  <c r="N204" i="1"/>
  <c r="J204" i="1"/>
  <c r="N203" i="1"/>
  <c r="J203" i="1"/>
  <c r="N202" i="1"/>
  <c r="J202" i="1"/>
  <c r="N201" i="1"/>
  <c r="J201" i="1"/>
  <c r="N200" i="1"/>
  <c r="J200" i="1"/>
  <c r="N199" i="1"/>
  <c r="J199" i="1"/>
  <c r="N198" i="1"/>
  <c r="J198" i="1"/>
  <c r="N197" i="1"/>
  <c r="J197" i="1"/>
  <c r="N196" i="1"/>
  <c r="J196" i="1"/>
  <c r="N195" i="1"/>
  <c r="J195" i="1"/>
  <c r="N194" i="1"/>
  <c r="J194" i="1"/>
  <c r="N193" i="1"/>
  <c r="J193" i="1"/>
  <c r="N192" i="1"/>
  <c r="J192" i="1"/>
  <c r="N191" i="1"/>
  <c r="J191" i="1"/>
  <c r="N190" i="1"/>
  <c r="J190" i="1"/>
  <c r="N189" i="1"/>
  <c r="J189" i="1"/>
  <c r="N188" i="1"/>
  <c r="J188" i="1"/>
  <c r="N187" i="1"/>
  <c r="J187" i="1"/>
  <c r="N186" i="1"/>
  <c r="J186" i="1"/>
  <c r="N185" i="1"/>
  <c r="J185" i="1"/>
  <c r="N184" i="1"/>
  <c r="J184" i="1"/>
  <c r="N183" i="1"/>
  <c r="J183" i="1"/>
  <c r="N182" i="1"/>
  <c r="J182" i="1"/>
  <c r="N181" i="1"/>
  <c r="J181" i="1"/>
  <c r="N180" i="1"/>
  <c r="J180" i="1"/>
  <c r="N179" i="1"/>
  <c r="J179" i="1"/>
  <c r="N178" i="1"/>
  <c r="J178" i="1"/>
  <c r="N177" i="1"/>
  <c r="J177" i="1"/>
  <c r="N176" i="1"/>
  <c r="J176" i="1"/>
  <c r="N175" i="1"/>
  <c r="J175" i="1"/>
  <c r="N174" i="1"/>
  <c r="J174" i="1"/>
  <c r="N173" i="1"/>
  <c r="J173" i="1"/>
  <c r="N172" i="1"/>
  <c r="J172" i="1"/>
  <c r="N171" i="1"/>
  <c r="J171" i="1"/>
  <c r="N170" i="1"/>
  <c r="J170" i="1"/>
  <c r="N169" i="1"/>
  <c r="J169" i="1"/>
  <c r="N168" i="1"/>
  <c r="J168" i="1"/>
  <c r="N167" i="1"/>
  <c r="J167" i="1"/>
  <c r="N166" i="1"/>
  <c r="J166" i="1"/>
  <c r="N165" i="1"/>
  <c r="J165" i="1"/>
  <c r="N164" i="1"/>
  <c r="J164" i="1"/>
  <c r="N163" i="1"/>
  <c r="J163" i="1"/>
  <c r="N162" i="1"/>
  <c r="J162" i="1"/>
  <c r="N161" i="1"/>
  <c r="J161" i="1"/>
  <c r="N160" i="1"/>
  <c r="J160" i="1"/>
  <c r="N159" i="1"/>
  <c r="J159" i="1"/>
  <c r="N158" i="1"/>
  <c r="J158" i="1"/>
  <c r="N157" i="1"/>
  <c r="J157" i="1"/>
  <c r="N156" i="1"/>
  <c r="J156" i="1"/>
  <c r="N155" i="1"/>
  <c r="J155" i="1"/>
  <c r="N154" i="1"/>
  <c r="J154" i="1"/>
  <c r="N153" i="1"/>
  <c r="J153" i="1"/>
  <c r="N152" i="1"/>
  <c r="J152" i="1"/>
  <c r="N151" i="1"/>
  <c r="J151" i="1"/>
  <c r="N150" i="1"/>
  <c r="J150" i="1"/>
  <c r="N149" i="1"/>
  <c r="J149" i="1"/>
  <c r="N148" i="1"/>
  <c r="J148" i="1"/>
  <c r="N147" i="1"/>
  <c r="J147" i="1"/>
  <c r="N146" i="1"/>
  <c r="J146" i="1"/>
  <c r="N145" i="1"/>
  <c r="J145" i="1"/>
  <c r="N144" i="1"/>
  <c r="J144" i="1"/>
  <c r="N143" i="1"/>
  <c r="J143" i="1"/>
  <c r="N142" i="1"/>
  <c r="J142" i="1"/>
  <c r="N141" i="1"/>
  <c r="J141" i="1"/>
  <c r="N140" i="1"/>
  <c r="J140" i="1"/>
  <c r="N139" i="1"/>
  <c r="J139" i="1"/>
  <c r="N138" i="1"/>
  <c r="J138" i="1"/>
  <c r="N137" i="1"/>
  <c r="J137" i="1"/>
  <c r="N136" i="1"/>
  <c r="J136" i="1"/>
  <c r="N135" i="1"/>
  <c r="J135" i="1"/>
  <c r="N134" i="1"/>
  <c r="J134" i="1"/>
  <c r="N133" i="1"/>
  <c r="J133" i="1"/>
  <c r="N132" i="1"/>
  <c r="J132" i="1"/>
  <c r="N131" i="1"/>
  <c r="J131" i="1"/>
  <c r="N130" i="1"/>
  <c r="J130" i="1"/>
  <c r="N129" i="1"/>
  <c r="J129" i="1"/>
  <c r="N128" i="1"/>
  <c r="J128" i="1"/>
  <c r="N127" i="1"/>
  <c r="J127" i="1"/>
  <c r="N126" i="1"/>
  <c r="J126" i="1"/>
  <c r="N125" i="1"/>
  <c r="J125" i="1"/>
  <c r="N124" i="1"/>
  <c r="J124" i="1"/>
  <c r="N123" i="1"/>
  <c r="J123" i="1"/>
  <c r="N122" i="1"/>
  <c r="J122" i="1"/>
  <c r="N121" i="1"/>
  <c r="J121" i="1"/>
  <c r="N120" i="1"/>
  <c r="J120" i="1"/>
  <c r="N119" i="1"/>
  <c r="J119" i="1"/>
  <c r="N118" i="1"/>
  <c r="J118" i="1"/>
  <c r="N117" i="1"/>
  <c r="J117" i="1"/>
  <c r="N116" i="1"/>
  <c r="J116" i="1"/>
  <c r="N115" i="1"/>
  <c r="J115" i="1"/>
  <c r="N114" i="1"/>
  <c r="J114" i="1"/>
  <c r="N113" i="1"/>
  <c r="J113" i="1"/>
  <c r="N112" i="1"/>
  <c r="J112" i="1"/>
  <c r="N111" i="1"/>
  <c r="J111" i="1"/>
  <c r="N110" i="1"/>
  <c r="J110" i="1"/>
  <c r="N109" i="1"/>
  <c r="J109" i="1"/>
  <c r="N108" i="1"/>
  <c r="J108" i="1"/>
  <c r="N107" i="1"/>
  <c r="J107" i="1"/>
  <c r="N106" i="1"/>
  <c r="J106" i="1"/>
  <c r="N105" i="1"/>
  <c r="J105" i="1"/>
  <c r="N104" i="1"/>
  <c r="J104" i="1"/>
  <c r="N103" i="1"/>
  <c r="J103" i="1"/>
  <c r="N102" i="1"/>
  <c r="J102" i="1"/>
  <c r="N101" i="1"/>
  <c r="J101" i="1"/>
  <c r="N100" i="1"/>
  <c r="J100" i="1"/>
  <c r="N99" i="1"/>
  <c r="J99" i="1"/>
  <c r="N98" i="1"/>
  <c r="J98" i="1"/>
  <c r="N97" i="1"/>
  <c r="J97" i="1"/>
  <c r="N96" i="1"/>
  <c r="J96" i="1"/>
  <c r="N95" i="1"/>
  <c r="J95" i="1"/>
  <c r="N94" i="1"/>
  <c r="J94" i="1"/>
  <c r="N93" i="1"/>
  <c r="J93" i="1"/>
  <c r="N92" i="1"/>
  <c r="J92" i="1"/>
  <c r="N91" i="1"/>
  <c r="J91" i="1"/>
  <c r="N90" i="1"/>
  <c r="J90" i="1"/>
  <c r="N89" i="1"/>
  <c r="J89" i="1"/>
  <c r="N88" i="1"/>
  <c r="J88" i="1"/>
  <c r="N87" i="1"/>
  <c r="J87" i="1"/>
  <c r="N86" i="1"/>
  <c r="J86" i="1"/>
  <c r="N85" i="1"/>
  <c r="J85" i="1"/>
  <c r="N84" i="1"/>
  <c r="J84" i="1"/>
  <c r="N83" i="1"/>
  <c r="J83" i="1"/>
  <c r="N82" i="1"/>
  <c r="J82" i="1"/>
  <c r="N81" i="1"/>
  <c r="J81" i="1"/>
  <c r="N80" i="1"/>
  <c r="J80" i="1"/>
  <c r="N79" i="1"/>
  <c r="J79" i="1"/>
  <c r="N78" i="1"/>
  <c r="J78" i="1"/>
  <c r="N77" i="1"/>
  <c r="J77" i="1"/>
  <c r="N76" i="1"/>
  <c r="J76" i="1"/>
  <c r="N75" i="1"/>
  <c r="J75" i="1"/>
  <c r="N74" i="1"/>
  <c r="J74" i="1"/>
  <c r="N73" i="1"/>
  <c r="J73" i="1"/>
  <c r="N72" i="1"/>
  <c r="J72" i="1"/>
  <c r="N71" i="1"/>
  <c r="J71" i="1"/>
  <c r="N70" i="1"/>
  <c r="J70" i="1"/>
  <c r="N69" i="1"/>
  <c r="J69" i="1"/>
  <c r="N68" i="1"/>
  <c r="J68" i="1"/>
  <c r="N67" i="1"/>
  <c r="J67" i="1"/>
  <c r="N66" i="1"/>
  <c r="J66" i="1"/>
  <c r="N65" i="1"/>
  <c r="J65" i="1"/>
  <c r="N64" i="1"/>
  <c r="J64" i="1"/>
  <c r="N63" i="1"/>
  <c r="J63" i="1"/>
  <c r="N62" i="1"/>
  <c r="J62" i="1"/>
  <c r="N61" i="1"/>
  <c r="J61" i="1"/>
  <c r="N60" i="1"/>
  <c r="J60" i="1"/>
  <c r="N59" i="1"/>
  <c r="J59" i="1"/>
  <c r="N58" i="1"/>
  <c r="J58" i="1"/>
  <c r="N57" i="1"/>
  <c r="J57" i="1"/>
  <c r="N56" i="1"/>
  <c r="J56" i="1"/>
  <c r="N55" i="1"/>
  <c r="J55" i="1"/>
  <c r="N54" i="1"/>
  <c r="J54" i="1"/>
  <c r="N53" i="1"/>
  <c r="J53" i="1"/>
  <c r="N52" i="1"/>
  <c r="J52" i="1"/>
  <c r="N51" i="1"/>
  <c r="J51" i="1"/>
  <c r="N50" i="1"/>
  <c r="J50" i="1"/>
  <c r="N49" i="1"/>
  <c r="J49" i="1"/>
  <c r="N48" i="1"/>
  <c r="J48" i="1"/>
  <c r="N47" i="1"/>
  <c r="J47" i="1"/>
  <c r="N46" i="1"/>
  <c r="J46" i="1"/>
  <c r="N45" i="1"/>
  <c r="J45" i="1"/>
  <c r="N44" i="1"/>
  <c r="J44" i="1"/>
  <c r="N43" i="1"/>
  <c r="J43" i="1"/>
  <c r="N42" i="1"/>
  <c r="J42" i="1"/>
  <c r="N41" i="1"/>
  <c r="J41" i="1"/>
  <c r="N40" i="1"/>
  <c r="J40" i="1"/>
  <c r="N39" i="1"/>
  <c r="J39" i="1"/>
  <c r="N38" i="1"/>
  <c r="J38" i="1"/>
  <c r="N37" i="1"/>
  <c r="J37" i="1"/>
  <c r="N36" i="1"/>
  <c r="J36" i="1"/>
  <c r="N35" i="1"/>
  <c r="J35" i="1"/>
  <c r="N34" i="1"/>
  <c r="J34" i="1"/>
  <c r="N33" i="1"/>
  <c r="J33" i="1"/>
  <c r="N32" i="1"/>
  <c r="J32" i="1"/>
  <c r="N31" i="1"/>
  <c r="J31" i="1"/>
  <c r="N30" i="1"/>
  <c r="J30" i="1"/>
  <c r="N29" i="1"/>
  <c r="J29" i="1"/>
  <c r="N28" i="1"/>
  <c r="J28" i="1"/>
  <c r="N27" i="1"/>
  <c r="J27" i="1"/>
  <c r="N26" i="1"/>
  <c r="J26" i="1"/>
  <c r="N25" i="1"/>
  <c r="J25" i="1"/>
  <c r="N24" i="1"/>
  <c r="J24" i="1"/>
  <c r="N23" i="1"/>
  <c r="J23" i="1"/>
  <c r="N22" i="1"/>
  <c r="J22" i="1"/>
  <c r="N21" i="1"/>
  <c r="J21" i="1"/>
  <c r="N20" i="1"/>
  <c r="J20" i="1"/>
  <c r="N19" i="1"/>
  <c r="J19" i="1"/>
  <c r="N18" i="1"/>
  <c r="J18" i="1"/>
  <c r="N17" i="1"/>
  <c r="J17" i="1"/>
  <c r="N16" i="1"/>
  <c r="J16" i="1"/>
  <c r="N15" i="1"/>
  <c r="J15" i="1"/>
  <c r="N14" i="1"/>
  <c r="J14" i="1"/>
  <c r="N13" i="1"/>
  <c r="J13" i="1"/>
  <c r="N12" i="1"/>
  <c r="J12" i="1"/>
  <c r="N11" i="1"/>
  <c r="J11" i="1"/>
  <c r="N10" i="1"/>
  <c r="J10" i="1"/>
  <c r="N9" i="1"/>
  <c r="J9" i="1"/>
  <c r="N8" i="1"/>
  <c r="J8" i="1"/>
  <c r="N7" i="1"/>
  <c r="J7" i="1"/>
  <c r="N6" i="1"/>
  <c r="J6" i="1"/>
  <c r="N5" i="1"/>
  <c r="J5" i="1"/>
  <c r="N4" i="1"/>
  <c r="J4" i="1"/>
</calcChain>
</file>

<file path=xl/sharedStrings.xml><?xml version="1.0" encoding="utf-8"?>
<sst xmlns="http://schemas.openxmlformats.org/spreadsheetml/2006/main" count="64205" uniqueCount="4361">
  <si>
    <t>Domande Pagate Decreto 63</t>
  </si>
  <si>
    <t>Organismo Pagatore</t>
  </si>
  <si>
    <t>Gruppo Misura</t>
  </si>
  <si>
    <t>Regione</t>
  </si>
  <si>
    <t>Caa Nazionale Presentazione Domanda</t>
  </si>
  <si>
    <t>Ufficio Caa Presentazione Domanda</t>
  </si>
  <si>
    <t>Caa Nazionale detentore del fascicolo dell'azienda</t>
  </si>
  <si>
    <t>Ufficio Caa detentore del fascicolo dell'azienda</t>
  </si>
  <si>
    <t>Ente</t>
  </si>
  <si>
    <t>Campagna</t>
  </si>
  <si>
    <t>Codice Domanda</t>
  </si>
  <si>
    <t>Tipologia Programmazione</t>
  </si>
  <si>
    <t>Misura PSR 2014-2020</t>
  </si>
  <si>
    <t>Intervento</t>
  </si>
  <si>
    <t>Cuaa</t>
  </si>
  <si>
    <t>Denominazione</t>
  </si>
  <si>
    <t>Tipologia Elenco</t>
  </si>
  <si>
    <t>Protocollo Elenco</t>
  </si>
  <si>
    <t>Data Autorizzazione OP Elenco</t>
  </si>
  <si>
    <t>Stato Della Domanda</t>
  </si>
  <si>
    <t>Tipologia di Pagamento</t>
  </si>
  <si>
    <t>Tipologia di Finanziamento</t>
  </si>
  <si>
    <t>Importo Totale in Elenco</t>
  </si>
  <si>
    <t>Importo in Elenco (Quota FEASR)</t>
  </si>
  <si>
    <t>Importo in Elenco (Quota Nazionale)</t>
  </si>
  <si>
    <t>Importo in Elenco (Quota Regionale)</t>
  </si>
  <si>
    <t>AGEA</t>
  </si>
  <si>
    <t>Interventi FEASR SIGC</t>
  </si>
  <si>
    <t>MARCHE</t>
  </si>
  <si>
    <t>CAA Coldiretti srl</t>
  </si>
  <si>
    <t>CAA Coldiretti - VITERBO - 007</t>
  </si>
  <si>
    <t>CAA COLDIRETTI S.R.L.</t>
  </si>
  <si>
    <t>SERV. DEC. AGRICOLTURA E ALIM. - MACERATA</t>
  </si>
  <si>
    <t>PSP Programmazione 2023/2027</t>
  </si>
  <si>
    <t>SRA14</t>
  </si>
  <si>
    <t>SOCIETA' AGRICOLA SEMPLICE MACERETO</t>
  </si>
  <si>
    <t>Istruttoria Automatica</t>
  </si>
  <si>
    <t>Erogata</t>
  </si>
  <si>
    <t>Saldo</t>
  </si>
  <si>
    <t>Co-Finanziato</t>
  </si>
  <si>
    <t>CAA LiberiAgricoltori srl già CAA AGCI srl</t>
  </si>
  <si>
    <t>CAA LiberiAgricoltori - MACERATA - 003</t>
  </si>
  <si>
    <t>CAA LIBERIAGRICOLTORI S.R.L</t>
  </si>
  <si>
    <t>PARIS MICHELA</t>
  </si>
  <si>
    <t>CAA LiberiAgricoltori - MACERATA - 001</t>
  </si>
  <si>
    <t>SERV. DEC. AGRICOLTURA E ALIMENTAZIONE - PESARO</t>
  </si>
  <si>
    <t>SOCIETA' AGRICOLA TODO S.S.</t>
  </si>
  <si>
    <t>CAA Coldiretti - ANCONA - 002</t>
  </si>
  <si>
    <t>SERV. DEC. AGRICOLTURA E ALIMENTAZIONE - ANCONA</t>
  </si>
  <si>
    <t>ISTITUTO DI ISTRUZIONE SUPERIORE MOREA VIVARELLI</t>
  </si>
  <si>
    <t>CAA CIA srl</t>
  </si>
  <si>
    <t>CAA CIA - ANCONA - 005</t>
  </si>
  <si>
    <t>CAA CIA</t>
  </si>
  <si>
    <t>COOPERATIVA ALL.E PROD.DI MONTELAGO SOCIETA' COOPERATIVA AGRICOLA</t>
  </si>
  <si>
    <t>CAA LiberiAgricoltori - PESARO E URBINO - 002</t>
  </si>
  <si>
    <t>AZIENDA AGRICOLA CA' MADDALENA SOCIETA' SEMPLICE</t>
  </si>
  <si>
    <t>CAA Coldiretti - MACERATA - 017</t>
  </si>
  <si>
    <t>LORENZOTTI ALDO</t>
  </si>
  <si>
    <t>GAMBONI CLAUDIA</t>
  </si>
  <si>
    <t>SOCIETA' AGRICOLA SEMPLICE SANT'ANNA</t>
  </si>
  <si>
    <t>CAA CIA - PESARO E URBINO - 007</t>
  </si>
  <si>
    <t>LUCARINI GIACOMO</t>
  </si>
  <si>
    <t>GENTILOTTI GIUSEPPE</t>
  </si>
  <si>
    <t>ANGELONI EMANUELE</t>
  </si>
  <si>
    <t>SCOLASTICI RAIMONDO</t>
  </si>
  <si>
    <t>CAA Coldiretti - PERUGIA - 008</t>
  </si>
  <si>
    <t>ALLEVAMENTO CAVALLI DEL CORNO DI ROMITELLI FAUSTO &amp; C. SOCIETA' AGRICO</t>
  </si>
  <si>
    <t>BENEDETTI RICCARDO</t>
  </si>
  <si>
    <t>CAA Coldiretti - MACERATA - 007</t>
  </si>
  <si>
    <t>CIANCONI ALBERTO</t>
  </si>
  <si>
    <t>RAVAIOLI MIRCO</t>
  </si>
  <si>
    <t>CAMBORATA MARTA</t>
  </si>
  <si>
    <t>CAA Coldiretti - PESARO E URBINO - 001</t>
  </si>
  <si>
    <t>DURO FRANCA</t>
  </si>
  <si>
    <t>TRAVAGLIATI ROBERTO</t>
  </si>
  <si>
    <t>ALEOTTI GIOVAN BATTISTA</t>
  </si>
  <si>
    <t>SEBASTIANI MASSIMILIANO</t>
  </si>
  <si>
    <t>SOCIETA' AGRICOLA LA CARDA SRL</t>
  </si>
  <si>
    <t>TRAVAGLIATI GIUSEPPE</t>
  </si>
  <si>
    <t>ROMITELLI GIACOMO</t>
  </si>
  <si>
    <t>CAA Coldiretti - PESARO E URBINO - 006</t>
  </si>
  <si>
    <t>AZIENDA AGRICOLA MEZZANOTTE DI MASSI SIMONE E C. - SOCIETA' AGRICOLA I</t>
  </si>
  <si>
    <t>SEBASTIANI MARCO</t>
  </si>
  <si>
    <t>Ordinario</t>
  </si>
  <si>
    <t>AGEA.ASR.2025.1446277</t>
  </si>
  <si>
    <t>CAA Coldiretti - ANCONA - 003</t>
  </si>
  <si>
    <t>SRA15</t>
  </si>
  <si>
    <t>SILVESTRI MORENO</t>
  </si>
  <si>
    <t>AGEA.ASR.2025.1446378</t>
  </si>
  <si>
    <t>STAFFOLANI GIULIA</t>
  </si>
  <si>
    <t>UBERTINI PIERINO</t>
  </si>
  <si>
    <t>CAA Confagricoltura srl</t>
  </si>
  <si>
    <t>CAA Confagricoltura - ANCONA - 001</t>
  </si>
  <si>
    <t>CAA CONFAGRICOLTURA S.R.L.</t>
  </si>
  <si>
    <t>GABRIELLI LORENZO</t>
  </si>
  <si>
    <t>CAA Confagricoltura - ASCOLI PICENO - 001</t>
  </si>
  <si>
    <t>SERV. DEC. AGRICOLTURA E ALIM. -ASCOLI PICENO</t>
  </si>
  <si>
    <t>SERENA SOCIETA' AGRICOLA SEMPLICE</t>
  </si>
  <si>
    <t>CIATTAGLIA GIORGIO</t>
  </si>
  <si>
    <t>CAA LiberiAgricoltori - MACERATA - 005</t>
  </si>
  <si>
    <t>SOCIETA AGRICOLA IL MORO S.S.</t>
  </si>
  <si>
    <t>CAA Coldiretti - MACERATA - 009</t>
  </si>
  <si>
    <t>SOCIETA' AGRICOLA ALESIANI DI ALESIANI MAURO E C. S.S.</t>
  </si>
  <si>
    <t>ANCILLANI ALESSIO</t>
  </si>
  <si>
    <t>CAA-CAF AGRI S.R.L.</t>
  </si>
  <si>
    <t>CAA CAF AGRI - ANCONA - 224</t>
  </si>
  <si>
    <t>BORA FRANCESCO</t>
  </si>
  <si>
    <t>CAA CIA - ANCONA - 002</t>
  </si>
  <si>
    <t>BORIONI LUCA</t>
  </si>
  <si>
    <t>GALLINA GIULIA</t>
  </si>
  <si>
    <t>LAPPONI CARLO</t>
  </si>
  <si>
    <t>CAA Coldiretti - ASCOLI PICENO - 025</t>
  </si>
  <si>
    <t>MAZZONI GIANNI</t>
  </si>
  <si>
    <t>MORICI MARIA ANTONIETTA</t>
  </si>
  <si>
    <t>COLA GIANNI</t>
  </si>
  <si>
    <t>MAZZIERO IDA</t>
  </si>
  <si>
    <t>SOCIETA' AGRICOLA MARCONI &amp; CAPITANI SOCIETA' SEMPLICE DI MARCONI KATI</t>
  </si>
  <si>
    <t>SOCIETA' AGRICOLA MOSCI PAOLO-ROBERTO-LORENZO SOCIETA' SEMPL</t>
  </si>
  <si>
    <t>SOCIETA' AGRICOLA SOGESTA S.S.</t>
  </si>
  <si>
    <t>CAA Coldiretti - FERMO - 001</t>
  </si>
  <si>
    <t>SRA01</t>
  </si>
  <si>
    <t>ROCCHI DAVIDE</t>
  </si>
  <si>
    <t>CAA LiberiAgricoltori - MACERATA - 006</t>
  </si>
  <si>
    <t>SPARAPANI PAOLO</t>
  </si>
  <si>
    <t>FRUTTAMI DI MASTROSANI FABIO E FELICE SOCIETA' SEMPLICE AGRICOLA</t>
  </si>
  <si>
    <t>CAA Coldiretti - MACERATA - 010</t>
  </si>
  <si>
    <t>GUZZINI FRANCESCO</t>
  </si>
  <si>
    <t>AGEA.ASR.2025.1446211</t>
  </si>
  <si>
    <t>CAA Coldiretti - ANCONA - 001</t>
  </si>
  <si>
    <t>MARTINANGELI MASSIMO</t>
  </si>
  <si>
    <t>SOCIETA' AGRICOLA TTA S.A.S. MARTINANGELI PACIFICO DI MARTINANGELI MAS</t>
  </si>
  <si>
    <t>SRB01</t>
  </si>
  <si>
    <t>MARIANI SANDRO</t>
  </si>
  <si>
    <t>PASSETTI PIERPAOLO</t>
  </si>
  <si>
    <t>MAGRINI ARMANDO</t>
  </si>
  <si>
    <t>TINI ERNESTO</t>
  </si>
  <si>
    <t>CAA Coldiretti - ANCONA - 005</t>
  </si>
  <si>
    <t>FRANCHINI FRANCO FRANCESCO</t>
  </si>
  <si>
    <t>SOCIETA' AGRICOLA TERRE DI RAFFAELLO S.S.</t>
  </si>
  <si>
    <t>SOCIETA' AGRICOLA PAIARDINI DI PAIARDINI TINO &amp; C. S.S.</t>
  </si>
  <si>
    <t>MANCINELLI BEATRICE</t>
  </si>
  <si>
    <t>CAA CAF AGRI - ASCOLI PICENO - 223</t>
  </si>
  <si>
    <t>CAUCCI SERAFINA</t>
  </si>
  <si>
    <t>BARTOLUCCI MARINA</t>
  </si>
  <si>
    <t>POLIDORI LUCIANO</t>
  </si>
  <si>
    <t>PIERINI ATTILIO</t>
  </si>
  <si>
    <t>SANTONI RENATO</t>
  </si>
  <si>
    <t>CAA CIA - PESARO E URBINO - 002</t>
  </si>
  <si>
    <t>BERNARDINI MARCO</t>
  </si>
  <si>
    <t>CAA CIA - ASCOLI PICENO - 001</t>
  </si>
  <si>
    <t>TRENTA VALENTINA</t>
  </si>
  <si>
    <t>CAA Confagricoltura - PESARO E URBINO - 001</t>
  </si>
  <si>
    <t>ISTITUTO ARSENI - RICOVERO S.ANTONIO</t>
  </si>
  <si>
    <t>PINNOLA CESARE</t>
  </si>
  <si>
    <t>CARBONARI SIMONE</t>
  </si>
  <si>
    <t>TASSI MARIA</t>
  </si>
  <si>
    <t>RICCI MARIELLA</t>
  </si>
  <si>
    <t>CAA UNICAA srl</t>
  </si>
  <si>
    <t>CAA UNICAA - PESARO E URBINO - 003</t>
  </si>
  <si>
    <t>CAA UNICAA</t>
  </si>
  <si>
    <t>BONAZZOLI GIAMPIETRO</t>
  </si>
  <si>
    <t>BONCI RITA</t>
  </si>
  <si>
    <t>BARDEGGIA VALERIO</t>
  </si>
  <si>
    <t>CAA CIA - ASCOLI PICENO - 002</t>
  </si>
  <si>
    <t>FAGIANI ALBERTO</t>
  </si>
  <si>
    <t>GIORGI GIULIANA</t>
  </si>
  <si>
    <t>SACCO GIULIA</t>
  </si>
  <si>
    <t>OTTALEVI GIANLUCA</t>
  </si>
  <si>
    <t>LE MOIE SOCIETA' AGRICOLA S.S.</t>
  </si>
  <si>
    <t>BARTOLUCCI GIANCARLO</t>
  </si>
  <si>
    <t>MISICI FRANCO</t>
  </si>
  <si>
    <t>FORCONI PIERINA</t>
  </si>
  <si>
    <t>SARTORELLI LUCA</t>
  </si>
  <si>
    <t>CAA CIA - PESARO E URBINO - 008</t>
  </si>
  <si>
    <t>SOCIETA' SEMPLICE AGRICOLA DI SABATINI LILLIANA &amp; FIGLI</t>
  </si>
  <si>
    <t>CINI SIMONE</t>
  </si>
  <si>
    <t>MARTINELLI ELISA</t>
  </si>
  <si>
    <t>SINCINI MAURO</t>
  </si>
  <si>
    <t>VITALETTI ANGELINA</t>
  </si>
  <si>
    <t>AMBROGIANI GIULIANO</t>
  </si>
  <si>
    <t>SOCIETA' AGRICOLA VANGELISTA LUCA S.N.C. DI LUCA VANGELISTA</t>
  </si>
  <si>
    <t>SABBATINI LUCIA</t>
  </si>
  <si>
    <t>CAA Coldiretti - PESARO E URBINO - 008</t>
  </si>
  <si>
    <t>SPEZI ORIANO</t>
  </si>
  <si>
    <t>SOCIETA' AGRICOLA "AZIENDA AGRICOLA F.LLI RINOLFI"</t>
  </si>
  <si>
    <t>SBAFFI SILVIA</t>
  </si>
  <si>
    <t>CAA Coldiretti - PESARO E URBINO - 004</t>
  </si>
  <si>
    <t>RUGGERI GIAMPAOLO</t>
  </si>
  <si>
    <t>AURELI MACCARIO</t>
  </si>
  <si>
    <t>PALOMBI TONINO</t>
  </si>
  <si>
    <t>PEDICA MARIA TERESA</t>
  </si>
  <si>
    <t>BIOCCO MARIA</t>
  </si>
  <si>
    <t>PAZZAGLIA RICCARDO</t>
  </si>
  <si>
    <t>CALANDRINI LAURA</t>
  </si>
  <si>
    <t>SOCIETA' AGRICOLA CALANDRINI MARIO E BAZZUCCHI GRAZIELLA S.S</t>
  </si>
  <si>
    <t>ARE AGRICOLTURA SOCIETA' SEMPLICE AGRICOLA DI DE STEFANO GIOVANNA E C.</t>
  </si>
  <si>
    <t>SILVERI LUCA</t>
  </si>
  <si>
    <t>ROMITELLI FAUSTO</t>
  </si>
  <si>
    <t>SOCIETA' AGRICOLA LE ARCELLE DI PAZZAGLIA GIUSEPPINA &amp; C.SNC</t>
  </si>
  <si>
    <t>PELUCCHINI FRANCESCO</t>
  </si>
  <si>
    <t>FECCHI ALESSIO</t>
  </si>
  <si>
    <t>CANCELLIERI AUGUSTO</t>
  </si>
  <si>
    <t>AZIENDA AGRICOLA IL GELSO DEI F.LLI COFANI DI COFANI ALESSANDRO COFANI</t>
  </si>
  <si>
    <t>BONOMI SILVIA</t>
  </si>
  <si>
    <t>PISCIOLINI LUCA</t>
  </si>
  <si>
    <t>LO PRETE MARIA</t>
  </si>
  <si>
    <t>SOCIETA' AGRICOLA "LA CORTE" DI CONTI GIULIANO &amp; C S.S.</t>
  </si>
  <si>
    <t>PANTANELLA BENITO</t>
  </si>
  <si>
    <t>CAA Coldiretti - PESARO E URBINO - 010</t>
  </si>
  <si>
    <t>CAPPONI AURELIO</t>
  </si>
  <si>
    <t>LORONI LIA</t>
  </si>
  <si>
    <t>DI MULO MASSIMO</t>
  </si>
  <si>
    <t>CAA CIA - MACERATA - 001</t>
  </si>
  <si>
    <t>SALVATORI ELIO</t>
  </si>
  <si>
    <t>DONAIRES MOLINA ANA</t>
  </si>
  <si>
    <t>CAPRIOTTI MARCO</t>
  </si>
  <si>
    <t>BIDUCCI ALFIO</t>
  </si>
  <si>
    <t>CABRINI NORMA</t>
  </si>
  <si>
    <t>CAA LiberiAgricoltori - PESARO E URBINO - 001</t>
  </si>
  <si>
    <t>BALDELLI OSVALDO</t>
  </si>
  <si>
    <t>PAGANELLI UMBERTO</t>
  </si>
  <si>
    <t>MICHELI ROBERTO</t>
  </si>
  <si>
    <t>AZ. AGR. MONSANTO DI BARDEGGIA CARBONARI SOCIETA' AGRICOLA SS</t>
  </si>
  <si>
    <t>TRIBUZIO IGINO</t>
  </si>
  <si>
    <t>FALCIONI ANNA MARIA</t>
  </si>
  <si>
    <t>CAA CIA - ASCOLI PICENO - 006</t>
  </si>
  <si>
    <t>ROTINI GIUSEPPE</t>
  </si>
  <si>
    <t>TESEI GIOVANNI</t>
  </si>
  <si>
    <t>CAA Coldiretti - PESARO E URBINO - 013</t>
  </si>
  <si>
    <t>POZZUOLI CAMILLO</t>
  </si>
  <si>
    <t>SOCIETA AGRICOLA GIOVANNINI G. &amp; E. SS</t>
  </si>
  <si>
    <t>RASTELLI ALESSANDRA</t>
  </si>
  <si>
    <t>BAGAGLINI ANNA MARIA</t>
  </si>
  <si>
    <t>CAA Coldiretti - ASCOLI PICENO - 010</t>
  </si>
  <si>
    <t>IONNI SANDRA</t>
  </si>
  <si>
    <t>BARTOCCIONI PAOLO</t>
  </si>
  <si>
    <t>MARIOTTI ELVIO</t>
  </si>
  <si>
    <t>SOCIETA' AGRICOLA GOVERNATORI S.S.</t>
  </si>
  <si>
    <t>SOCIETA' AGRICOLA TROMBONI S.S.</t>
  </si>
  <si>
    <t>SPADINI ATTILIO</t>
  </si>
  <si>
    <t>FACCHINI GRAZIELLA</t>
  </si>
  <si>
    <t>FABBRI NAZZARENO</t>
  </si>
  <si>
    <t>PAOLI ELEONORA</t>
  </si>
  <si>
    <t>CERERE SOCIETA' CONSORTILE A R.L.</t>
  </si>
  <si>
    <t>MENSA' PATRIZIO</t>
  </si>
  <si>
    <t>FIOCCHI LUCIA</t>
  </si>
  <si>
    <t>STRONATI GIAN CARLO</t>
  </si>
  <si>
    <t>TASCHINI DOMENICO</t>
  </si>
  <si>
    <t>RINALDI RITA</t>
  </si>
  <si>
    <t>GRADL SIMON</t>
  </si>
  <si>
    <t>MICUCCI ERMANNO</t>
  </si>
  <si>
    <t>CARBONI CLAUDIO</t>
  </si>
  <si>
    <t>CAA CIA - PESARO E URBINO - 005</t>
  </si>
  <si>
    <t>CANGINI CLARA</t>
  </si>
  <si>
    <t>SMARGIASSI ALESSIO</t>
  </si>
  <si>
    <t>CAA Confagricoltura - ROMA - 002</t>
  </si>
  <si>
    <t>SOCIETA' AGRICOLA SAN MARCELLO SRL</t>
  </si>
  <si>
    <t>MERLONI FERNANDO</t>
  </si>
  <si>
    <t>BONETTI EMMA</t>
  </si>
  <si>
    <t>CASAGRANDE ROLANDO</t>
  </si>
  <si>
    <t>VALLE VERDE SOCIETA' AGRICOLA SEMPLICE</t>
  </si>
  <si>
    <t>RICCITELLI OLGA</t>
  </si>
  <si>
    <t>VOEGELE KATHARINA</t>
  </si>
  <si>
    <t>MASS-HANS VALDIFIORI DI CIPRIANI MASSIMO &amp; C. S.A.S. - SOCIETA'AG RICO</t>
  </si>
  <si>
    <t>CAA Liberi Prof.</t>
  </si>
  <si>
    <t>CAA Liberi Prof. - PESARO E URBINO - 001</t>
  </si>
  <si>
    <t>CAA LIBERI PROFESSIONISTI S.R.L.</t>
  </si>
  <si>
    <t>CLEMENTI FEDERICO</t>
  </si>
  <si>
    <t>CAA CAF AGRI - MACERATA - 224</t>
  </si>
  <si>
    <t>MOCCI MARIA</t>
  </si>
  <si>
    <t>MOMIST SOCIETA AGRICOLA DI PARIS MICHELA E C. S.S.</t>
  </si>
  <si>
    <t>FERRI MAURO</t>
  </si>
  <si>
    <t>SENSINI ANDREA</t>
  </si>
  <si>
    <t>MAGI MARISA</t>
  </si>
  <si>
    <t>ROSSI LUCIANO</t>
  </si>
  <si>
    <t>EVANGELISTI LUIGI</t>
  </si>
  <si>
    <t>GIARDINI ANGELO</t>
  </si>
  <si>
    <t>GIANNINI TERESINA-ERNESTA</t>
  </si>
  <si>
    <t>MORRI MASSIMILIANO</t>
  </si>
  <si>
    <t>CAVERNI SOCIETA' AGRICOLA SEMPLICE</t>
  </si>
  <si>
    <t>CERIGINI LUCIANA</t>
  </si>
  <si>
    <t>CASAVECCHIA MARIA ADELE</t>
  </si>
  <si>
    <t>DONNINI GIOVANNI</t>
  </si>
  <si>
    <t>PERUZZINI LUCIANO</t>
  </si>
  <si>
    <t>GASPARI LORIS</t>
  </si>
  <si>
    <t>PALA GIOVANNI</t>
  </si>
  <si>
    <t>PUCCIARELLI DANIELA</t>
  </si>
  <si>
    <t>CAA LiberiAgricoltori - MACERATA - 002</t>
  </si>
  <si>
    <t>BORGARUCCI DANILO</t>
  </si>
  <si>
    <t>LATINI ERSILIA</t>
  </si>
  <si>
    <t>CAA CIA - ASCOLI PICENO - 005</t>
  </si>
  <si>
    <t>DE ANGELIS GRAZIANO</t>
  </si>
  <si>
    <t>COICCHIO ROSINA</t>
  </si>
  <si>
    <t>SOCIETA' AGRICOLA CARAMELLA DI COSMI MARIO E MONIA S.S.</t>
  </si>
  <si>
    <t>CONTI MARCO</t>
  </si>
  <si>
    <t>SOCIETA' AGRICOLA NANNI DI NANNI CLAUDIO &amp; C. S.S.</t>
  </si>
  <si>
    <t>SERVILI ANDREA</t>
  </si>
  <si>
    <t>CALISTI TERENZIO</t>
  </si>
  <si>
    <t>SOCIETA' AGRICOLA EREDI CECCOLINI TERESA S.S.</t>
  </si>
  <si>
    <t>SEVERI SILVIO</t>
  </si>
  <si>
    <t>SOCIETA' AGRICOLA TERRE VERDI S.S.</t>
  </si>
  <si>
    <t>VIMERCATI PAOLA GIOVANNA</t>
  </si>
  <si>
    <t>UGOLINI FERRUCCIO</t>
  </si>
  <si>
    <t>BIRARELLI MARCO</t>
  </si>
  <si>
    <t>LA SANTOREGGIA SOCIETA' AGRICOLA DI LATTAZI ELISA E MICHELE S. S</t>
  </si>
  <si>
    <t>LUCARINI ALESSIO</t>
  </si>
  <si>
    <t>CLEMENTI OLGA</t>
  </si>
  <si>
    <t>MONTESI PAOLO - CIBIN SABRINA</t>
  </si>
  <si>
    <t>AZIENDA AGRICOLA SABBATINI E C. SOCIETA' AGRICOLA S.S.</t>
  </si>
  <si>
    <t>TORTOLINI ROSANNA</t>
  </si>
  <si>
    <t>CAA UNICAA - ASCOLI PICENO - 003</t>
  </si>
  <si>
    <t>CRUCIANI LAURA</t>
  </si>
  <si>
    <t>CAA AGRISERVIZI s.r.l.</t>
  </si>
  <si>
    <t>CAA AGRISERVIZI - LATINA - 001</t>
  </si>
  <si>
    <t>CAA AGRISERVIZI S.R.L.</t>
  </si>
  <si>
    <t>CIABATTONI ALESSIO E GIULIANO SOCIETA' SEMPLICE AGRICOLA</t>
  </si>
  <si>
    <t>FRATELLI IEZZI SOCIETA' SEMPLICE</t>
  </si>
  <si>
    <t>CORSO NELLO</t>
  </si>
  <si>
    <t>BACOLINI PRIMO</t>
  </si>
  <si>
    <t>MASILI FRANCESCO</t>
  </si>
  <si>
    <t>ROSELLI GIAMPIETRO</t>
  </si>
  <si>
    <t>POLLI RENATO</t>
  </si>
  <si>
    <t>BENEDETTI GIANFRANCO</t>
  </si>
  <si>
    <t>QUADRELLI DANIELE</t>
  </si>
  <si>
    <t>DROGHINI PAOLO</t>
  </si>
  <si>
    <t>GUIDARELLI PIETRO</t>
  </si>
  <si>
    <t>SABBATINI LAURA</t>
  </si>
  <si>
    <t>TAMANTI PATRIZIA</t>
  </si>
  <si>
    <t>SOCIETA' AGRICOLA SEPI ANGELICA E CATERINA S.S.</t>
  </si>
  <si>
    <t>VECCHI TOMMASO</t>
  </si>
  <si>
    <t>MANCINELLI GIOVANNI E CICCONOFRI MATILDE SOC. SEMPLICE</t>
  </si>
  <si>
    <t>GIORGI VITTORIO</t>
  </si>
  <si>
    <t>CRISPICIANI SARA</t>
  </si>
  <si>
    <t>ROSSI FRANCESCO</t>
  </si>
  <si>
    <t>PAGANELLI RICCARDO</t>
  </si>
  <si>
    <t>PICCIONI RUGGERO</t>
  </si>
  <si>
    <t>MARIANI PIERANGELO</t>
  </si>
  <si>
    <t>GUERRA LAURA</t>
  </si>
  <si>
    <t>MARCHIONNI VALTER</t>
  </si>
  <si>
    <t>PANUNTI DOMENICO</t>
  </si>
  <si>
    <t>FERRANTI SILVIA</t>
  </si>
  <si>
    <t>CAA Coldiretti - PESARO E URBINO - 007</t>
  </si>
  <si>
    <t>ARDUINI ALFIO</t>
  </si>
  <si>
    <t>ROSSI BRUNORI PARIDE</t>
  </si>
  <si>
    <t>BALDELLI GIOVANNI</t>
  </si>
  <si>
    <t>AGOSTINI MARIA ANTONIA</t>
  </si>
  <si>
    <t>SOCIETA' AGRICOLA SABBATINI S.S.</t>
  </si>
  <si>
    <t>PAGANO ADRIANA</t>
  </si>
  <si>
    <t>BEI MARIO</t>
  </si>
  <si>
    <t>STAGNOZZI EMILIANO</t>
  </si>
  <si>
    <t>FABI CRISTIANA</t>
  </si>
  <si>
    <t>FATTORI FRANCESCO</t>
  </si>
  <si>
    <t>MAZZALVERI LEOPOLDO</t>
  </si>
  <si>
    <t>BONIFAZI MASSIMO</t>
  </si>
  <si>
    <t>BURAIOLI PIERLUIGI</t>
  </si>
  <si>
    <t>DAMIANI CESARINA</t>
  </si>
  <si>
    <t>SOCIETA' AGRICOLA MONTEVERDE FINI BENEDETTA DI MARCUCCI VINCENZO &amp; C.</t>
  </si>
  <si>
    <t>MUSCINELLI LUIGI</t>
  </si>
  <si>
    <t>MERCURI SERGIO</t>
  </si>
  <si>
    <t>VALCIMARA ANGELO</t>
  </si>
  <si>
    <t>MASCIOLI FRANCO</t>
  </si>
  <si>
    <t>FAINI ANTONELLA EMMA</t>
  </si>
  <si>
    <t>MULATTIERI COSTANTINO</t>
  </si>
  <si>
    <t>RADICIONI GIULIO</t>
  </si>
  <si>
    <t>SOCIETA' AGRICOLA ROSA MARIA SOCIETA' SEMPLICE</t>
  </si>
  <si>
    <t>CORRIERI PAOLO</t>
  </si>
  <si>
    <t>MARTINELLI CARLO</t>
  </si>
  <si>
    <t>CAA CIA - PERUGIA - 007</t>
  </si>
  <si>
    <t>ALESSANDRI ANNA LUCIA</t>
  </si>
  <si>
    <t>SOCIETA' AGRICOLA BARTOLUCCI S.S.</t>
  </si>
  <si>
    <t>CASELLA ANTONINA</t>
  </si>
  <si>
    <t>LISI LEONARDO</t>
  </si>
  <si>
    <t>AGOSTINELLI AUGUSTO</t>
  </si>
  <si>
    <t>RUGOLETTI CARLA</t>
  </si>
  <si>
    <t>DIOTALEVI MAURIZIO</t>
  </si>
  <si>
    <t>ZAMPETTI PIETRO</t>
  </si>
  <si>
    <t>PIERUCCI GIANCARLO</t>
  </si>
  <si>
    <t>SOCIETA' AGRICOLA LA VALLE S.S.</t>
  </si>
  <si>
    <t>LANA CESARE</t>
  </si>
  <si>
    <t>FIACCHINI CLAUDIO</t>
  </si>
  <si>
    <t>CLAUDI RICCARDO</t>
  </si>
  <si>
    <t>CAPANNINI ASSUNTA</t>
  </si>
  <si>
    <t>RIPANI GIANMARCO</t>
  </si>
  <si>
    <t>CARSETTI ROLANDO</t>
  </si>
  <si>
    <t>MERLINI SILVANO</t>
  </si>
  <si>
    <t>ANGELUCCI AMINA</t>
  </si>
  <si>
    <t>FERRETTI DOMENICO</t>
  </si>
  <si>
    <t>AMADORI GIANFRANCO</t>
  </si>
  <si>
    <t>PAPIRI FEDERICO</t>
  </si>
  <si>
    <t>LORENZETTI ANNA</t>
  </si>
  <si>
    <t>CAA Coldiretti - ASCOLI PICENO - 040</t>
  </si>
  <si>
    <t>COLLETTA FABIO</t>
  </si>
  <si>
    <t>CORRIERI PIETRO</t>
  </si>
  <si>
    <t>SALCICCIA MARCO</t>
  </si>
  <si>
    <t>GUIDI MARIA</t>
  </si>
  <si>
    <t>CASACCIA GIULIANO</t>
  </si>
  <si>
    <t>CONTI GIANCARLO</t>
  </si>
  <si>
    <t>DAMIA PACIARINI VALERIO</t>
  </si>
  <si>
    <t>CANTUCCI ARIANNA</t>
  </si>
  <si>
    <t>BIONDI GABRIELE</t>
  </si>
  <si>
    <t>BONANNI GIULIANO</t>
  </si>
  <si>
    <t>STROPPA CAMILLA</t>
  </si>
  <si>
    <t>PARIS GIOVANNI</t>
  </si>
  <si>
    <t>CAA Coldiretti - ASCOLI PICENO - 030</t>
  </si>
  <si>
    <t>DI BUO' VALERIO</t>
  </si>
  <si>
    <t>PUGNALI MERIS</t>
  </si>
  <si>
    <t>BALDUCCI MATTEO</t>
  </si>
  <si>
    <t>PIERAGOSTINI BASILIO E POMPONI LUIGINA SOC. SEMPLICE</t>
  </si>
  <si>
    <t>VIOLINI STEFANO</t>
  </si>
  <si>
    <t>TANTALOCCHI ENRICA</t>
  </si>
  <si>
    <t>NICOLETTI NEDI</t>
  </si>
  <si>
    <t>POLLIDORI DINO</t>
  </si>
  <si>
    <t>MAZZONI LOREDANA</t>
  </si>
  <si>
    <t>SALVATORI AGATA</t>
  </si>
  <si>
    <t>SCAPECCIA MARIA GRAZIA</t>
  </si>
  <si>
    <t>PERNI ORIANO</t>
  </si>
  <si>
    <t>CANNAS MARIARITA</t>
  </si>
  <si>
    <t>MARIOTTI ALBERTO</t>
  </si>
  <si>
    <t>PENSERINI PAOLO</t>
  </si>
  <si>
    <t>ROSSI MARGHERITA</t>
  </si>
  <si>
    <t>MAINARDI ROBERTO</t>
  </si>
  <si>
    <t>FOGLIETTA FAUSTO</t>
  </si>
  <si>
    <t>MATTEI LEO</t>
  </si>
  <si>
    <t>PALAZZI STEFANO</t>
  </si>
  <si>
    <t>GAZZELLINI FRANCA</t>
  </si>
  <si>
    <t>NUCCI SANDRO</t>
  </si>
  <si>
    <t>MAGI PIETRO</t>
  </si>
  <si>
    <t>SALUCCI MICHELE</t>
  </si>
  <si>
    <t>SOC. AGR CAU MARCELLO S.S.</t>
  </si>
  <si>
    <t>FLAMMA MASSIMO</t>
  </si>
  <si>
    <t>SQUARCIA ANNA MARIA</t>
  </si>
  <si>
    <t>VECCHI ADRIANO</t>
  </si>
  <si>
    <t>AESA SOCIETA' AGRICOLA S.S.</t>
  </si>
  <si>
    <t>APPOLLONI ISOLINA</t>
  </si>
  <si>
    <t>VEROLINI PATRIZIA</t>
  </si>
  <si>
    <t>AMORINO CARLO</t>
  </si>
  <si>
    <t>LAURI GIANCARLO</t>
  </si>
  <si>
    <t>SOCIETA' AGRICOLA MARSILI ADORNO E C. SOC .SEMPLICE</t>
  </si>
  <si>
    <t>CORVINI ALFREDO</t>
  </si>
  <si>
    <t>MAURIZI MARIA LUISA</t>
  </si>
  <si>
    <t>UBALDINI GIOVANNI</t>
  </si>
  <si>
    <t>SANTINELLI BRUNO</t>
  </si>
  <si>
    <t>MONTESI TIZIANO</t>
  </si>
  <si>
    <t>CONSOLINI LUIGINO</t>
  </si>
  <si>
    <t>GUERRA MASSIMO</t>
  </si>
  <si>
    <t>MANNI ANDREA</t>
  </si>
  <si>
    <t>MONTI FILIPPO</t>
  </si>
  <si>
    <t>CINGOLANI DENIS</t>
  </si>
  <si>
    <t>CAA CIA - PESARO E URBINO - 003</t>
  </si>
  <si>
    <t>SPALLACCI GIANMARCO</t>
  </si>
  <si>
    <t>PISTOLA ENRICA</t>
  </si>
  <si>
    <t>MONTEFELTRO FORAGGI S.R.L.</t>
  </si>
  <si>
    <t>ADROWER ROBERTO</t>
  </si>
  <si>
    <t>COSTANTINI OMAR</t>
  </si>
  <si>
    <t>PEDICA ANGELO</t>
  </si>
  <si>
    <t>RICCI MARCO</t>
  </si>
  <si>
    <t>DONNINI GIORGIO</t>
  </si>
  <si>
    <t>CAA degli Agricoltori Srl</t>
  </si>
  <si>
    <t>CAA Degli Agricoltori - ANCONA - 102</t>
  </si>
  <si>
    <t>CAA degli AGRICOLTORI Srl</t>
  </si>
  <si>
    <t>MACCARI LUCA</t>
  </si>
  <si>
    <t>CANCELLIERI SIMONE</t>
  </si>
  <si>
    <t>DONATI MARCELLO</t>
  </si>
  <si>
    <t>GIACOMONI ELISA</t>
  </si>
  <si>
    <t>CAA UNSIC s.r.l.</t>
  </si>
  <si>
    <t>CAA UNSIC - ASCOLI PICENO - 001</t>
  </si>
  <si>
    <t>CAA UNSIC</t>
  </si>
  <si>
    <t>ORTOLANI ADRIANO</t>
  </si>
  <si>
    <t>GIUSTINIANI QUINTO</t>
  </si>
  <si>
    <t>ANGELI LUCA</t>
  </si>
  <si>
    <t>SOCIETA' AGRICOLA F.LLI AMBROGI S.S.</t>
  </si>
  <si>
    <t>FORMICA FABIO</t>
  </si>
  <si>
    <t>SOCIETA' AGRICOLA ROMITI SOCIETA' SEMPLICE</t>
  </si>
  <si>
    <t>SOCIETA' AGRICOLA "CAPODIMONTE" DI FERRETTI MARIANNA E FRANCESCA S.S.</t>
  </si>
  <si>
    <t>AMICI ALESSANDRA</t>
  </si>
  <si>
    <t>BONDI DANIELA</t>
  </si>
  <si>
    <t>CAA Coldiretti - ANCONA - 006</t>
  </si>
  <si>
    <t>FUCILI FRANCO</t>
  </si>
  <si>
    <t>PAGNANELLI CARLO</t>
  </si>
  <si>
    <t>LAMBERTUCCI GIORGIO</t>
  </si>
  <si>
    <t>OTTAVIANI FEDERICO</t>
  </si>
  <si>
    <t>GIONNI DOMENICO</t>
  </si>
  <si>
    <t>BIDUCCI ANDREA</t>
  </si>
  <si>
    <t>FRANCESCHELLI GIANCARLO</t>
  </si>
  <si>
    <t>PEYRON BERNARDINO ENRICO MARIA</t>
  </si>
  <si>
    <t>LATINI ADELMO</t>
  </si>
  <si>
    <t>MANCINI UGO</t>
  </si>
  <si>
    <t>BENZI ANTONIO</t>
  </si>
  <si>
    <t>STRAPPAVECCIA PAOLO</t>
  </si>
  <si>
    <t>MILLI PAOLA</t>
  </si>
  <si>
    <t>PARLANI MASSIMO</t>
  </si>
  <si>
    <t>CESARETTI MARIA TERESA</t>
  </si>
  <si>
    <t>AMADORI VALENTINO</t>
  </si>
  <si>
    <t>BECCHETTI LUCIANO</t>
  </si>
  <si>
    <t>AIA RICCI SOCIETA' AGRICOLA S.S.</t>
  </si>
  <si>
    <t>PIGNOCCHI MARCO</t>
  </si>
  <si>
    <t>CAA LiberiAgricoltori - MACERATA - 004</t>
  </si>
  <si>
    <t>CHIAPPINI GIANFRANCO</t>
  </si>
  <si>
    <t>GUAGNELI MARIA</t>
  </si>
  <si>
    <t>LOPUSAN VILIAM</t>
  </si>
  <si>
    <t>STAFFOLANI MARIO</t>
  </si>
  <si>
    <t>BALDARELLI DONATELLA</t>
  </si>
  <si>
    <t>BRANDI MICHELE</t>
  </si>
  <si>
    <t>DE ANGELI TOMAS</t>
  </si>
  <si>
    <t>NICOLETTI CARLO ALBERTO</t>
  </si>
  <si>
    <t>MARCUCCI MASSIMO</t>
  </si>
  <si>
    <t>PUGNALI EMO</t>
  </si>
  <si>
    <t>DUCHI PAOLO E ALVINO SOC. SEMPLICE</t>
  </si>
  <si>
    <t>MARCHETTI SILVANO</t>
  </si>
  <si>
    <t>BETTINI O PETTINI LILIANA</t>
  </si>
  <si>
    <t>VALORI GUIDO</t>
  </si>
  <si>
    <t>SOCIETA' AGRICOLA CA' SERRANTONIO DEI F.LLI FORMICA S.S.</t>
  </si>
  <si>
    <t>AMICI MARIO</t>
  </si>
  <si>
    <t>CAA CIA - ASCOLI PICENO - 004</t>
  </si>
  <si>
    <t>SIMONELLI SILVANO</t>
  </si>
  <si>
    <t>GUERRA RENATO</t>
  </si>
  <si>
    <t>SEPI-CAMERESI VALERIO</t>
  </si>
  <si>
    <t>CASU ANGELA</t>
  </si>
  <si>
    <t>PEVERINI LEONELLO</t>
  </si>
  <si>
    <t>CORSI MARIO</t>
  </si>
  <si>
    <t>BALDASSARRI ALESSANDRO</t>
  </si>
  <si>
    <t>SESTU GIOVANNI</t>
  </si>
  <si>
    <t>CAA Confagricoltura - MACERATA - 001</t>
  </si>
  <si>
    <t>CECCHINI DANIELA</t>
  </si>
  <si>
    <t>GRESTINI MARIA LUISA</t>
  </si>
  <si>
    <t>LAI MASSIMILIANO</t>
  </si>
  <si>
    <t>RICCI RENATO</t>
  </si>
  <si>
    <t>BALDASSARRI VINCENZO</t>
  </si>
  <si>
    <t>PUCCIARELLI MANUELA</t>
  </si>
  <si>
    <t>MARCHEAGRICOLA - SOCIETA' AGRICOLA SEMPLICE</t>
  </si>
  <si>
    <t>CERQUETELLA GIANLUCA</t>
  </si>
  <si>
    <t>LONDEI MARCO</t>
  </si>
  <si>
    <t>OTTAVI CESARE</t>
  </si>
  <si>
    <t>BASOCU GIAN PIERO</t>
  </si>
  <si>
    <t>FRACCAROLI STEFANIA</t>
  </si>
  <si>
    <t>PASCUCCI ANNA MARIA</t>
  </si>
  <si>
    <t>ASCANI DIEGO</t>
  </si>
  <si>
    <t>POMPEI EMILIANO</t>
  </si>
  <si>
    <t>MERENDA STEFANIA</t>
  </si>
  <si>
    <t>SERRE ALTE S.R.L. SOCIETA' AGRICOLA</t>
  </si>
  <si>
    <t>BAFFIONI BRUNO</t>
  </si>
  <si>
    <t>ALEGI ODORIANO</t>
  </si>
  <si>
    <t>SILIQUINI GIACINTA</t>
  </si>
  <si>
    <t>TRUFFA ROSA</t>
  </si>
  <si>
    <t>TIDEI CLAUDIA</t>
  </si>
  <si>
    <t>VOLPI MATTEO</t>
  </si>
  <si>
    <t>AZIENDA AGRICOLA BARBADORO SOCIETA' SEMPLICE AGRICOLA DI BARBADORO A.</t>
  </si>
  <si>
    <t>ROCCHI PARIS</t>
  </si>
  <si>
    <t>TEMPESTINI FRANCESCO</t>
  </si>
  <si>
    <t>LUCARINI EMIDIO</t>
  </si>
  <si>
    <t>SANCHINI VITTORIO</t>
  </si>
  <si>
    <t>GALIE' FABIO</t>
  </si>
  <si>
    <t>PAGLIARI ALESSANDRO</t>
  </si>
  <si>
    <t>CUCCULELLI DAVIDE</t>
  </si>
  <si>
    <t>RIMINUCCI FRANCA</t>
  </si>
  <si>
    <t>PERUZZINI GABRIELLA</t>
  </si>
  <si>
    <t>PRETELLI FRANCESCO</t>
  </si>
  <si>
    <t>BORGIA MARTINA</t>
  </si>
  <si>
    <t>AMBROSINI VALERIO</t>
  </si>
  <si>
    <t>GIAMPAOLI LORIS</t>
  </si>
  <si>
    <t>CECCONI SAURO</t>
  </si>
  <si>
    <t>RUGGERI ROBERTO</t>
  </si>
  <si>
    <t>MANENTI STEFANO</t>
  </si>
  <si>
    <t>ANGELETTI PIETRO LORENZO</t>
  </si>
  <si>
    <t>MAROCHI UBALDO</t>
  </si>
  <si>
    <t>ZAMPARINI ROBERTA</t>
  </si>
  <si>
    <t>SANTI MAURO</t>
  </si>
  <si>
    <t>FERRETTI FRANCA</t>
  </si>
  <si>
    <t>BALDISSERRI ANDREA</t>
  </si>
  <si>
    <t>CINI ANNA-DONATELLA</t>
  </si>
  <si>
    <t>POSSANZA ALESSANDRO</t>
  </si>
  <si>
    <t>GABELLINI REMO</t>
  </si>
  <si>
    <t>MENICHELLI DOMENICO</t>
  </si>
  <si>
    <t>RIPARI STEFANIA</t>
  </si>
  <si>
    <t>PEONIA INES</t>
  </si>
  <si>
    <t>DIOTALEVI MAURO</t>
  </si>
  <si>
    <t>MENCARELLI VERINA</t>
  </si>
  <si>
    <t>VAMPA MARILENA</t>
  </si>
  <si>
    <t>FULVIA TOMBOLINI E FIGLI SRL SOCIETA' AGRICOLA</t>
  </si>
  <si>
    <t>AZ.AGR.BANCHETTI GIULIANO-SANTONI M. BANCHETTI JOHAANES -SOC,SEMPL.AGR</t>
  </si>
  <si>
    <t>AZIENDA AGRICOLA VENZANO DI URBINATI GABRIELE E FABRIZIO S.S.</t>
  </si>
  <si>
    <t>CUTINI ANASTASIO</t>
  </si>
  <si>
    <t>COLAMASSI PIETRO</t>
  </si>
  <si>
    <t>SOCIETA' AGRICOLA TRE C. S.S.</t>
  </si>
  <si>
    <t>SOCIETA' AGRICOLA MOLINARI NAZZARENO E AGASUCCI BERNARDINA SOC. SEMPLI</t>
  </si>
  <si>
    <t>LA CANOSA S.R.L. SOCIETA' AGRICOLA</t>
  </si>
  <si>
    <t>ZAMPONI MIRCO</t>
  </si>
  <si>
    <t>COSSI ELISABETTA</t>
  </si>
  <si>
    <t>COSTANTINI DANILO</t>
  </si>
  <si>
    <t>BRAVI PATRIZIA</t>
  </si>
  <si>
    <t>CESARETTI ALESSANDRO</t>
  </si>
  <si>
    <t>BATTISTINI RICCARDO</t>
  </si>
  <si>
    <t>ZAMPETTI SANDRO</t>
  </si>
  <si>
    <t>SOCIETA' AGRICOLA CA' DEL MAGGESE S.S.</t>
  </si>
  <si>
    <t>VALENTINI LORIS</t>
  </si>
  <si>
    <t>RUCCI GIOVANNI</t>
  </si>
  <si>
    <t>ZUCCONI GALLI FONSECA FEDERICO</t>
  </si>
  <si>
    <t>ANCORI LAURA</t>
  </si>
  <si>
    <t>GAMBIOLI GIULIO</t>
  </si>
  <si>
    <t>TAGNANI NAZZARENO</t>
  </si>
  <si>
    <t>PAZZELLI ROMINA</t>
  </si>
  <si>
    <t>PAOLETTI LILIANA</t>
  </si>
  <si>
    <t>ROSSI FOSCA</t>
  </si>
  <si>
    <t>POLVERARI FABIO</t>
  </si>
  <si>
    <t>FIORANI LUIGI</t>
  </si>
  <si>
    <t>GHISELLI GIUSEPPE</t>
  </si>
  <si>
    <t>CROCETTI MARIA</t>
  </si>
  <si>
    <t>TUCCINI MARICA</t>
  </si>
  <si>
    <t>SCARDACCHI MIRKO</t>
  </si>
  <si>
    <t>BOCCI MASSIMO</t>
  </si>
  <si>
    <t>FARINA PASQUALE E DIEGO SOCIETA' SEMPLICE</t>
  </si>
  <si>
    <t>SPITONI ENRICO</t>
  </si>
  <si>
    <t>SOCIETA' AGRICOLA CA' VALENTINO S.S.</t>
  </si>
  <si>
    <t>CACCIAMANI TITO</t>
  </si>
  <si>
    <t>UBALDI FRANCESCO</t>
  </si>
  <si>
    <t>CHIUSELLI GIORGIA</t>
  </si>
  <si>
    <t>BARZOTTI MAURO</t>
  </si>
  <si>
    <t>BARTOCCI ANTONIO</t>
  </si>
  <si>
    <t>FIORUCCI GIANFRANCO</t>
  </si>
  <si>
    <t>MARCUCCI PRIMO</t>
  </si>
  <si>
    <t>BRUNETTI BRUNA</t>
  </si>
  <si>
    <t>DI CARO CLAUDIO</t>
  </si>
  <si>
    <t>BARZOTTI LIVIO</t>
  </si>
  <si>
    <t>CONTI OLGA</t>
  </si>
  <si>
    <t>SOCIETA AGRICOLA FERRANTI VALENTINO E UMBERTO</t>
  </si>
  <si>
    <t>MOSCATELLI GIUSEPPE</t>
  </si>
  <si>
    <t>SANTINI LUCIA</t>
  </si>
  <si>
    <t>ROSSETTI VENANZIO</t>
  </si>
  <si>
    <t>ZENI SABRINA</t>
  </si>
  <si>
    <t>EVARISTI PIERO</t>
  </si>
  <si>
    <t>BEI-CLEMENTI IVANA</t>
  </si>
  <si>
    <t>MAGNONI DOMENICO</t>
  </si>
  <si>
    <t>AZ.AGR CAU &amp; SPADA DI SPADA ANTONINO E C SOC AGR</t>
  </si>
  <si>
    <t>LAURI PAOLO</t>
  </si>
  <si>
    <t>SIMONELLI MARINO</t>
  </si>
  <si>
    <t>SOC.AGRICOLA IL BOSCHETTO E C. SNC</t>
  </si>
  <si>
    <t>TANGANELLI FRANCA</t>
  </si>
  <si>
    <t>BARTOLUCCI ANDREA</t>
  </si>
  <si>
    <t>PACI SIMONE</t>
  </si>
  <si>
    <t>FEDERICI FRANCO</t>
  </si>
  <si>
    <t>ALESIANI NAZZARENO</t>
  </si>
  <si>
    <t>AZIENDA AGRICOLA PERONI S.R.L. - SOCIETA' AGRICOLA</t>
  </si>
  <si>
    <t>NARDINI GIOVANNA</t>
  </si>
  <si>
    <t>PROCACCINI EMILIANO</t>
  </si>
  <si>
    <t>SOLFANELLI SIMONA</t>
  </si>
  <si>
    <t>DARABA MARIA CRISTINA</t>
  </si>
  <si>
    <t>AMADIO BENEDETTO</t>
  </si>
  <si>
    <t>GIOCHI PIERFRANCESCO</t>
  </si>
  <si>
    <t>TORRI GILBERTA</t>
  </si>
  <si>
    <t>PARMEGIANI ROBERTO</t>
  </si>
  <si>
    <t>SOCIETA' AGRICOLA CAL BIANCHINO SOCIETA' SEMPLICE DI MINNETTI LUIGIA E</t>
  </si>
  <si>
    <t>ZARLI ANNA</t>
  </si>
  <si>
    <t>MISICI ALESSANDRO</t>
  </si>
  <si>
    <t>MOGLIANI FRANCESCO</t>
  </si>
  <si>
    <t>BOMPREZZI ALBERTO</t>
  </si>
  <si>
    <t>BRINCIVALLI GINO</t>
  </si>
  <si>
    <t>REMIGI MARZIO</t>
  </si>
  <si>
    <t>CENSORI FELICE</t>
  </si>
  <si>
    <t>STAZI CLAUDIO</t>
  </si>
  <si>
    <t>FINOCCHI FABRIZIO</t>
  </si>
  <si>
    <t>MONTUSCHI GIANNI</t>
  </si>
  <si>
    <t>CAA CAF AGRI - ANCONA - 223</t>
  </si>
  <si>
    <t>BELLAGAMBA STEFANO</t>
  </si>
  <si>
    <t>FRATERNALI LUIGINO</t>
  </si>
  <si>
    <t>BURATTI GIUSEPPE</t>
  </si>
  <si>
    <t>ARPINI EMANUELE MARIA</t>
  </si>
  <si>
    <t>CARZEDDA DIEGO</t>
  </si>
  <si>
    <t>SANTINELLI ALFIO</t>
  </si>
  <si>
    <t>MARCELLI DOMENICO</t>
  </si>
  <si>
    <t>BONFIGLI MARCO</t>
  </si>
  <si>
    <t>OTTAVI EDOARDO</t>
  </si>
  <si>
    <t>GIOVAGNOLI STEFANIA</t>
  </si>
  <si>
    <t>PRIORETTI GINA</t>
  </si>
  <si>
    <t>MORICHETTI SIRA</t>
  </si>
  <si>
    <t>CELESCHI CLAUDIO</t>
  </si>
  <si>
    <t>CARLONI CARLO</t>
  </si>
  <si>
    <t>MANZUR CARMEN</t>
  </si>
  <si>
    <t>PUCCIARELLI MAURO</t>
  </si>
  <si>
    <t>SUIGI MARCO</t>
  </si>
  <si>
    <t>SOCIETA' AGRICOLA PAPI ULISSE E PIERO S. S.</t>
  </si>
  <si>
    <t>RAGNI RICCARDO</t>
  </si>
  <si>
    <t>MEO VINCENZO</t>
  </si>
  <si>
    <t>TOMASSONI RAFFAELE</t>
  </si>
  <si>
    <t>CAI Toscana</t>
  </si>
  <si>
    <t>CAI Toscana - AREZZO - 008</t>
  </si>
  <si>
    <t>CENTRO ASSISTENZA IMPRESE COLDIRETTI TOSCANA SRL</t>
  </si>
  <si>
    <t>RENZI DANIELE</t>
  </si>
  <si>
    <t>BUCCI CARLA</t>
  </si>
  <si>
    <t>SANCHINI GIGLIO</t>
  </si>
  <si>
    <t>ARMENTO PANCRAZIO</t>
  </si>
  <si>
    <t>FERRI ROSALBA</t>
  </si>
  <si>
    <t>CAA CAF AGRI - ANCONA - 225</t>
  </si>
  <si>
    <t>GENTILI LUIGI</t>
  </si>
  <si>
    <t>PELUSO MATILDE</t>
  </si>
  <si>
    <t>DINI LUIGI</t>
  </si>
  <si>
    <t>COSTARELLI GIACOMO</t>
  </si>
  <si>
    <t>PIETRELLA CLEONICE</t>
  </si>
  <si>
    <t>CALVANI NOEMI</t>
  </si>
  <si>
    <t>ANGELETTI GIANCARLO</t>
  </si>
  <si>
    <t>CARAFFA PRIMO</t>
  </si>
  <si>
    <t>ZENOBI RITA</t>
  </si>
  <si>
    <t>ANGELONI ROSA</t>
  </si>
  <si>
    <t>FOSCOLI LUCIANO</t>
  </si>
  <si>
    <t>SPADONI LUCA</t>
  </si>
  <si>
    <t>URBANI FRANCO</t>
  </si>
  <si>
    <t>MAZZOLI MARCO</t>
  </si>
  <si>
    <t>TOMASSELLI FRANCO</t>
  </si>
  <si>
    <t>MAGNANI ROSA</t>
  </si>
  <si>
    <t>GIOVANNINI IVANA</t>
  </si>
  <si>
    <t>AGRI HOUSE MATELICA SOCIETA' AGRICOLA A R.L.</t>
  </si>
  <si>
    <t>PELLICCIARI GIANLUCA</t>
  </si>
  <si>
    <t>BALDELLI ANTONELLA</t>
  </si>
  <si>
    <t>TIBERI STEFANO</t>
  </si>
  <si>
    <t>BALSAMINI LEONARDO</t>
  </si>
  <si>
    <t>UDODA LILIIA</t>
  </si>
  <si>
    <t>BURATTI MARIA</t>
  </si>
  <si>
    <t>MATTEUCCI TERZO</t>
  </si>
  <si>
    <t>POLITI SERGIO</t>
  </si>
  <si>
    <t>CALIENDI FRANCESCO</t>
  </si>
  <si>
    <t>CHEGAI ANTONIO</t>
  </si>
  <si>
    <t>LAURENZI MAURIZIO</t>
  </si>
  <si>
    <t>CORVINI FAUSTO</t>
  </si>
  <si>
    <t>ALBERICI ALBERTO</t>
  </si>
  <si>
    <t>FILANTI LUCIANO</t>
  </si>
  <si>
    <t>VANNUCCI DOMENICO</t>
  </si>
  <si>
    <t>GIULIANI GIOVANNI</t>
  </si>
  <si>
    <t>BREGA ALFIO</t>
  </si>
  <si>
    <t>MILIFFI ORTOFRUTTA DI SCOLA SABRINA E C. SNC SOCIETA AGRICOLA</t>
  </si>
  <si>
    <t>BALDACCIONI GIACOMO</t>
  </si>
  <si>
    <t>VESCOVO GIULIANO</t>
  </si>
  <si>
    <t>ZAFFERENATI BIANCA MARIA</t>
  </si>
  <si>
    <t>CECCHINI GEA</t>
  </si>
  <si>
    <t>CIMARELLI CLAUDIO</t>
  </si>
  <si>
    <t>SOCIETA' AGRICOLA MAURI MAURIZIO E MICHELE S.S.</t>
  </si>
  <si>
    <t>CARONI MARISA</t>
  </si>
  <si>
    <t>PEDALETTI LUCIANO</t>
  </si>
  <si>
    <t>GRILLO PAOLA</t>
  </si>
  <si>
    <t>AZIENDA AGRICOLA PAGANELLI SOCIETA SEMPLICE AGRICOLA S.S.</t>
  </si>
  <si>
    <t>POLI MICHELA</t>
  </si>
  <si>
    <t>SAN LORENZO SOCIETA' AGRICOLA SRLS</t>
  </si>
  <si>
    <t>GELSOMINI ADA</t>
  </si>
  <si>
    <t>DELLA MORTE IVO</t>
  </si>
  <si>
    <t>LIBERATI FABIANO</t>
  </si>
  <si>
    <t>BICCARI ENRICA</t>
  </si>
  <si>
    <t>AZIENDA AGRICOLA CAMPOGIANO S.A.S. DI RICOTTA LORENZO E C.</t>
  </si>
  <si>
    <t>FARAOTTI GIOVANNI</t>
  </si>
  <si>
    <t>BRANDI LUCIANO</t>
  </si>
  <si>
    <t>CARPINETI EUGENIA</t>
  </si>
  <si>
    <t>FURBETTA EDOARDO</t>
  </si>
  <si>
    <t>SILVESTRI ROSA</t>
  </si>
  <si>
    <t>PIERSANTI ANTONELLO</t>
  </si>
  <si>
    <t>CINI-MARACCI GIUSEPPE</t>
  </si>
  <si>
    <t>BELPASSI MAURIZIO</t>
  </si>
  <si>
    <t>ROSSI GIOVANNI ALFREDO</t>
  </si>
  <si>
    <t>FILANTI DOMENICO</t>
  </si>
  <si>
    <t>SOCIETA' AGRICOLA LE SIBILLE S.S.</t>
  </si>
  <si>
    <t>TEMPERINI MARISA</t>
  </si>
  <si>
    <t>IACOMUCCI SANDRINA</t>
  </si>
  <si>
    <t>CASAGRANDE SANDRO</t>
  </si>
  <si>
    <t>DI CLAUDIO PATRIZIA</t>
  </si>
  <si>
    <t>SANTONI FRANCESCA</t>
  </si>
  <si>
    <t>SERO S.A.S. DI MARCHETTI ALESSANDRO E C. SOCIETA' AGRICOLA</t>
  </si>
  <si>
    <t>SPAGNA ANTONELLA</t>
  </si>
  <si>
    <t>LAURENZI ORLANDO</t>
  </si>
  <si>
    <t>SPERANDIO LORIANO</t>
  </si>
  <si>
    <t>CAPRIOTTI FRANCO</t>
  </si>
  <si>
    <t>DI DONATO SERAFINO</t>
  </si>
  <si>
    <t>BOTTEGA ELISABETTA</t>
  </si>
  <si>
    <t>BOZZI AUGUSTO</t>
  </si>
  <si>
    <t>SBARDELLATI LAMBERTO</t>
  </si>
  <si>
    <t>CINCINI FABIO</t>
  </si>
  <si>
    <t>SPADONI ANTONIO</t>
  </si>
  <si>
    <t>PARADISI SERGIO</t>
  </si>
  <si>
    <t>BRESCINI MARZIO</t>
  </si>
  <si>
    <t>GAROTA GIACOMO</t>
  </si>
  <si>
    <t>CIRIONI ANDREA</t>
  </si>
  <si>
    <t>BIGONZI IVO</t>
  </si>
  <si>
    <t>FUCILI TECLE</t>
  </si>
  <si>
    <t>ANGELI EMILIA</t>
  </si>
  <si>
    <t>PASCUCCI FRANCO</t>
  </si>
  <si>
    <t>MAISANO PAOLO</t>
  </si>
  <si>
    <t>PATRIGNANI PATRIZIO</t>
  </si>
  <si>
    <t>CONGIONTI AUGUSTO</t>
  </si>
  <si>
    <t>VENA SECONDO</t>
  </si>
  <si>
    <t>CICCONI GIAMPAOLO</t>
  </si>
  <si>
    <t>MARI CLEMENTE</t>
  </si>
  <si>
    <t>STELLA GIANLUCA</t>
  </si>
  <si>
    <t>CIPRIANI CELESTE</t>
  </si>
  <si>
    <t>CHIENNA LORENZO E CHIENNA RENATO SOC. SEMPLICE</t>
  </si>
  <si>
    <t>DE ANGELIS DOMENICO</t>
  </si>
  <si>
    <t>MARIANI PAOLO</t>
  </si>
  <si>
    <t>DALL'ACQUA FLORIANA</t>
  </si>
  <si>
    <t>APPIGNANESI GIULIA</t>
  </si>
  <si>
    <t>MANCINELLI ENRICO</t>
  </si>
  <si>
    <t>BORGHESI SERENA</t>
  </si>
  <si>
    <t>PASCUCCI GIUSEPPE</t>
  </si>
  <si>
    <t>BENDELLI SERAFINO</t>
  </si>
  <si>
    <t>MAGNONI CLAUDIO</t>
  </si>
  <si>
    <t>DIMENSIONE NATURA SOC. COOP. SOCIALE A R.L.</t>
  </si>
  <si>
    <t>SPREGHINI SILVANA</t>
  </si>
  <si>
    <t>FENICI ALBERTO</t>
  </si>
  <si>
    <t>MELONI GIUSEPPINA</t>
  </si>
  <si>
    <t>FERRARINI FABIOLA</t>
  </si>
  <si>
    <t>BERZIGOTTI DANIELE</t>
  </si>
  <si>
    <t>BUNDONE PASQUALE</t>
  </si>
  <si>
    <t>CANDIERACCI FRANCO</t>
  </si>
  <si>
    <t>GIACOMAZZI LUCA</t>
  </si>
  <si>
    <t>BUCCI GIACOMO</t>
  </si>
  <si>
    <t>PAOLI GIANCARLO</t>
  </si>
  <si>
    <t>SAVELLI MARCO</t>
  </si>
  <si>
    <t>ROMITI MARIKA</t>
  </si>
  <si>
    <t>VICI FIORENZO</t>
  </si>
  <si>
    <t>BASILISSI MARIO</t>
  </si>
  <si>
    <t>SOCIETA'AGRICOLA LA MARCA DI SCAGNETTI FRANCESCO E C. SOC. SEMPLICE</t>
  </si>
  <si>
    <t>LANA FRANCESCO</t>
  </si>
  <si>
    <t>AMICI AUGUSTO</t>
  </si>
  <si>
    <t>FANCELLO GIORGIO</t>
  </si>
  <si>
    <t>MENGARELLI FORTUNATO</t>
  </si>
  <si>
    <t>SANNA GIOVANNA ANGELA</t>
  </si>
  <si>
    <t>AMICI BARTOLOMEO</t>
  </si>
  <si>
    <t>RUZZICONI ANGELO</t>
  </si>
  <si>
    <t>BETTI MAURIZIO</t>
  </si>
  <si>
    <t>PIERSANTI WALTHER</t>
  </si>
  <si>
    <t>SANTOLINI SANTA SOCIETA' AGRICOLA SEMPLICE</t>
  </si>
  <si>
    <t>FANCELLO FRANCESCO ANTONIO</t>
  </si>
  <si>
    <t>SPADONI LAZZARO</t>
  </si>
  <si>
    <t>FERRI MARIELLA</t>
  </si>
  <si>
    <t>ALLEGREZZA CANDIDA</t>
  </si>
  <si>
    <t>TISI MARIA</t>
  </si>
  <si>
    <t>CRISPICIANI MARCO</t>
  </si>
  <si>
    <t>GIORI ALESSANDRO</t>
  </si>
  <si>
    <t>MSOLLI SAOUSSEN</t>
  </si>
  <si>
    <t>CORRADINI MERI</t>
  </si>
  <si>
    <t>CORRIDONI TERESA</t>
  </si>
  <si>
    <t>GUIDI QUINTA</t>
  </si>
  <si>
    <t>LUCARINI VENANZIO</t>
  </si>
  <si>
    <t>GATTI MARCO</t>
  </si>
  <si>
    <t>EREDI DI PANICCIA' MARIO - SOCIETA' SEMPLICE AGRICOLA DI PANICCIA' ANT</t>
  </si>
  <si>
    <t>MUSCINELLI FRANCESCO</t>
  </si>
  <si>
    <t>GAGGI FORTUNATO</t>
  </si>
  <si>
    <t>PETRELLINI GIULIANO</t>
  </si>
  <si>
    <t>LATTANZI LEONARDO</t>
  </si>
  <si>
    <t>BERTI STELIO</t>
  </si>
  <si>
    <t>MATTEI BRUNA</t>
  </si>
  <si>
    <t>PERUZZINI MICHELE</t>
  </si>
  <si>
    <t>GRANDICELLI FEDERICO</t>
  </si>
  <si>
    <t>BRISCOLINI LUCIANO</t>
  </si>
  <si>
    <t>MISICI MARIO</t>
  </si>
  <si>
    <t>MONTANARI MARCO</t>
  </si>
  <si>
    <t>GIACINTI FRANCESCO</t>
  </si>
  <si>
    <t>SPARVOLI FERNANDO</t>
  </si>
  <si>
    <t>PIERAGOSTINI EMANUELE</t>
  </si>
  <si>
    <t>SOC.AGR.NUOVA HERA DI BOTTARO ANNA E C. S.A.S.</t>
  </si>
  <si>
    <t>FRANCIA DANIELE</t>
  </si>
  <si>
    <t>VOLPI DANIELE</t>
  </si>
  <si>
    <t>SCALBI GIANFRANCO</t>
  </si>
  <si>
    <t>CICILIANI BASILIO</t>
  </si>
  <si>
    <t>GUBINELLI SIMONE</t>
  </si>
  <si>
    <t>VOLPI RENATO</t>
  </si>
  <si>
    <t>MANIERI ANNA-RITA</t>
  </si>
  <si>
    <t>LE FONTI DEL GIANO SOC. COOP.</t>
  </si>
  <si>
    <t>ZAMPETTI PRIMO</t>
  </si>
  <si>
    <t>BARTOCCIONI AGOSTINO</t>
  </si>
  <si>
    <t>BOSSI BRUNO</t>
  </si>
  <si>
    <t>ALESSI GASPARE</t>
  </si>
  <si>
    <t>PISCIOLINI PAOLO</t>
  </si>
  <si>
    <t>SOCIETA' AGRICOLA FONTANELLE S.S.</t>
  </si>
  <si>
    <t>GIANGIACOMI ANTONIO</t>
  </si>
  <si>
    <t>TASSI VALENTINA</t>
  </si>
  <si>
    <t>MORETTI PIETRO</t>
  </si>
  <si>
    <t>BELLINI GIANLUCA</t>
  </si>
  <si>
    <t>PAOLONI PIO DANIELE</t>
  </si>
  <si>
    <t>PACIOTTI PACIFICO</t>
  </si>
  <si>
    <t>BUCCHI GERARDO</t>
  </si>
  <si>
    <t>TARZIA DEBORA</t>
  </si>
  <si>
    <t>LEONE VALERIA CLAUDIA</t>
  </si>
  <si>
    <t>PAOLONI EDOARDO</t>
  </si>
  <si>
    <t>MICHELI GIORGIO</t>
  </si>
  <si>
    <t>TROIANI SOCIETA' SEMPLICE AGRICOLA</t>
  </si>
  <si>
    <t>ORTOLANI GIULIANO</t>
  </si>
  <si>
    <t>CLEMENTI RINO</t>
  </si>
  <si>
    <t>DA ROS GUALBERTO</t>
  </si>
  <si>
    <t>RAFFEINER JACOB</t>
  </si>
  <si>
    <t>BIONDI PIERGIORGIO</t>
  </si>
  <si>
    <t>BOTTAIANI GRAZIANO</t>
  </si>
  <si>
    <t>CARDELLINI FABRIZIO</t>
  </si>
  <si>
    <t>BOLDRIGHINI ALGE</t>
  </si>
  <si>
    <t>MANFREDI CLARISSA</t>
  </si>
  <si>
    <t>BARDEGGIA FABIO</t>
  </si>
  <si>
    <t>LEOPARDI GIOVANNI</t>
  </si>
  <si>
    <t>BASSOTTI DOMENICO</t>
  </si>
  <si>
    <t>LAZZARETTI ANNA</t>
  </si>
  <si>
    <t>SANTACCHI PERLA</t>
  </si>
  <si>
    <t>GAGLIARDI GIANCARLO</t>
  </si>
  <si>
    <t>DADI LORIETTA</t>
  </si>
  <si>
    <t>CERES AZIENDA AGRICOLA</t>
  </si>
  <si>
    <t>TOSTI ANGELO</t>
  </si>
  <si>
    <t>LORENZETTI ASSUNTA</t>
  </si>
  <si>
    <t>SCAGNETTI GIUSEPPA</t>
  </si>
  <si>
    <t>JANSTA SVATOPLUK</t>
  </si>
  <si>
    <t>LIMONCELLI MASSIMO</t>
  </si>
  <si>
    <t>PINTI MARIELLA</t>
  </si>
  <si>
    <t>BEI MATTIA</t>
  </si>
  <si>
    <t>GAZZANA NADIA</t>
  </si>
  <si>
    <t>CAA Coldiretti - PERUGIA - 006</t>
  </si>
  <si>
    <t>BERNABEI MIRKO</t>
  </si>
  <si>
    <t>FABBRICA DELLA BIRRA TENUTE COLLESI SRL SOCIETA' AGRICOLA UNIPERSONALE</t>
  </si>
  <si>
    <t>PRINCIPI TIZIANA</t>
  </si>
  <si>
    <t>SERAFINI TERESA</t>
  </si>
  <si>
    <t>CANCELLIERI GABRIELE</t>
  </si>
  <si>
    <t>ORTENZI MARIA</t>
  </si>
  <si>
    <t>ANGELETTI RITA</t>
  </si>
  <si>
    <t>SOCIETA' AGRICOLA COSIMI S. S.</t>
  </si>
  <si>
    <t>GIOVAGNOLI SIMONE</t>
  </si>
  <si>
    <t>MASSI FRANCESCO</t>
  </si>
  <si>
    <t>MORSUCCI PATRIZIA</t>
  </si>
  <si>
    <t>CAA C.A.N.A.P.A. srl</t>
  </si>
  <si>
    <t>CAA C.A.N.A.P.A. - RIETI - 001</t>
  </si>
  <si>
    <t>CAA CENTRO AUT.NAZ.ASS.PRODUTTORI AGRICOLI S.R.L.</t>
  </si>
  <si>
    <t>MARELLA GIOVANNI</t>
  </si>
  <si>
    <t>MERCATANTI ALESSIO</t>
  </si>
  <si>
    <t>NORCINI PALA PAOLO</t>
  </si>
  <si>
    <t>GALDELLI ENZO</t>
  </si>
  <si>
    <t>DURANTI SAUL</t>
  </si>
  <si>
    <t>TIBERI SIMONE</t>
  </si>
  <si>
    <t>BRUNETTI ESTER</t>
  </si>
  <si>
    <t>LIBERTI ALESSIO</t>
  </si>
  <si>
    <t>FRANCESCHELLI LILIANA</t>
  </si>
  <si>
    <t>CASETTARI EMILIO</t>
  </si>
  <si>
    <t>LISI ARGO</t>
  </si>
  <si>
    <t>MARCOLINI SIMONE</t>
  </si>
  <si>
    <t>ASCANI MASSIMO</t>
  </si>
  <si>
    <t>J.P. S.R.L.</t>
  </si>
  <si>
    <t>GUIDARELLI PIERO</t>
  </si>
  <si>
    <t>ANTONINI FRANCO</t>
  </si>
  <si>
    <t>COFANI PIETRO</t>
  </si>
  <si>
    <t>PAGLIARI ADRIANO</t>
  </si>
  <si>
    <t>CANTARELLI PIERPAOLO</t>
  </si>
  <si>
    <t>PASQUINI BRUNO</t>
  </si>
  <si>
    <t>TOZZI GIANFRANCO</t>
  </si>
  <si>
    <t>MARTELLI DAVIDE</t>
  </si>
  <si>
    <t>MENGARELLI GIOVANNI</t>
  </si>
  <si>
    <t>SORO DIEGO</t>
  </si>
  <si>
    <t>SOCIETA' AGRICOLA VERY BUONO S.R.L.</t>
  </si>
  <si>
    <t>TINTI AGOSTINO</t>
  </si>
  <si>
    <t>NEPI NELLO</t>
  </si>
  <si>
    <t>PIERUCCI FRANCESCO</t>
  </si>
  <si>
    <t>DELL'UOMO ALBERTO</t>
  </si>
  <si>
    <t>LATTANZI NICOLA</t>
  </si>
  <si>
    <t>PIERLEONI MARCO</t>
  </si>
  <si>
    <t>MARCOBELLI ALBERICO</t>
  </si>
  <si>
    <t>GIANFELICI FRANCESCO</t>
  </si>
  <si>
    <t>GRILLI GIOVANNI</t>
  </si>
  <si>
    <t>MANI MARCO</t>
  </si>
  <si>
    <t>CERIONI MAURO</t>
  </si>
  <si>
    <t>VITALI PINO</t>
  </si>
  <si>
    <t>VALENTINI ALESSANDRO</t>
  </si>
  <si>
    <t>PAOLETTI JACOPO</t>
  </si>
  <si>
    <t>GUERRA ANDREA</t>
  </si>
  <si>
    <t>PICCHIO MICHELE</t>
  </si>
  <si>
    <t>TINTI ANTONIO</t>
  </si>
  <si>
    <t>CECCHI FRANCESCO</t>
  </si>
  <si>
    <t>AMADORI ANNA-MARIA</t>
  </si>
  <si>
    <t>ZEPPONI ROBERTO</t>
  </si>
  <si>
    <t>VIRGILI DOMENICO</t>
  </si>
  <si>
    <t>PECORELLI CLAUDIO</t>
  </si>
  <si>
    <t>MAGI LUCA</t>
  </si>
  <si>
    <t>MASSI LUIGI</t>
  </si>
  <si>
    <t>ZOCCHI SANTE ANTONIO</t>
  </si>
  <si>
    <t>SCAGNOLI SILVIA</t>
  </si>
  <si>
    <t>SANTACHIARA STEFANO</t>
  </si>
  <si>
    <t>CARONI GIORGIO</t>
  </si>
  <si>
    <t>SOCIETA' AGRICOLA MANENTI ENRICO E STEFANO S.S.</t>
  </si>
  <si>
    <t>PETRACCI LUCIANO</t>
  </si>
  <si>
    <t>TULIOZZI ELIO</t>
  </si>
  <si>
    <t>VEGLIO' PAOLO</t>
  </si>
  <si>
    <t>CIANCA GIUSEPPE</t>
  </si>
  <si>
    <t>MOGLIANI SERGIO</t>
  </si>
  <si>
    <t>MULATTIERI EDOARDO</t>
  </si>
  <si>
    <t>PACI FELICE</t>
  </si>
  <si>
    <t>IEZZI TERRA E FUTURO DI IEZZI GIOVANNI &amp; C.</t>
  </si>
  <si>
    <t>CAA Coldiretti - PERUGIA - 003</t>
  </si>
  <si>
    <t>TEZIO FARM SOCIETA' AGRICOLA S.R.L.</t>
  </si>
  <si>
    <t>VICERE' ALFREDO</t>
  </si>
  <si>
    <t>CAA CAF AGRI - PERUGIA - 221</t>
  </si>
  <si>
    <t>VENANZI UBALDO</t>
  </si>
  <si>
    <t>FIORANI GIANFRANCO</t>
  </si>
  <si>
    <t>CERRACCHIO VALERIO</t>
  </si>
  <si>
    <t>DURANTI PIERPAOLO</t>
  </si>
  <si>
    <t>SOCIETA' AGRICOLA GINORETTI S.S.</t>
  </si>
  <si>
    <t>PIEROTTI CINZIA</t>
  </si>
  <si>
    <t>MARCHETTI MASSIMO</t>
  </si>
  <si>
    <t>SANTONI ANGELA</t>
  </si>
  <si>
    <t>AMADORI PIETRO</t>
  </si>
  <si>
    <t>ORPELLO STEFANO</t>
  </si>
  <si>
    <t>PIANTASSI GIANFRANCO</t>
  </si>
  <si>
    <t>AZIENDA AGRICOLA F.LLI PACI DI FRANCESCO, ENZO ED ERINO PACI S.S.</t>
  </si>
  <si>
    <t>DINI VINCENZO</t>
  </si>
  <si>
    <t>BERNARDINI LUCIO</t>
  </si>
  <si>
    <t>RUFFINI ANDREA</t>
  </si>
  <si>
    <t>ANGELONI MARIA</t>
  </si>
  <si>
    <t>FUNARI ROBERTO</t>
  </si>
  <si>
    <t>MINGARELLI GUIDO</t>
  </si>
  <si>
    <t>VALLI CARLO</t>
  </si>
  <si>
    <t>ZUCCA APOLLONIA</t>
  </si>
  <si>
    <t>AMATUCCI RINO</t>
  </si>
  <si>
    <t>TESTICCIOLI VENANZIA</t>
  </si>
  <si>
    <t>ROSELLI ENZO</t>
  </si>
  <si>
    <t>MARINELLI GIORGIO</t>
  </si>
  <si>
    <t>MASSIMI ANGELO</t>
  </si>
  <si>
    <t>IMPERATORI ROBERTO</t>
  </si>
  <si>
    <t>CONIGLI CRISTIAN</t>
  </si>
  <si>
    <t>IKEBANA SOCIETA' AGRICOLA SEMPLICE</t>
  </si>
  <si>
    <t>AGOSTINELLI GRAZIELLA</t>
  </si>
  <si>
    <t>PRETELLI GILBERTO</t>
  </si>
  <si>
    <t>LA MOIA DEI FRATELLI RUZZICONI SOCIETA' SEMPLICE AGRICOLA</t>
  </si>
  <si>
    <t>SPADONI ROBERTINO</t>
  </si>
  <si>
    <t>NUCCI TIZIANO</t>
  </si>
  <si>
    <t>MANCINI ANNA</t>
  </si>
  <si>
    <t>ROSETTI FRANCESCO</t>
  </si>
  <si>
    <t>CAVALLINI FIORENZA</t>
  </si>
  <si>
    <t>CARPINETI NELLO</t>
  </si>
  <si>
    <t>SCHIAVI LORENZO</t>
  </si>
  <si>
    <t>BARBIERI ANNA</t>
  </si>
  <si>
    <t>ARRAGONI GIUSEPPE</t>
  </si>
  <si>
    <t>MARCHETTI RICCARDO</t>
  </si>
  <si>
    <t>CECCHI MAURIZIO</t>
  </si>
  <si>
    <t>PICCHI GILBERTO</t>
  </si>
  <si>
    <t>FERRINI PAOLA</t>
  </si>
  <si>
    <t>BONFILI ANGELO</t>
  </si>
  <si>
    <t>PROCACCINI MASSIMO</t>
  </si>
  <si>
    <t>BATTISTONI PIERO</t>
  </si>
  <si>
    <t>FIORUCCI DINO</t>
  </si>
  <si>
    <t>GIANOTTI BENVENUTO</t>
  </si>
  <si>
    <t>FEDELI CLAUDIO</t>
  </si>
  <si>
    <t>GHISELLI ELIO</t>
  </si>
  <si>
    <t>PETTINELLI CENSI MANCIA MARIA-SOFIA</t>
  </si>
  <si>
    <t>MEROLLI SERGIO</t>
  </si>
  <si>
    <t>FERRETTI FRANCESCO</t>
  </si>
  <si>
    <t>ANGELONI GIUSEPPE</t>
  </si>
  <si>
    <t>MORA YUSILAYDIS</t>
  </si>
  <si>
    <t>MAZZALUPI GIULIANO</t>
  </si>
  <si>
    <t>MARI BRUNA</t>
  </si>
  <si>
    <t>MARIOTTI CLAUDIO</t>
  </si>
  <si>
    <t>OTTAVIANI CLAUDIO</t>
  </si>
  <si>
    <t>SCUPPA DIEGO</t>
  </si>
  <si>
    <t>SOCIETA' AGRICOLA AGRICOLFIORITO DI PEDICA EMANUELE E LUCA SOCIET A' S</t>
  </si>
  <si>
    <t>GAROFOLI MASSIMO</t>
  </si>
  <si>
    <t>FORNARINI DONATELLA</t>
  </si>
  <si>
    <t>PECORARI PAOLO</t>
  </si>
  <si>
    <t>MAURI GIANMARCO</t>
  </si>
  <si>
    <t>CONTI ANGELA</t>
  </si>
  <si>
    <t>SPOLETINI ELDA</t>
  </si>
  <si>
    <t>BACI MARCELLO</t>
  </si>
  <si>
    <t>MARUCCHINI FRANCESCA</t>
  </si>
  <si>
    <t>LIVI STEFANO</t>
  </si>
  <si>
    <t>SARAGA MATTIA</t>
  </si>
  <si>
    <t>CRINELLA CLAUDIA</t>
  </si>
  <si>
    <t>NORCINI PALA ERNESTO</t>
  </si>
  <si>
    <t>FORESI SILVANO</t>
  </si>
  <si>
    <t>SETTIMI MARIA-TERESA</t>
  </si>
  <si>
    <t>BERNABEI DOMENICO</t>
  </si>
  <si>
    <t>MAGNONI GIUSEPPINA</t>
  </si>
  <si>
    <t>MAZZOTTA ANNA</t>
  </si>
  <si>
    <t>TISI NICOLA</t>
  </si>
  <si>
    <t>MATRICARDI MARIA TERESA</t>
  </si>
  <si>
    <t>TAMAGNINI MARIO</t>
  </si>
  <si>
    <t>TABARRETTI ROBERTO</t>
  </si>
  <si>
    <t>GIOVANNINI ROBERTO</t>
  </si>
  <si>
    <t>DECORTES GIANFRANCO</t>
  </si>
  <si>
    <t>TACCONI QUINTO</t>
  </si>
  <si>
    <t>SABBATINI DAVID</t>
  </si>
  <si>
    <t>CLEMENTI ITALO</t>
  </si>
  <si>
    <t>AGOSTINELLI ROBERTO</t>
  </si>
  <si>
    <t>APICOLTURA COLIBAZZI SOCIETA' AGRICOLA SEMPLICE</t>
  </si>
  <si>
    <t>MULATTIERI MELISSA</t>
  </si>
  <si>
    <t>CAA CIA - PESARO E URBINO - 006</t>
  </si>
  <si>
    <t>SOCIETA' AGRICOLA BRUSCIA S.S.</t>
  </si>
  <si>
    <t>LISI ADALBERTO</t>
  </si>
  <si>
    <t>CERQUETTI ROMANO</t>
  </si>
  <si>
    <t>SOCIETA' AGRICOLA CENCI GIORGIO EMANUELE &amp; VENTURI ELIA S.S.</t>
  </si>
  <si>
    <t>SOCIETA' AGRICOLA MARCHIONNI S.S.</t>
  </si>
  <si>
    <t>MARTINELLI SIMONETTA</t>
  </si>
  <si>
    <t>LUCARINI SANTE</t>
  </si>
  <si>
    <t>MANONI SILVIA</t>
  </si>
  <si>
    <t>BALDUCCI GIANCARLO</t>
  </si>
  <si>
    <t>FABIANI NAZZARENO</t>
  </si>
  <si>
    <t>MAGGIOLI CARLA</t>
  </si>
  <si>
    <t>PIERGIOVANNI PRIMO</t>
  </si>
  <si>
    <t>BARCELLI ARMANDO</t>
  </si>
  <si>
    <t>MARINANGELI GIGLIOLA</t>
  </si>
  <si>
    <t>ANGELINI FAUSTO</t>
  </si>
  <si>
    <t>TAFFETANI GIOCONDO</t>
  </si>
  <si>
    <t>VASCONI EMANUELA</t>
  </si>
  <si>
    <t>DIOTALEVI ANTONIO</t>
  </si>
  <si>
    <t>SOCIETA' AGRICOLA SIMONCINI DI SIMONCINI PIERPAOLO E GIUNGI MANUELA SO</t>
  </si>
  <si>
    <t>ANGELETTI GIOVANNI</t>
  </si>
  <si>
    <t>CASTELLUCCI FEDERICO</t>
  </si>
  <si>
    <t>NARDI PASQUALE</t>
  </si>
  <si>
    <t>MAZZOLANI DANIELA</t>
  </si>
  <si>
    <t>SANTINI GRAZIANO</t>
  </si>
  <si>
    <t>VALERI LORIS</t>
  </si>
  <si>
    <t>TAMBURINI ROMINA</t>
  </si>
  <si>
    <t>BIDOLLI GIORGIO</t>
  </si>
  <si>
    <t>PIERSANTI MAURIZIO</t>
  </si>
  <si>
    <t>FABRIZI MARIA</t>
  </si>
  <si>
    <t>ROSSI ROBERTO</t>
  </si>
  <si>
    <t>ZAMPONI GIOVANNI</t>
  </si>
  <si>
    <t>DI MATTIA SABATINO</t>
  </si>
  <si>
    <t>SCIAPICHETTI EUGENIO</t>
  </si>
  <si>
    <t>"AGRIFOREST SOCIETA'AGRICOLA S.S."</t>
  </si>
  <si>
    <t>CAVERNI LUCIA</t>
  </si>
  <si>
    <t>TABILI DOMENICA</t>
  </si>
  <si>
    <t>SOCIETA' AGRICOLA ROTELLA SRL</t>
  </si>
  <si>
    <t>CAPRADOSSI GRAZIELLA</t>
  </si>
  <si>
    <t>IL GENTIL VERDE SOCIETA' AGRICOLA - SOCIETA' SEMPLICE</t>
  </si>
  <si>
    <t>CLINI LOREDANA</t>
  </si>
  <si>
    <t>ANTONELLI FRANCESCO</t>
  </si>
  <si>
    <t>QUITADAMO JOSE' MIGUEL</t>
  </si>
  <si>
    <t>BUONOMI LEA</t>
  </si>
  <si>
    <t>BRUGNOLA ROBERTO</t>
  </si>
  <si>
    <t>CAA CIA - ANCONA - 004</t>
  </si>
  <si>
    <t>SANNA GIUSEPPE</t>
  </si>
  <si>
    <t>CUGURU NINO</t>
  </si>
  <si>
    <t>STANGONI ROMANO</t>
  </si>
  <si>
    <t>GARGAMELLI ROBERTO &amp; C. S.N.C.</t>
  </si>
  <si>
    <t>CESANDRI GIANFRANCO</t>
  </si>
  <si>
    <t>PASCUCCI MATTEO</t>
  </si>
  <si>
    <t>BARELLI COSTANTINO</t>
  </si>
  <si>
    <t>VINCIGUERRA ANTONIO</t>
  </si>
  <si>
    <t>MATTUTINI FRANCO</t>
  </si>
  <si>
    <t>FRATINI MARIO</t>
  </si>
  <si>
    <t>BRUGANELLI VICTORIA</t>
  </si>
  <si>
    <t>CAA CIA - PESARO E URBINO - 001</t>
  </si>
  <si>
    <t>MACCIARONI MAURO</t>
  </si>
  <si>
    <t>RICCA PIERO</t>
  </si>
  <si>
    <t>VITALI MASSIMO</t>
  </si>
  <si>
    <t>"SOCIETA COOPERATIVA AGRICOLA ANTICA CORTE A RESPONSABILITA' LIMITATA"</t>
  </si>
  <si>
    <t>SOCIETA' AGRICOLA TENUTA MERLONI S.S.</t>
  </si>
  <si>
    <t>STRADA PAOLO</t>
  </si>
  <si>
    <t>MARIANI MAURIZIO</t>
  </si>
  <si>
    <t>SOCIETA' AGRICOLA PASTORELLO DI CUPI DI CIAMMARUCHI ARCANGELO E C. S.S</t>
  </si>
  <si>
    <t>LETIZI LUCA</t>
  </si>
  <si>
    <t>PIERANTONI GIAMPIERO</t>
  </si>
  <si>
    <t>GIONNI LUCA</t>
  </si>
  <si>
    <t>SOCIETA' AGRICOLA DI MATALONI SANDRO, MATALONI ATTILIO SOCIETA' SEMPLI</t>
  </si>
  <si>
    <t>QUACOS SOC.SEMPLICE AGRICOLA</t>
  </si>
  <si>
    <t>FORTUNI STEFANO</t>
  </si>
  <si>
    <t>CANTIANI GIUSEPPINA</t>
  </si>
  <si>
    <t>PAPILLI MARIO</t>
  </si>
  <si>
    <t>BARDEGGIA ALESSANDRO</t>
  </si>
  <si>
    <t>ANGELICI MARCO</t>
  </si>
  <si>
    <t>CAPPELLINI MIRCO</t>
  </si>
  <si>
    <t>AZ. AGR. E AGRITURISTICA "LA CEGNA" S.S.</t>
  </si>
  <si>
    <t>SOC.AGR.ZOOTECNICA ANTICA SIBILLA S.S.</t>
  </si>
  <si>
    <t>GNASSI ITALO</t>
  </si>
  <si>
    <t>OTTAVIANI GIACOMO</t>
  </si>
  <si>
    <t>AZIENDA AGRARIA FLAMINIA</t>
  </si>
  <si>
    <t>SANTINI CARLO</t>
  </si>
  <si>
    <t>BRESCIANI EUGENIO</t>
  </si>
  <si>
    <t>FOSSA MICHELE</t>
  </si>
  <si>
    <t>UGOLINI PAOLO</t>
  </si>
  <si>
    <t>BARBAROSSA MAURIZIO</t>
  </si>
  <si>
    <t>PATERNIANI ALFREDO</t>
  </si>
  <si>
    <t>GRILLI STEFANIA</t>
  </si>
  <si>
    <t>CIOCCOLONI FRANCESCO</t>
  </si>
  <si>
    <t>SOCIETA' AGRICOLA FRASCARELLI FRANCA E C. S.S.</t>
  </si>
  <si>
    <t>AZIENDA AGRICOLA MARULLA, SOCIETA' AGRICOLA DI MARZIALI STEFANO &amp; GIAN</t>
  </si>
  <si>
    <t>FEDELI MANLIO</t>
  </si>
  <si>
    <t>BARTOLINI FABIO</t>
  </si>
  <si>
    <t>SIROCCHI ANTONIO</t>
  </si>
  <si>
    <t>TAMBURINI LUCA</t>
  </si>
  <si>
    <t>SPECCHIA MARIA GABRIELLA</t>
  </si>
  <si>
    <t>GUBBIOTTI DOMENICA</t>
  </si>
  <si>
    <t>MARTINI PAOLO</t>
  </si>
  <si>
    <t>CAA Confagricoltura - PERUGIA - 001</t>
  </si>
  <si>
    <t>PACIFICI ALBERTO</t>
  </si>
  <si>
    <t>PRINCIPI ANDREA</t>
  </si>
  <si>
    <t>SALVATORI EZIO</t>
  </si>
  <si>
    <t>GENTILINI GIAMPIERO</t>
  </si>
  <si>
    <t>SANCHIONI DINA</t>
  </si>
  <si>
    <t>ORLANDI MORIS</t>
  </si>
  <si>
    <t>ZACHMANN ROBERTA</t>
  </si>
  <si>
    <t>CORBOLOTTI SARA</t>
  </si>
  <si>
    <t>GIROLAMINI FABRIZIO</t>
  </si>
  <si>
    <t>ESPOSTO FORMICA DANIELA</t>
  </si>
  <si>
    <t>VEGLIO' TAMARA</t>
  </si>
  <si>
    <t>NOBILI METILDE</t>
  </si>
  <si>
    <t>MORETTI OTELLO</t>
  </si>
  <si>
    <t>ARMILLEI FRANCESCO</t>
  </si>
  <si>
    <t>ALBERTI FABRIZIO</t>
  </si>
  <si>
    <t>AGRIFABER SOCIETA' AGRICOLA A R.L.</t>
  </si>
  <si>
    <t>GRAZIOLI PASQUALINO VINCENZO</t>
  </si>
  <si>
    <t>BELLI GIOVANNI</t>
  </si>
  <si>
    <t>MASCIOLI VITALIANO</t>
  </si>
  <si>
    <t>SOC. AGR. EREDI ZUCCONI S.S.</t>
  </si>
  <si>
    <t>GIANGIACOMI SANDRO</t>
  </si>
  <si>
    <t>ALESSANDRELLI LUCIA</t>
  </si>
  <si>
    <t>FIORELLI QUINTO</t>
  </si>
  <si>
    <t>SANTINI MARIA GRAZIA</t>
  </si>
  <si>
    <t>LUCOZZI ANDREA</t>
  </si>
  <si>
    <t>SARGENTI MORENO</t>
  </si>
  <si>
    <t>MAGNANELLI SILVANO</t>
  </si>
  <si>
    <t>CELESTRI LORENZA</t>
  </si>
  <si>
    <t>CAA Coldiretti - PERUGIA - 011</t>
  </si>
  <si>
    <t>PAGLIALUNGA STEFANO</t>
  </si>
  <si>
    <t>VALENTINI DOMENICO</t>
  </si>
  <si>
    <t>SCORTICHINI DOMENICO</t>
  </si>
  <si>
    <t>MEDICI GRAZIANO</t>
  </si>
  <si>
    <t>MAGI LAURA</t>
  </si>
  <si>
    <t>SOCIETA' AGRICOLA IL PIANO S.S.</t>
  </si>
  <si>
    <t>PERONI LORETTA</t>
  </si>
  <si>
    <t>CALLI LUCIANA</t>
  </si>
  <si>
    <t>FRANCESCHELLI AURORA</t>
  </si>
  <si>
    <t>MATTEI SERAFINA</t>
  </si>
  <si>
    <t>PEDANA ALESSANDRO</t>
  </si>
  <si>
    <t>CASTRATORI ADAMO</t>
  </si>
  <si>
    <t>BIANCHINI SAVERIO</t>
  </si>
  <si>
    <t>LEUDESDORFF CLAUDIA HENRIETTE</t>
  </si>
  <si>
    <t>MULATTIERI MARIO</t>
  </si>
  <si>
    <t>CIUFOLI SERGIO</t>
  </si>
  <si>
    <t>FADDA CRISTIAN</t>
  </si>
  <si>
    <t>SPARVOLI GIOVANNI</t>
  </si>
  <si>
    <t>DE ANGELI MAURIZIO</t>
  </si>
  <si>
    <t>BOLDRINI ANGELA</t>
  </si>
  <si>
    <t>SOCIETA' AGRICOLA LA SPIGA D'ORO DI CATTARULLA ALESSIO S.S.</t>
  </si>
  <si>
    <t>GUARDARUCCI SANTA</t>
  </si>
  <si>
    <t>MAZZI GIUSEPPE</t>
  </si>
  <si>
    <t>MJ ENERGY SRL SOCIETA' AGRICOLA</t>
  </si>
  <si>
    <t>TOSTI VALENTINA</t>
  </si>
  <si>
    <t>ROSSINI ASSUNTA</t>
  </si>
  <si>
    <t>FIORUCCI GIADA</t>
  </si>
  <si>
    <t>CIANCAMERLA ROBERTA</t>
  </si>
  <si>
    <t>BELLONI ALBERTO</t>
  </si>
  <si>
    <t>ACERBI MARIA</t>
  </si>
  <si>
    <t>PENSERINI JOLANDA</t>
  </si>
  <si>
    <t>FRATERNALI ALESSANDRA</t>
  </si>
  <si>
    <t>BRUNORI GIANFRANCO</t>
  </si>
  <si>
    <t>BERTI GILBERTA</t>
  </si>
  <si>
    <t>BUSETTO LUISA</t>
  </si>
  <si>
    <t>AZIENDA AGRICOLA FIENAROLO DI BASSETTI JACOPO E BASSETTI NAZZARENO SOC</t>
  </si>
  <si>
    <t>PACI GINO</t>
  </si>
  <si>
    <t>LAZZARINI ANTONIO</t>
  </si>
  <si>
    <t>ARCANGELI MANUEL</t>
  </si>
  <si>
    <t>COCCI PAOLO</t>
  </si>
  <si>
    <t>GENTILI MARTA</t>
  </si>
  <si>
    <t>BRACCI SONIA</t>
  </si>
  <si>
    <t>MARCACCINI GIUSEPPE</t>
  </si>
  <si>
    <t>FULVI GILBERTO</t>
  </si>
  <si>
    <t>GALVANI MARIO</t>
  </si>
  <si>
    <t>PACIOTTI MARCO</t>
  </si>
  <si>
    <t>PACCHETTI MATTIA</t>
  </si>
  <si>
    <t>FILIPPONI MARCO</t>
  </si>
  <si>
    <t>BAGAZZOLI SERGIO</t>
  </si>
  <si>
    <t>SOCIETA' AGRICOLA MARCHIONNI MAURIZIO &amp; ALESSANDRO S.S.</t>
  </si>
  <si>
    <t>ALBANESI CARLO</t>
  </si>
  <si>
    <t>DONATI CLAUDIA</t>
  </si>
  <si>
    <t>DIBIAGI ADELMO</t>
  </si>
  <si>
    <t>MICHELI NICOLETTA</t>
  </si>
  <si>
    <t>BALZI NUNZIO</t>
  </si>
  <si>
    <t>STEFANELLI FRANCESCA ROMANA</t>
  </si>
  <si>
    <t>SILENZI DANILO</t>
  </si>
  <si>
    <t>CHIARUCCI LIVIO</t>
  </si>
  <si>
    <t>AMICI MASSIMO</t>
  </si>
  <si>
    <t>FENICI LUIGI</t>
  </si>
  <si>
    <t>SOCIETA' AGRICOLA BEBI DI BEBI ENRICO &amp; C. S.S.</t>
  </si>
  <si>
    <t>FERRI ANTONELLA</t>
  </si>
  <si>
    <t>BARTOLUCCI ERCOLE</t>
  </si>
  <si>
    <t>PEDA FILIPPO</t>
  </si>
  <si>
    <t>FATTINNANZI BRUNO</t>
  </si>
  <si>
    <t>PISELLI ELISA</t>
  </si>
  <si>
    <t>LUPI ROSA</t>
  </si>
  <si>
    <t>FRANCONI FABIO</t>
  </si>
  <si>
    <t>SCAGLI ANDREA</t>
  </si>
  <si>
    <t>CHIAPPA GIUSEPPINO</t>
  </si>
  <si>
    <t>PALAZZINI GIANCARLO</t>
  </si>
  <si>
    <t>BELLONI PAOLO</t>
  </si>
  <si>
    <t>SOCIETA' AGRICOLA CIELO MARCHIGIANO S.S.</t>
  </si>
  <si>
    <t>CIPRIANI MARIA</t>
  </si>
  <si>
    <t>SOCIETA' AGRICOLA COLLARSONE DI FONDATO NICOLA DIGNANI MATTEO E C. S.</t>
  </si>
  <si>
    <t>DI AGOSTINI ANTONIETTA</t>
  </si>
  <si>
    <t>CUCCULELLI ANTONIO</t>
  </si>
  <si>
    <t>LUCIANI ANDREA</t>
  </si>
  <si>
    <t>LA COLLINA S.R.L. SOCIETA' AGRICOLA</t>
  </si>
  <si>
    <t>SOCIETA' AGRICOLA GRANO A GRANO DI PACIAROTTI ATTILIO E CIMARELLI DANI</t>
  </si>
  <si>
    <t>UBOLI MARCO</t>
  </si>
  <si>
    <t>GABUCCI FULVIO</t>
  </si>
  <si>
    <t>AZIENDA AGRICOLA PIERUCCI DENIS E MASSIMO SOC. SEMPLICE AGRICOLA</t>
  </si>
  <si>
    <t>QUATRINI STEFANO</t>
  </si>
  <si>
    <t>DI MARCO BIANCA</t>
  </si>
  <si>
    <t>LORENZETTI LANFRANCA</t>
  </si>
  <si>
    <t>ARCANGELETTI ROBERTO</t>
  </si>
  <si>
    <t>LIBERTI FRANCO</t>
  </si>
  <si>
    <t>STROPPA SILVANA</t>
  </si>
  <si>
    <t>RAGGI ANDREA</t>
  </si>
  <si>
    <t>MARI MARILENA</t>
  </si>
  <si>
    <t>LAMETTI FERDINANDO</t>
  </si>
  <si>
    <t>URBINATI NILDE</t>
  </si>
  <si>
    <t>VICHI PIETRO</t>
  </si>
  <si>
    <t>CAA UNICAA - ANCONA - 003</t>
  </si>
  <si>
    <t>TOMASETTI PIETRO</t>
  </si>
  <si>
    <t>PATRIGNANI PAOLA</t>
  </si>
  <si>
    <t>DEL BIANCO EGISTO</t>
  </si>
  <si>
    <t>ZUCCHINI STEFANO</t>
  </si>
  <si>
    <t>CIANCONI FRANCESCO</t>
  </si>
  <si>
    <t>PIEROTTI GRAZIANO</t>
  </si>
  <si>
    <t>DIONIGI GIANCARLO</t>
  </si>
  <si>
    <t>PETTINELLI ANNA MARIA</t>
  </si>
  <si>
    <t>OVARELLI CLAUDIO</t>
  </si>
  <si>
    <t>BARTOLUCCI MARIA - PIA</t>
  </si>
  <si>
    <t>COLA SAMUELE</t>
  </si>
  <si>
    <t>GRESTA EMANUELE</t>
  </si>
  <si>
    <t>PAPI PAOLO-CLAUDIO</t>
  </si>
  <si>
    <t>CECCHINI PATRIZIA</t>
  </si>
  <si>
    <t>GUERRA ADRIANO</t>
  </si>
  <si>
    <t>PAGLIARI EUGENIO</t>
  </si>
  <si>
    <t>BASSOTTI MARCO</t>
  </si>
  <si>
    <t>SOCIETA' AGRICOLA CA' LA VINCENZA SRL</t>
  </si>
  <si>
    <t>SOCIETA' AGRICOLA F.LLI CAPPELLACCI S.S.</t>
  </si>
  <si>
    <t>AGOSTINELLI NAZZARENO</t>
  </si>
  <si>
    <t>OTTAVIANI MICHELE</t>
  </si>
  <si>
    <t>PASSETTI ENRICO</t>
  </si>
  <si>
    <t>SOCIETA' AGRICOLA BIOLOGICA BORGOGNONI S.S.</t>
  </si>
  <si>
    <t>BENTIVOGLIO SERGIO</t>
  </si>
  <si>
    <t>TRAVERSA FEDERICO</t>
  </si>
  <si>
    <t>QUINTILI GRETA</t>
  </si>
  <si>
    <t>DI MULO ROBERTO FILIPPO</t>
  </si>
  <si>
    <t>CONTI RENATA</t>
  </si>
  <si>
    <t>POIANI MARIO DOMENICO</t>
  </si>
  <si>
    <t>POLETTI SECONDO</t>
  </si>
  <si>
    <t>VOLVERINI PINO</t>
  </si>
  <si>
    <t>PULISCA RENATO</t>
  </si>
  <si>
    <t>LONZI MAURIZIO</t>
  </si>
  <si>
    <t>STROPPA RENZO</t>
  </si>
  <si>
    <t>SOCIETA' AGRICOLA LA MORSINA DI UGOLINI STEFANIA &amp; C. SNC</t>
  </si>
  <si>
    <t>LUNARDI TITO</t>
  </si>
  <si>
    <t>GIOMBI LORENZO</t>
  </si>
  <si>
    <t>LUZI ANTONIO MARIA</t>
  </si>
  <si>
    <t>MARCELLI GIANNI</t>
  </si>
  <si>
    <t>CESARETTI PATRIZIA</t>
  </si>
  <si>
    <t>ROSATELLI RODOLFO</t>
  </si>
  <si>
    <t>BONCI ROBERTO</t>
  </si>
  <si>
    <t>BASILI LUCA</t>
  </si>
  <si>
    <t>GENTILI FABRIZIO</t>
  </si>
  <si>
    <t>PIERAGOSTINI ATTILIO</t>
  </si>
  <si>
    <t>BURATTI MARISA</t>
  </si>
  <si>
    <t>SCHITO SOCIETA AGRICOLA SEMPLICE</t>
  </si>
  <si>
    <t>SATOLLI MAURIZIO</t>
  </si>
  <si>
    <t>CONTI ORNELLA</t>
  </si>
  <si>
    <t>MILIANI MAGDA</t>
  </si>
  <si>
    <t>SANTONI FELICIANO</t>
  </si>
  <si>
    <t>BURATTI FRANCESCO</t>
  </si>
  <si>
    <t>FRATELLI COZZI S.N.C. DI COZZI ALBERTO E GIOVANNI</t>
  </si>
  <si>
    <t>CASETTARI ROMANO</t>
  </si>
  <si>
    <t>PIERAGOSTINI RAMONA</t>
  </si>
  <si>
    <t>TASSI LUCIA</t>
  </si>
  <si>
    <t>TEODORI FILENA</t>
  </si>
  <si>
    <t>SARAGA ENRICO</t>
  </si>
  <si>
    <t>PAOLETTI NANDO</t>
  </si>
  <si>
    <t>PESCIARELLI BRUNA</t>
  </si>
  <si>
    <t>MATTEUCCI VALTER</t>
  </si>
  <si>
    <t>PIERUCCI MARCO</t>
  </si>
  <si>
    <t>FANELLI LUCA</t>
  </si>
  <si>
    <t>AGROMECCANICA SOCIETA' A RESPONSABILITA' LIMITATA</t>
  </si>
  <si>
    <t>MANDOLINI GIUSEPPINA</t>
  </si>
  <si>
    <t>BELLI ANTONIO</t>
  </si>
  <si>
    <t>ZAMPARINI ITALO</t>
  </si>
  <si>
    <t>LIGI FRANCA</t>
  </si>
  <si>
    <t>MASSACCI DANY</t>
  </si>
  <si>
    <t>BASSETTI ROMANO</t>
  </si>
  <si>
    <t>CANGINI ROSELLA</t>
  </si>
  <si>
    <t>DE BERNARDI ISACCO</t>
  </si>
  <si>
    <t>PIEROTTI PIERINO</t>
  </si>
  <si>
    <t>CHIARABILLI ANNA - MARIA</t>
  </si>
  <si>
    <t>GATTI RENZO</t>
  </si>
  <si>
    <t>RINOZZI CLAUDIO</t>
  </si>
  <si>
    <t>CAA Degli Agricoltori - ANCONA - 103</t>
  </si>
  <si>
    <t>SERBASSI FRANCA</t>
  </si>
  <si>
    <t>GUERRA ROSINA</t>
  </si>
  <si>
    <t>MIZIOLI DANIELE E C. SOCIETA' AGRICOLA SEMPLICE</t>
  </si>
  <si>
    <t>SERRA FELICINA SERAFINA</t>
  </si>
  <si>
    <t>SOC. AGR. MAGNANI LEONARDO E AGOSTINO S.S.</t>
  </si>
  <si>
    <t>CASACCIA LUIGI</t>
  </si>
  <si>
    <t>CIOTTI GIULIO</t>
  </si>
  <si>
    <t>SOCIETA' AGRICOLA FIORELLI D. E G. S.S.</t>
  </si>
  <si>
    <t>BERLIOCCHI STEFANO</t>
  </si>
  <si>
    <t>GHISELLI TIZIANA</t>
  </si>
  <si>
    <t>ROSATI SILVANO</t>
  </si>
  <si>
    <t>LORONI MASSIMILIANO</t>
  </si>
  <si>
    <t>GRELLI ALBERTO</t>
  </si>
  <si>
    <t>PIERUCCI GIANMICHELE</t>
  </si>
  <si>
    <t>AMADIO ADINO</t>
  </si>
  <si>
    <t>MARTELLI EMILIA</t>
  </si>
  <si>
    <t>CINTI ROSELLA</t>
  </si>
  <si>
    <t>FADDA MELCHIORRE</t>
  </si>
  <si>
    <t>CRINELLI GIUSEPPINA</t>
  </si>
  <si>
    <t>SOCIETA' AGRICOLA LA MONACESCA DI COPPONI MASSIMO E C. S.S.</t>
  </si>
  <si>
    <t>PAZZELLI GIAMMARIO</t>
  </si>
  <si>
    <t>CAA Coldiretti - MACERATA - 002</t>
  </si>
  <si>
    <t>SOCIETA' AGRICOLA TENUTA 27 S.S.</t>
  </si>
  <si>
    <t>SABATINI MARIA</t>
  </si>
  <si>
    <t>BELLUCCI MARIA TERESA</t>
  </si>
  <si>
    <t>PORFIRI ANTONIO</t>
  </si>
  <si>
    <t>MARINANGELI ALFREDO</t>
  </si>
  <si>
    <t>CRISTALLI CANDIDA</t>
  </si>
  <si>
    <t>VAGNERINI PIER GIORGIO</t>
  </si>
  <si>
    <t>DI DOMENICO NICOLETTA</t>
  </si>
  <si>
    <t>CALISTI SERGIO</t>
  </si>
  <si>
    <t>PAGGI PINO</t>
  </si>
  <si>
    <t>NOLFI ISOLINA</t>
  </si>
  <si>
    <t>PIGOTTI SEBASTIANO</t>
  </si>
  <si>
    <t>CAA Confagricoltura - PERUGIA - 006</t>
  </si>
  <si>
    <t>BETTINI FLAVIO</t>
  </si>
  <si>
    <t>TROITO PIETRO</t>
  </si>
  <si>
    <t>SALVI LUCA</t>
  </si>
  <si>
    <t>ROSSI OSCAR</t>
  </si>
  <si>
    <t>BALDUCCI MARIO</t>
  </si>
  <si>
    <t>FADDA MICHELE &amp; GIULIANO SOC.SEMPLICE</t>
  </si>
  <si>
    <t>UBALDI VINCENZO E FUNARI ANGELA SOC.SEMPLICE</t>
  </si>
  <si>
    <t>CARSETTI DINA</t>
  </si>
  <si>
    <t>BARTOCCI MASSIMO</t>
  </si>
  <si>
    <t>BIDUCCI SOCIETA' A RESPONSABILITA' LIMITATA SEMPLIFICATA SOCIETA' AGRI</t>
  </si>
  <si>
    <t>CAL SOLE SOCIETA' AGRICOLA</t>
  </si>
  <si>
    <t>PETETTA IVAN</t>
  </si>
  <si>
    <t>BERNARDI CLAUDIO</t>
  </si>
  <si>
    <t>SANNA GIOVANNI</t>
  </si>
  <si>
    <t>LIGI MAURIZIO</t>
  </si>
  <si>
    <t>ANSOVINI LUCA</t>
  </si>
  <si>
    <t>SOCIETA' AGRICOLA ARCANGELI JACOPO S.S.</t>
  </si>
  <si>
    <t>CINI ALFREDO</t>
  </si>
  <si>
    <t>SICILIANO CARLA</t>
  </si>
  <si>
    <t>BATTISTINI SAVERIO</t>
  </si>
  <si>
    <t>DI MARCO FRANCESCO</t>
  </si>
  <si>
    <t>FREELING MYRON</t>
  </si>
  <si>
    <t>BUSCIONOVI PIERINO</t>
  </si>
  <si>
    <t>ANGELI STEFANO</t>
  </si>
  <si>
    <t>DE CESARIS DANILO</t>
  </si>
  <si>
    <t>BISBOCCI MARIO</t>
  </si>
  <si>
    <t>SENSOLI DOMENICO</t>
  </si>
  <si>
    <t>DEPAU LUIGI</t>
  </si>
  <si>
    <t>PARASACCHI REMO</t>
  </si>
  <si>
    <t>PACI TIZIANA</t>
  </si>
  <si>
    <t>PAOLUCCI GIANFRANCO</t>
  </si>
  <si>
    <t>MAZZOCCHI DANIELE</t>
  </si>
  <si>
    <t>AZ. AGR. CASTELVECCHIO DI MAGNONI GIOVANNI E C. SOC. SEMPLIC</t>
  </si>
  <si>
    <t>GASPARI SALVATORE</t>
  </si>
  <si>
    <t>ORTOLANI SANDRO FLORINDO</t>
  </si>
  <si>
    <t>CAPOCCIA GIACOMO</t>
  </si>
  <si>
    <t>GRAZIOSI ILENIA</t>
  </si>
  <si>
    <t>SPURIO MARIO</t>
  </si>
  <si>
    <t>COSTANTINI LIVIO</t>
  </si>
  <si>
    <t>SOCIETA' AGRICOLA LORENZOTTI GIANCARLO &amp; C. S.S.</t>
  </si>
  <si>
    <t>BOSCONATURA SOCIETA' AGRICOLA S.S.</t>
  </si>
  <si>
    <t>SANTONI VINCENZO</t>
  </si>
  <si>
    <t>SABATTINI MIRCO</t>
  </si>
  <si>
    <t>COLOCCI ALVARO</t>
  </si>
  <si>
    <t>TODINI UMBERTO</t>
  </si>
  <si>
    <t>PIERSIGILLI SAURO</t>
  </si>
  <si>
    <t>GIOVANNINI ILEANA</t>
  </si>
  <si>
    <t>ALBERTO QUACQUARINI - SOCIETA' AGRICOLA SEMPLICE</t>
  </si>
  <si>
    <t>MASCI ANDREA</t>
  </si>
  <si>
    <t>ANGELONI PAOLO</t>
  </si>
  <si>
    <t>AVALTRONI ANNA</t>
  </si>
  <si>
    <t>PATASIBILLA S.R.L. SOCIETA' AGRICOLA</t>
  </si>
  <si>
    <t>BALDELLI MARIA GRAZIA</t>
  </si>
  <si>
    <t>OLIVIERO ALESSANDRO</t>
  </si>
  <si>
    <t>GORINI MARCELLO</t>
  </si>
  <si>
    <t>MOSCATELLI ANNA</t>
  </si>
  <si>
    <t>SANTOBONI ANDREA ROMANO</t>
  </si>
  <si>
    <t>FENNI GIUSEPPE</t>
  </si>
  <si>
    <t>DE ANGELIS GIGLIOLA</t>
  </si>
  <si>
    <t>PELAGAGGIA NICOLA</t>
  </si>
  <si>
    <t>ANDREASSI GIORGIO</t>
  </si>
  <si>
    <t>CARBONARI GIOVANNI</t>
  </si>
  <si>
    <t>SCALONI DARIO</t>
  </si>
  <si>
    <t>COCCO MARIA</t>
  </si>
  <si>
    <t>SMACCHIA SILVANO</t>
  </si>
  <si>
    <t>BRUNI GIUSEPPINO</t>
  </si>
  <si>
    <t>SOCIETA' AGRICOLA SAN MARTINO S.R.L.</t>
  </si>
  <si>
    <t>MATTEI GIANFRANCO</t>
  </si>
  <si>
    <t>RANUCCI TIZIANA</t>
  </si>
  <si>
    <t>REGINI PATRIZIA</t>
  </si>
  <si>
    <t>MARIANI YURI</t>
  </si>
  <si>
    <t>FABBRIZI FABRIZIA</t>
  </si>
  <si>
    <t>VIRGILI TOMMASO</t>
  </si>
  <si>
    <t>MAGI DAVIDE</t>
  </si>
  <si>
    <t>TAGNANI LEOPOLDO</t>
  </si>
  <si>
    <t>CECCAROLI GRAZIANO</t>
  </si>
  <si>
    <t>VITALETTI GIOVANNI</t>
  </si>
  <si>
    <t>MICUCCI MATTEO</t>
  </si>
  <si>
    <t>AGRIRIDOLFI SOCIETA' AGRICOLA DI SBROLLINI CINZIA E C.S.S</t>
  </si>
  <si>
    <t>PIERMARINI S.N.C. DI PIERMARINI CLAUDIA &amp; C.-SOCIETA' AGRICOLA</t>
  </si>
  <si>
    <t>SOCIETA'AGRICOLA F.LLI VENNARUCCI DI VENNARUCCI GIACOMO E VALERIO SOC.</t>
  </si>
  <si>
    <t>TOZZI FRANCO</t>
  </si>
  <si>
    <t>PETROLATI FEDERICO</t>
  </si>
  <si>
    <t>ARCANGELI LIDIANA</t>
  </si>
  <si>
    <t>MOROSI ANTONIETTA</t>
  </si>
  <si>
    <t>BIGOLI BIAGIO</t>
  </si>
  <si>
    <t>SOCIETA' AGRICOLA 2F DI FANELLI DOMENICO E MATTEO S.S.</t>
  </si>
  <si>
    <t>SOCIETA' AGRICOLA GROTTESI LIBERO DI GROTTESI ROBERTO S.A.S.</t>
  </si>
  <si>
    <t>VENNARUCCI DOMENICO</t>
  </si>
  <si>
    <t>MELINI MIRCO</t>
  </si>
  <si>
    <t>AZIENDA AGRICOLA GRILLI GIUSTI S.S.</t>
  </si>
  <si>
    <t>MARCHIONNI FABIO</t>
  </si>
  <si>
    <t>MATTEI MAURO</t>
  </si>
  <si>
    <t>RUGGERI ISELLA</t>
  </si>
  <si>
    <t>BATTISTONI EMANUELE</t>
  </si>
  <si>
    <t>SOCIETA' AGRICOLA VERDINI S.S.</t>
  </si>
  <si>
    <t>VAL DI FIBBIO SOCIETA' AGRICOLA S.A.S. DI GALLETTI GIULIANA &amp; C.</t>
  </si>
  <si>
    <t>CASONI CESARE</t>
  </si>
  <si>
    <t>FAZIOLI FILIPPO</t>
  </si>
  <si>
    <t>PETRETI SILVANO</t>
  </si>
  <si>
    <t>RAIMONDI ARMANDO</t>
  </si>
  <si>
    <t>AZ.AGRICOLA DE BLASIO FILIPPO E C. SOCIETA AGRICOLA S.S.</t>
  </si>
  <si>
    <t>DI BIAGI MARIA</t>
  </si>
  <si>
    <t>GROSSI GIUSEPPE</t>
  </si>
  <si>
    <t>ALESSI MICHELE</t>
  </si>
  <si>
    <t>SOC.AGR.TERRA DI MONDO SRL</t>
  </si>
  <si>
    <t>SOCIETA' AGRICOLA TERRADIMUCCIA SOCIETA'A RESPONSABILITA' LIMITATA SEM</t>
  </si>
  <si>
    <t>TEODORI DANIELE</t>
  </si>
  <si>
    <t>PAPARONI MASSIMILIANO</t>
  </si>
  <si>
    <t>FRANCHINI GABRIELA</t>
  </si>
  <si>
    <t>SOCIETA AGRICOLA CAI BERTINI DI MAGNONI FILIPPO E C S.S.</t>
  </si>
  <si>
    <t>RICCI DINO</t>
  </si>
  <si>
    <t>ALTERI ARCANGELO</t>
  </si>
  <si>
    <t>PIERUCCI DARIO</t>
  </si>
  <si>
    <t>MORETTI ENRICO</t>
  </si>
  <si>
    <t>CORSO NERINA</t>
  </si>
  <si>
    <t>LAZZARI STEFANO</t>
  </si>
  <si>
    <t>GAMBINI GABRIELE</t>
  </si>
  <si>
    <t>PEDA CARLO</t>
  </si>
  <si>
    <t>AMADORI ADOLFA</t>
  </si>
  <si>
    <t>FIASTRELLI PRIMO</t>
  </si>
  <si>
    <t>BELTRAME MIRELLA</t>
  </si>
  <si>
    <t>MOGIANI ROSILIO</t>
  </si>
  <si>
    <t>MORRESI ADA</t>
  </si>
  <si>
    <t>TROIANI LAURA</t>
  </si>
  <si>
    <t>QUARANTINI LEONARDO</t>
  </si>
  <si>
    <t>DAMIA PACIARINI UMBERTO</t>
  </si>
  <si>
    <t>PETROLATI VINCENZO</t>
  </si>
  <si>
    <t>MAGNONI DANIELE</t>
  </si>
  <si>
    <t>DEL BONO LUCIANO</t>
  </si>
  <si>
    <t>BARTOLUCCI GUERRINO</t>
  </si>
  <si>
    <t>MOGIANI LEONELLO</t>
  </si>
  <si>
    <t>BUCCARINI GIOVANNI</t>
  </si>
  <si>
    <t>COCCI RENZO</t>
  </si>
  <si>
    <t>DE BELLIS SARA</t>
  </si>
  <si>
    <t>FERRETTI ARCANGELO</t>
  </si>
  <si>
    <t>SOCIETA' AGRICOLA "NONNO PINO " DI ROSSI ALDO E MAURIZIO S.S.</t>
  </si>
  <si>
    <t>ANGELINI FRANCESCO</t>
  </si>
  <si>
    <t>FEDELI EMANUELA</t>
  </si>
  <si>
    <t>RICCI SAMUELE</t>
  </si>
  <si>
    <t>CARBELLOTTI NADIA</t>
  </si>
  <si>
    <t>DE ANGELIS ALDO</t>
  </si>
  <si>
    <t>VANNUCCI GIAN CARLO</t>
  </si>
  <si>
    <t>ZAMPONI FRANCESCO-MATTEO</t>
  </si>
  <si>
    <t>GIORGI GIUSEPPINA</t>
  </si>
  <si>
    <t>SOCIETA' AGRICOLA E AGRITURISMO PONTE DEGLI SCHIAVI DI TABARRETTI FRAN</t>
  </si>
  <si>
    <t>SPADONI MAURIZIO</t>
  </si>
  <si>
    <t>CESARI ALESANDRO</t>
  </si>
  <si>
    <t>ANGELETTI GIANNI</t>
  </si>
  <si>
    <t>TORRI ROMANO</t>
  </si>
  <si>
    <t>BELLUCCI ROBERTO</t>
  </si>
  <si>
    <t>MALTEMPO GIORGIO</t>
  </si>
  <si>
    <t>BATTIROSSI PIETRO</t>
  </si>
  <si>
    <t>RUGGERI MIKI</t>
  </si>
  <si>
    <t>DOTTORI RITA</t>
  </si>
  <si>
    <t>FABIANI UMBERTO</t>
  </si>
  <si>
    <t>MANENTI MARIO</t>
  </si>
  <si>
    <t>LORENZETTI GUIDO</t>
  </si>
  <si>
    <t>BROCCA LUISA</t>
  </si>
  <si>
    <t>SORIANI EGLE</t>
  </si>
  <si>
    <t>GENNARETTINI NANDO</t>
  </si>
  <si>
    <t>POMPILI PIERA</t>
  </si>
  <si>
    <t>ROSSI GIUSEPPE</t>
  </si>
  <si>
    <t>SPADINI MARINO</t>
  </si>
  <si>
    <t>FATTINNANZI GERARDO</t>
  </si>
  <si>
    <t>DIOTALEVI DELFINA</t>
  </si>
  <si>
    <t>BATTISTINI MASSIMO</t>
  </si>
  <si>
    <t>MAZZANTI GIUSEPPE</t>
  </si>
  <si>
    <t>PIERUCCI NARA</t>
  </si>
  <si>
    <t>BARUCCA LIDIA</t>
  </si>
  <si>
    <t>COLOCCI LUIGI</t>
  </si>
  <si>
    <t>SILVANO EDI</t>
  </si>
  <si>
    <t>FINOCCHI CARLO</t>
  </si>
  <si>
    <t>EPIFANI FELICETTO</t>
  </si>
  <si>
    <t>DOMINICI NAZZARENO</t>
  </si>
  <si>
    <t>SOCIETA' AGRICOLA SQUARCIA GRAZIELLA &amp; CALVANI ELVIRA S.S.</t>
  </si>
  <si>
    <t>PIERUCCI GIULIANA</t>
  </si>
  <si>
    <t>SOCIETA' AGRICOLA LA TASSONA S.S.</t>
  </si>
  <si>
    <t>QUACQUARINI LANFRANCO</t>
  </si>
  <si>
    <t>PARADISI LUIGI</t>
  </si>
  <si>
    <t>PARLANI ORAZIO</t>
  </si>
  <si>
    <t>ROSSINI MAURO</t>
  </si>
  <si>
    <t>DOMENICHELLI SARA</t>
  </si>
  <si>
    <t>GIAMBARTOLOMEI GIANNINO</t>
  </si>
  <si>
    <t>ANTONINI LUIGI</t>
  </si>
  <si>
    <t>CASACCIA ALFIO</t>
  </si>
  <si>
    <t>COSTANTINI TERZINA</t>
  </si>
  <si>
    <t>BACCHIOCCHI LAMBERTO</t>
  </si>
  <si>
    <t>PIERMARTIRI ROSALBO</t>
  </si>
  <si>
    <t>ANGELINI SERAFINO</t>
  </si>
  <si>
    <t>DAMIANI GABRIELE</t>
  </si>
  <si>
    <t>FRASCARELLI MARIA PAOLA</t>
  </si>
  <si>
    <t>BENEDETTI CLETO</t>
  </si>
  <si>
    <t>BALSAMINI GIOVANNI</t>
  </si>
  <si>
    <t>SOCIETA' AGRICOLA CASELLA DI GUERRA S. C S.S.</t>
  </si>
  <si>
    <t>FILIPPINI ROBERTA</t>
  </si>
  <si>
    <t>SCAFICCHIA PIERO</t>
  </si>
  <si>
    <t>GAMBIOLI FRANCO</t>
  </si>
  <si>
    <t>BARCELLI ENIO</t>
  </si>
  <si>
    <t>MARINANGELI ENZO</t>
  </si>
  <si>
    <t>GALLOPPA MAURIZIO</t>
  </si>
  <si>
    <t>VITALETTI LEONARDO</t>
  </si>
  <si>
    <t>CECCHINI LORENZO</t>
  </si>
  <si>
    <t>PIERLI FLAVIO</t>
  </si>
  <si>
    <t>BELLESI VENANZIO</t>
  </si>
  <si>
    <t>PIERUCCI PAOLO</t>
  </si>
  <si>
    <t>PIERSANTI CARLO</t>
  </si>
  <si>
    <t>ROTINI PAOLO</t>
  </si>
  <si>
    <t>ROMANI LUCA</t>
  </si>
  <si>
    <t>MONTEBELLO COOPERATIVA AGROBIOLOGICA</t>
  </si>
  <si>
    <t>TOMMASONI GIOVANNI</t>
  </si>
  <si>
    <t>CANNELLA MARINA</t>
  </si>
  <si>
    <t>CRUCIANI PIETRO</t>
  </si>
  <si>
    <t>BARCHETTI MICHELE</t>
  </si>
  <si>
    <t>CENSORI GIOVANNI</t>
  </si>
  <si>
    <t>VANNICOLA ACHILLINA</t>
  </si>
  <si>
    <t>FUNARI MARIA</t>
  </si>
  <si>
    <t>BALLANTI TITO</t>
  </si>
  <si>
    <t>CACCIAMANI GABRIELE</t>
  </si>
  <si>
    <t>TORRESI MARCO</t>
  </si>
  <si>
    <t>GEZZI EMIDIO</t>
  </si>
  <si>
    <t>SOCIETA' AGRICOLA LAZZARINI S.S.</t>
  </si>
  <si>
    <t>GOSTOLI LEONARDO</t>
  </si>
  <si>
    <t>FIORI GIANCARLO</t>
  </si>
  <si>
    <t>PICIOTTI GIAMPAOLO</t>
  </si>
  <si>
    <t>BACIANI PIERPAOLA</t>
  </si>
  <si>
    <t>PICCIONI ALESSANDRO</t>
  </si>
  <si>
    <t>TRUFELLI CELSO</t>
  </si>
  <si>
    <t>PERONI FABIANA</t>
  </si>
  <si>
    <t>CHIATTI MARINA</t>
  </si>
  <si>
    <t>EPIFANI GIACOMO</t>
  </si>
  <si>
    <t>MULERI MARIO</t>
  </si>
  <si>
    <t>NONNI DANIELE</t>
  </si>
  <si>
    <t>CAPRARI GIORGIO</t>
  </si>
  <si>
    <t>FLORICOLTURA LANDINI SOCIETA' AGRICOLA</t>
  </si>
  <si>
    <t>GRILLI ALMERINA</t>
  </si>
  <si>
    <t>AMATI GIANCARLO</t>
  </si>
  <si>
    <t>ALBANI ALFIERO</t>
  </si>
  <si>
    <t>TAVOLINI CLAUDIO</t>
  </si>
  <si>
    <t>PANTALEONI RINO</t>
  </si>
  <si>
    <t>IPPOLITI MARCO</t>
  </si>
  <si>
    <t>PIERANI BRUNO</t>
  </si>
  <si>
    <t>TEODORI TIZIANO</t>
  </si>
  <si>
    <t>CORBELLOTTI ALBERTO</t>
  </si>
  <si>
    <t>SANTI AMANTINI MARIO</t>
  </si>
  <si>
    <t>BALDACCIONI DAVIDE</t>
  </si>
  <si>
    <t>BALDELLI THOMAS</t>
  </si>
  <si>
    <t>MARINELLI GIGLIOLA</t>
  </si>
  <si>
    <t>BENI FAUSTO</t>
  </si>
  <si>
    <t>TOPI GIULIA</t>
  </si>
  <si>
    <t>GENTILI RENZO</t>
  </si>
  <si>
    <t>SOCIETA' AGRICOLA SILVETTI GIANFRANCO E GAETANO SOCIETA' SEMPLICE</t>
  </si>
  <si>
    <t>AMADORI GIUSEPPE</t>
  </si>
  <si>
    <t>SARTORELLI EZIO</t>
  </si>
  <si>
    <t>CINI DELFINA</t>
  </si>
  <si>
    <t>GIOVANNINI GIULIO</t>
  </si>
  <si>
    <t>OLIVIERI SARA</t>
  </si>
  <si>
    <t>ERCOLI MAURIZIO</t>
  </si>
  <si>
    <t>SIMONCELLI GIANFRANCO</t>
  </si>
  <si>
    <t>MANENTI PIERGIUSEPPE</t>
  </si>
  <si>
    <t>BIZZARRI ROLANDO</t>
  </si>
  <si>
    <t>MILANI TONINO</t>
  </si>
  <si>
    <t>MARCHIONNI MARCO</t>
  </si>
  <si>
    <t>SUIGI DANIELE</t>
  </si>
  <si>
    <t>CLEMENTI FRANCO</t>
  </si>
  <si>
    <t>AIUDI DIEGO</t>
  </si>
  <si>
    <t>LAZZARI DAVIDE</t>
  </si>
  <si>
    <t>TRUFELLI MARICA</t>
  </si>
  <si>
    <t>LUCARINI MILENA</t>
  </si>
  <si>
    <t>CORA DI CARBONI SANTE &amp; C. SAS</t>
  </si>
  <si>
    <t>BIGONZI DANIELA</t>
  </si>
  <si>
    <t>MENTONELLI VITALIANA</t>
  </si>
  <si>
    <t>CIABOCO MARCELLO</t>
  </si>
  <si>
    <t>MARINI MARINA</t>
  </si>
  <si>
    <t>PIGNOLONI NELLO</t>
  </si>
  <si>
    <t>CANCELLIERI FABIO</t>
  </si>
  <si>
    <t>AZ.AGR.SANNA E MONI</t>
  </si>
  <si>
    <t>CERESCIOLI GIULIANO</t>
  </si>
  <si>
    <t>MASILI SEBASTIANO</t>
  </si>
  <si>
    <t>BALDACCI BRUNO</t>
  </si>
  <si>
    <t>BALDI STEFANO</t>
  </si>
  <si>
    <t>FILANTROPI MAURO</t>
  </si>
  <si>
    <t>BELPASSI SILVANA</t>
  </si>
  <si>
    <t>CONTI ALESSANDRO</t>
  </si>
  <si>
    <t>BORIA SAMUELE</t>
  </si>
  <si>
    <t>ROMANINI MATTEO</t>
  </si>
  <si>
    <t>AZIENDA AGRICOLA DEL MONTE CASTELLO DI FEDELI MYRIAM &amp; C. S.A.S.</t>
  </si>
  <si>
    <t>3A S.C.A. IN LIQUIDAZIONE</t>
  </si>
  <si>
    <t>TACCONI ANDREA</t>
  </si>
  <si>
    <t>CARRARA PIERO ALBERTO</t>
  </si>
  <si>
    <t>CIMARELLI MARINO</t>
  </si>
  <si>
    <t>CURTI BENEDETTO</t>
  </si>
  <si>
    <t>TENUTE DEL MONTEFELTRO SOCIETA' AGRICOLA S.S.</t>
  </si>
  <si>
    <t>BUETI CONCETTA</t>
  </si>
  <si>
    <t>MALTEMPO DENIS</t>
  </si>
  <si>
    <t>JACHINI MARZIALI STEFANO</t>
  </si>
  <si>
    <t>BARELLI LUIGI MARIA</t>
  </si>
  <si>
    <t>CANCELLIERI MAURIZIO</t>
  </si>
  <si>
    <t>SOCIETA' AGRICOLA PIERONI S.S.</t>
  </si>
  <si>
    <t>MATTEUCCI MAURIZIO</t>
  </si>
  <si>
    <t>ANGELI GIULIO</t>
  </si>
  <si>
    <t>CORSO ALFREDINA</t>
  </si>
  <si>
    <t>SOCIETA' AGRICOLA COLFIORITO DI LORETI</t>
  </si>
  <si>
    <t>LEONI STEFANO</t>
  </si>
  <si>
    <t>DEPLANU SALVATORE &amp; ALESSANDRO SOC.SEMPL.AGRICOLA</t>
  </si>
  <si>
    <t>CECCAROLI DONATO</t>
  </si>
  <si>
    <t>LOCCI GIUSEPPE</t>
  </si>
  <si>
    <t>BARBONI FABIO</t>
  </si>
  <si>
    <t>BATTAGLINI ANNA MARIA</t>
  </si>
  <si>
    <t>ROSSI GOFFREDO</t>
  </si>
  <si>
    <t>CAMOSCI TONINO</t>
  </si>
  <si>
    <t>SANTELLI GIORGIO</t>
  </si>
  <si>
    <t>CERBONI STEFANO</t>
  </si>
  <si>
    <t>CASAGRANDE LAURA</t>
  </si>
  <si>
    <t>CAA CAF AGRI - ANCONA - 221</t>
  </si>
  <si>
    <t>OPERA SOCIETA' COOPERATIVA SOCIALE ONLUS SOC COOP PA</t>
  </si>
  <si>
    <t>CARLI LUCIANO</t>
  </si>
  <si>
    <t>BALLANTI GUIDO</t>
  </si>
  <si>
    <t>SPUGNI IVANO</t>
  </si>
  <si>
    <t>SOC.AGR.SARNANO BIO DI TAMANTI R. - TOSI G. - BECCERICA E. - BECCERICA</t>
  </si>
  <si>
    <t>SALCICCIA DANIELE</t>
  </si>
  <si>
    <t>STROPPA RUBENS</t>
  </si>
  <si>
    <t>PIGNOLONI LUCA</t>
  </si>
  <si>
    <t>PALADINI SERGIO</t>
  </si>
  <si>
    <t>RINALDI ROSA</t>
  </si>
  <si>
    <t>UGULINI GIOVANNI</t>
  </si>
  <si>
    <t>NUCCI PAOLA LUCIANA</t>
  </si>
  <si>
    <t>PIZZI FIDALMA</t>
  </si>
  <si>
    <t>CINGOLANI MARIA ROSA</t>
  </si>
  <si>
    <t>DI PASQUA PINA</t>
  </si>
  <si>
    <t>DINI GIULIANO</t>
  </si>
  <si>
    <t>MICHELETTI MAURO</t>
  </si>
  <si>
    <t>SOCIETA' AGRICOLA CAPARUCCI DI LONER VALENTINA &amp; CO. S.N.C.</t>
  </si>
  <si>
    <t>NEPI VINCENZO</t>
  </si>
  <si>
    <t>QUINTOZZI BENITO</t>
  </si>
  <si>
    <t>SCIALINO PIER RICCARDO</t>
  </si>
  <si>
    <t>ANGELUCCI FABRIZIO</t>
  </si>
  <si>
    <t>SPADONI ROBERTO</t>
  </si>
  <si>
    <t>PIERMARTINI FRANCHINA</t>
  </si>
  <si>
    <t>PASSERI AGOSTINO</t>
  </si>
  <si>
    <t>VIOLA BASILIO</t>
  </si>
  <si>
    <t>GUIDARELLI GIUSEPPA</t>
  </si>
  <si>
    <t>SOCIETA' AGRICOLA RAFFAELLI DINO &amp; C SS</t>
  </si>
  <si>
    <t>SOCIETA' AGRICOLA RAIKA BIO S.S.</t>
  </si>
  <si>
    <t>PICCARI PATRIZIA</t>
  </si>
  <si>
    <t>FABI GIOVANNA</t>
  </si>
  <si>
    <t>PIERDOMENICO ROSELLA</t>
  </si>
  <si>
    <t>BETTI ALESSANDRO</t>
  </si>
  <si>
    <t>DI LELLA GIGLIOLA</t>
  </si>
  <si>
    <t>CONVERSINI LUCIANO</t>
  </si>
  <si>
    <t>GIACOBBI LUIGI</t>
  </si>
  <si>
    <t>VOLPI MARIA TERESA</t>
  </si>
  <si>
    <t>CONSOLI MARIO</t>
  </si>
  <si>
    <t>DI VIRGILIO LORENZO</t>
  </si>
  <si>
    <t>SMACCHIA LUISA</t>
  </si>
  <si>
    <t>SOCIETA' AGRICOLA FRATELLI NUCCI S.R.L.</t>
  </si>
  <si>
    <t>FENUCCI UGO</t>
  </si>
  <si>
    <t>CHERCHI PIERO FRANCO</t>
  </si>
  <si>
    <t>NORI STEFANO</t>
  </si>
  <si>
    <t>SOCIETA' AGRICOLA TIBERI SECONDO E GIANLUCA S.S.</t>
  </si>
  <si>
    <t>BAIONI ATTILIO</t>
  </si>
  <si>
    <t>TAMENGHI LUIGI</t>
  </si>
  <si>
    <t>BUSBANI PAOLO</t>
  </si>
  <si>
    <t>CAA CIA - PERUGIA - 005</t>
  </si>
  <si>
    <t>CAPPANNELLI OLIMPIA</t>
  </si>
  <si>
    <t>MATTEACCI RITA</t>
  </si>
  <si>
    <t>UGOLINI DINO</t>
  </si>
  <si>
    <t>VANNUCCI AGOSTINO</t>
  </si>
  <si>
    <t>BLASI ORIANO</t>
  </si>
  <si>
    <t>BRICCA ANTONELLA</t>
  </si>
  <si>
    <t>CERVELLI GIULIO</t>
  </si>
  <si>
    <t>CONFORTI DIEGO E SANDRO S.S. AGRICOLA</t>
  </si>
  <si>
    <t>CORVINI CLAUDIO</t>
  </si>
  <si>
    <t>FIORANI NADIA</t>
  </si>
  <si>
    <t>ROCCHI PAOLO</t>
  </si>
  <si>
    <t>FERRETTI GIUSEPPE PAUL</t>
  </si>
  <si>
    <t>PAZZAGLIA GIUSEPPE</t>
  </si>
  <si>
    <t>SPERANZA MARIA</t>
  </si>
  <si>
    <t>BARZOTTI FREDIANA</t>
  </si>
  <si>
    <t>CASAGRANDE BRUNO</t>
  </si>
  <si>
    <t>GOBBETTI BRUNELLA</t>
  </si>
  <si>
    <t>OTTAVIANI GIANCARLO</t>
  </si>
  <si>
    <t>VITALUCCI IVAN</t>
  </si>
  <si>
    <t>BARZOTTI SANTE</t>
  </si>
  <si>
    <t>LABEEUW GERARD POL</t>
  </si>
  <si>
    <t>BONETTI BRUNO</t>
  </si>
  <si>
    <t>CONTI FEDERICO</t>
  </si>
  <si>
    <t>ROCCHI FRANCA</t>
  </si>
  <si>
    <t>GIOACCHINI FRANCO</t>
  </si>
  <si>
    <t>MARCHIONNI GENNARO</t>
  </si>
  <si>
    <t>CAMILUCCI RITA</t>
  </si>
  <si>
    <t>MARINELLI DARIO</t>
  </si>
  <si>
    <t>ROCCONI NELLO</t>
  </si>
  <si>
    <t>BIGOLI ALBA</t>
  </si>
  <si>
    <t>SPADONI ELVIRA</t>
  </si>
  <si>
    <t>PANTALEONI OLIVIERO</t>
  </si>
  <si>
    <t>PILATO SOCIETA' AGRICOLA S.A.S. DI MURA RITA &amp; C</t>
  </si>
  <si>
    <t>PEVERINI STEFANIA</t>
  </si>
  <si>
    <t>GROSSI MARIA-GRAZIELLA</t>
  </si>
  <si>
    <t>GARGAMELLI GIACOMO</t>
  </si>
  <si>
    <t>IMPRESA EDILE E STRADALE GUIDI GIOVANNI S.R.L.</t>
  </si>
  <si>
    <t>MARANCONI FRANCA</t>
  </si>
  <si>
    <t>FABIANI PIA</t>
  </si>
  <si>
    <t>CHIARABILLI ROBERTO</t>
  </si>
  <si>
    <t>PERUGINI FELICE</t>
  </si>
  <si>
    <t>QUATTROCCHI CATIA</t>
  </si>
  <si>
    <t>POLVERIGIANI FABIO</t>
  </si>
  <si>
    <t>PIERSANTI COSTANTINO</t>
  </si>
  <si>
    <t>MONTESI SANTA</t>
  </si>
  <si>
    <t>SPADINI ANDREA</t>
  </si>
  <si>
    <t>LEPORONI MAURO</t>
  </si>
  <si>
    <t>SOCIETA' AGRICOLA SARGENTI DI PRIMUCCI ELISABETTA &amp; C. SOC. SEMPL ICE</t>
  </si>
  <si>
    <t>NICOLETTI GABRIELLA</t>
  </si>
  <si>
    <t>LATINI ANTONIO</t>
  </si>
  <si>
    <t>LOCCIONI MARCO</t>
  </si>
  <si>
    <t>BARTOCCIONI DAVIDE</t>
  </si>
  <si>
    <t>MAZZOLI CELSO</t>
  </si>
  <si>
    <t>CRINELLA LOREDANA</t>
  </si>
  <si>
    <t>CA' LA NINETA S.R.L.</t>
  </si>
  <si>
    <t>TERENZI RITA</t>
  </si>
  <si>
    <t>TIBERI GIANFRANCO E GALAVOTTI LINA SOCIETA' SEMPLICE</t>
  </si>
  <si>
    <t>BALSAMINI GINO</t>
  </si>
  <si>
    <t>POLLI ATTILIO</t>
  </si>
  <si>
    <t>TENUTA OTTAVIANI GIUSEPPE E FIGLI SOCIETA' AGRICOLA SEMPLICE IN SIGLA</t>
  </si>
  <si>
    <t>LAI ELENA</t>
  </si>
  <si>
    <t>MAURI GIOELE</t>
  </si>
  <si>
    <t>FILIPPINI ANTONIO</t>
  </si>
  <si>
    <t>GENNARINI FERNANDO-FRANCO</t>
  </si>
  <si>
    <t>FORTUNI ALDO</t>
  </si>
  <si>
    <t>VENA GIROLAMO</t>
  </si>
  <si>
    <t>CARPINETI SANDRINO</t>
  </si>
  <si>
    <t>BOTTICELLI LORENZO</t>
  </si>
  <si>
    <t>PRIORI CRISTIANO</t>
  </si>
  <si>
    <t>SOCIETA' AGRICOLA AZIENDE BIOLOGICHE RIUNITE MARCHE S.S.</t>
  </si>
  <si>
    <t>GABRIELLI BERNARDINA</t>
  </si>
  <si>
    <t>BIANCONI MAURO</t>
  </si>
  <si>
    <t>FABBRI FABRIZIO</t>
  </si>
  <si>
    <t>SCIPIONI LAURA</t>
  </si>
  <si>
    <t>CAI Emilia Rom.</t>
  </si>
  <si>
    <t>CAI Emilia Rom. - RIMINI - 002</t>
  </si>
  <si>
    <t>CENTRO ASSISTENZA IMPRESE COLDIRETTI EMILIA-ROMAGNA S.R.L.</t>
  </si>
  <si>
    <t>BERRETTI LUIGI</t>
  </si>
  <si>
    <t>BONDI MASSIMO</t>
  </si>
  <si>
    <t>SILVESTRINI ISABELLA</t>
  </si>
  <si>
    <t>ELEUTERI LUIGI</t>
  </si>
  <si>
    <t>TROBBIANI GIULIANO</t>
  </si>
  <si>
    <t>PACIFICI MARIA GIULIA</t>
  </si>
  <si>
    <t>MASCIOLI MIRCO</t>
  </si>
  <si>
    <t>TOMASSELLI GIOVANNI</t>
  </si>
  <si>
    <t>SOCIETA' AGRICOLA IL RAGGIO DI SOLE DI ORPELLO S.S.</t>
  </si>
  <si>
    <t>PROCACCINI ALFONSO</t>
  </si>
  <si>
    <t>TOZZI GRAZIELLA</t>
  </si>
  <si>
    <t>FORTUNI FULVIA</t>
  </si>
  <si>
    <t>MARCHETTI SIMONE</t>
  </si>
  <si>
    <t>GORI SANZIO</t>
  </si>
  <si>
    <t>SOCIETA' AGRICOLA VILLANUOVA DI GIAMPAOLI LORIS E ANGELO S.S.</t>
  </si>
  <si>
    <t>RAGNINI ALESSANDRA</t>
  </si>
  <si>
    <t>SOCIETA' AGRICOLA CAMPANELLI SOCIETA' A RESPONSABILITA' LIMITATA</t>
  </si>
  <si>
    <t>FIORAVANTI LUIGI</t>
  </si>
  <si>
    <t>SOCIETA' AGRICOLA FONDI E LAMBERTUCCI S.S.</t>
  </si>
  <si>
    <t>BRANDIMARTI STEFANO</t>
  </si>
  <si>
    <t>BALEANI ELENA</t>
  </si>
  <si>
    <t>SANTARONI EROS</t>
  </si>
  <si>
    <t>CONRIERI ALBERTO</t>
  </si>
  <si>
    <t>CROCETTI TERESA</t>
  </si>
  <si>
    <t>SOCIETA' AGRICOLA VALDIFIASTRA SAS DI FERIOLI ANNA RIITA &amp; C.</t>
  </si>
  <si>
    <t>CICIANI ANGELA</t>
  </si>
  <si>
    <t>NOLFI LUIGI</t>
  </si>
  <si>
    <t>SOCIETA' AGRICOLA DI DANIELE &amp; WALTER ROSSI &amp; C. S.S.</t>
  </si>
  <si>
    <t>PALANCA GRAZIELLA</t>
  </si>
  <si>
    <t>LAURENZI CORRADO</t>
  </si>
  <si>
    <t>MARCHIONNI LUCA</t>
  </si>
  <si>
    <t>ANTONINI RENATO</t>
  </si>
  <si>
    <t>TERRE BONE SOCIETA' AGRICOLA S.R.L.</t>
  </si>
  <si>
    <t>MILANI PACIFICO GIUSEPPE</t>
  </si>
  <si>
    <t>LORENZETTI VERALILIA</t>
  </si>
  <si>
    <t>SCIAMANNA DOMENICO</t>
  </si>
  <si>
    <t>ALESSANDRONI PAOLA</t>
  </si>
  <si>
    <t>BALDISSERRI CINZIA</t>
  </si>
  <si>
    <t>CAROBINI SOCIETA' AGRICOLA S.S.</t>
  </si>
  <si>
    <t>LUZI GILBERTO</t>
  </si>
  <si>
    <t>PANDOLFI MORENO</t>
  </si>
  <si>
    <t>CASELLA CLAUDIO</t>
  </si>
  <si>
    <t>TITTARELLI CHRISTIAN</t>
  </si>
  <si>
    <t>DELLASSANTA MORENA</t>
  </si>
  <si>
    <t>PONTANI ATTILIO</t>
  </si>
  <si>
    <t>PALAZZETTI NORIS</t>
  </si>
  <si>
    <t>TRUFELLI PATRIZIA</t>
  </si>
  <si>
    <t>PIERUCCI GIUSEPPE</t>
  </si>
  <si>
    <t>CHIAVARINI ROMANO</t>
  </si>
  <si>
    <t>SOCIETA' AGRICOLA OLIVIERI SANTERO E C. S.S.</t>
  </si>
  <si>
    <t>VECCHI SILVANA</t>
  </si>
  <si>
    <t>S.A.M. - SOCIETA' AGRICOLA MARCHIGIANA -S.R.L.</t>
  </si>
  <si>
    <t>AGRARIA MONTENOVO</t>
  </si>
  <si>
    <t>BASSETTI DONATELLA</t>
  </si>
  <si>
    <t>LA GREPPA SOCIETA' AGRICOLA S.S.</t>
  </si>
  <si>
    <t>LEONARDI VITO</t>
  </si>
  <si>
    <t>URBINATI SIMONE</t>
  </si>
  <si>
    <t>SOCIETA' AGRICOLA SAN DIEGO S.N.C. DI PENNESI GIUSEPPE CARLO E C.</t>
  </si>
  <si>
    <t>PIANESI DANIELA</t>
  </si>
  <si>
    <t>GALLETI GRAZIANO</t>
  </si>
  <si>
    <t>MICHETTI ALBA</t>
  </si>
  <si>
    <t>DELTUTTO GIUSEPPE</t>
  </si>
  <si>
    <t>MAGI GIUSEPPE</t>
  </si>
  <si>
    <t>PAPARELLI PAOLO</t>
  </si>
  <si>
    <t>ZARLI ELENA</t>
  </si>
  <si>
    <t>CASAVECCHIA SEBASTIANO</t>
  </si>
  <si>
    <t>BASILI GIUSEPPE</t>
  </si>
  <si>
    <t>CAPENTI MARTINA</t>
  </si>
  <si>
    <t>CAVALLINI DANIELA</t>
  </si>
  <si>
    <t>LA TORRE SOCIETA' AGRICOLA S.S.</t>
  </si>
  <si>
    <t>IONI CLAUDIA</t>
  </si>
  <si>
    <t>POLI FRANCA</t>
  </si>
  <si>
    <t>SETTEMBRI FELICE</t>
  </si>
  <si>
    <t>SANTILONI CLEOFE</t>
  </si>
  <si>
    <t>AZ. AGR. F/LLI GIOACCHINI SOCIETA' SEMPLICE</t>
  </si>
  <si>
    <t>SANTINELLI SILVIA</t>
  </si>
  <si>
    <t>MASSACCI LUCA</t>
  </si>
  <si>
    <t>MARCHETTI ALESSIO</t>
  </si>
  <si>
    <t>DURPETTI DONATO</t>
  </si>
  <si>
    <t>RICCIONI GIOVANNI</t>
  </si>
  <si>
    <t>FILIPPINI MIRCO</t>
  </si>
  <si>
    <t>NICOLETTI LORELLA</t>
  </si>
  <si>
    <t>CAA CAF AGRI - FERMO - 222</t>
  </si>
  <si>
    <t>ALTERI GIUSEPPINA</t>
  </si>
  <si>
    <t>CILOCI VICTOR</t>
  </si>
  <si>
    <t>MANCINI BERARDINO</t>
  </si>
  <si>
    <t>DALFOCO CESARE</t>
  </si>
  <si>
    <t>TORELLI GABRIELLA</t>
  </si>
  <si>
    <t>OTTAVIANI FLORIANO</t>
  </si>
  <si>
    <t>PATREGNANI LAURA</t>
  </si>
  <si>
    <t>VIRGILI ENRICO</t>
  </si>
  <si>
    <t>SOCIETA' AGRICOLA POGGIOVERDE S.S.</t>
  </si>
  <si>
    <t>MARAVIGLIA SAURO</t>
  </si>
  <si>
    <t>SORO SALVATORE</t>
  </si>
  <si>
    <t>MONACCHI MARA</t>
  </si>
  <si>
    <t>DUCHI GIANCARLO</t>
  </si>
  <si>
    <t>CARNEVALI SABINA</t>
  </si>
  <si>
    <t>CHIESI FABIO</t>
  </si>
  <si>
    <t>MAZZARELLI SIMONE</t>
  </si>
  <si>
    <t>CANTIANI MAURO</t>
  </si>
  <si>
    <t>GIUSTI VENERINO</t>
  </si>
  <si>
    <t>CANESTRARI EROS</t>
  </si>
  <si>
    <t>BIGONZI CARLO ALBERTO</t>
  </si>
  <si>
    <t>COOP.SOC.IL POSTO DELLE VIOLE SOC. COOP.AGRICOLA A R.L.</t>
  </si>
  <si>
    <t>CECCACCI PATRIZIA</t>
  </si>
  <si>
    <t>PARMEGIANI GABRIELE</t>
  </si>
  <si>
    <t>SOCIETA' AGRICOLA SANT'ANDREA S.S.</t>
  </si>
  <si>
    <t>AZIENDA AGRICOLA BIOLOGICA LA GHITA DI MANOCCHI MARCELLO E MARCO S.S.</t>
  </si>
  <si>
    <t>MORICO STEFANO</t>
  </si>
  <si>
    <t>BANCI SERAFINO</t>
  </si>
  <si>
    <t>RICCI SERENA</t>
  </si>
  <si>
    <t>PASCUCCI RAIMONDO</t>
  </si>
  <si>
    <t>CARNEVALI PIETRO</t>
  </si>
  <si>
    <t>FERRONI GIUSEPPA</t>
  </si>
  <si>
    <t>NOCI AMELIA</t>
  </si>
  <si>
    <t>MASSACCI ANDREA</t>
  </si>
  <si>
    <t>VALENTINI IVANO</t>
  </si>
  <si>
    <t>SOCIETA' FORESTALE L'ALLORO DI ROSSI MARIA VALENTINA, DURANTI JENNY, D</t>
  </si>
  <si>
    <t>PAMBIANCHI NADIA</t>
  </si>
  <si>
    <t>RUGGERI ILIANA</t>
  </si>
  <si>
    <t>BRUSCIA FIORELLA</t>
  </si>
  <si>
    <t>PIERSANTI GASTONE</t>
  </si>
  <si>
    <t>CAA Coldiretti - MACERATA - 008</t>
  </si>
  <si>
    <t>SOCIETA' AGRICOLA LE TRE COLLINE DI CECOLI GINO E FILIPPO S.S.</t>
  </si>
  <si>
    <t>ABBONDANZIERI LUCIANO</t>
  </si>
  <si>
    <t>ZEPPONI VITTORIA</t>
  </si>
  <si>
    <t>CONTI LAURETTA</t>
  </si>
  <si>
    <t>SERALLEGRI FRANCO</t>
  </si>
  <si>
    <t>ANIBALDI GILBERTO</t>
  </si>
  <si>
    <t>VERTENZI ALESSANDRA</t>
  </si>
  <si>
    <t>SOC. AGR. LA FINESTRELLA DI CONSOLI ROBERTO &amp; C</t>
  </si>
  <si>
    <t>AMBROSINI WALTER</t>
  </si>
  <si>
    <t>PALAZZI MARIA-VITTORIA</t>
  </si>
  <si>
    <t>AGASUCCI GIULIETTA</t>
  </si>
  <si>
    <t>SERFILIPPI PIERINO</t>
  </si>
  <si>
    <t>CARBONI MARIA CRISTINA</t>
  </si>
  <si>
    <t>ALBANI PATRIZIO</t>
  </si>
  <si>
    <t>LOSCHI TERESA MARIA</t>
  </si>
  <si>
    <t>MARCHETTI LUIGI</t>
  </si>
  <si>
    <t>GAMBINI MAURIZIO</t>
  </si>
  <si>
    <t>SOCIETA AGRICOLA IL FRUTTETO S.S.</t>
  </si>
  <si>
    <t>FRATELLI UBALDI SOCIETA' AGRICOLA SEMPLICE</t>
  </si>
  <si>
    <t>CUPELLI SILVANO</t>
  </si>
  <si>
    <t>MATTIOLI MARIA TERESA</t>
  </si>
  <si>
    <t>ROSA ANGELO</t>
  </si>
  <si>
    <t>MAZZACCHERA EVELINA</t>
  </si>
  <si>
    <t>AMBROGI ANTONIO</t>
  </si>
  <si>
    <t>SERINI ELVEZIO</t>
  </si>
  <si>
    <t>TILLI GIANCARLO</t>
  </si>
  <si>
    <t>BECCHETTI FEDERICA</t>
  </si>
  <si>
    <t>FIORELLI GIAMPIERO</t>
  </si>
  <si>
    <t>BIANCHETTI LAURA</t>
  </si>
  <si>
    <t>BARTOCCETTI LUCA</t>
  </si>
  <si>
    <t>GATTI MATTIA</t>
  </si>
  <si>
    <t>SOCIETA' AGRICOLA EREDI FABIANI MARIO S.S.</t>
  </si>
  <si>
    <t>SANTONI ITALO</t>
  </si>
  <si>
    <t>LATINI ROBERTO</t>
  </si>
  <si>
    <t>ZAMPONI ADRIANA</t>
  </si>
  <si>
    <t>ALBERTI PAOLO</t>
  </si>
  <si>
    <t>MARIANI MICHELE</t>
  </si>
  <si>
    <t>GABRIELLI DANIELE</t>
  </si>
  <si>
    <t>PARRUCCI FRANCO</t>
  </si>
  <si>
    <t>BONFILI GUGLIELMO MARIA</t>
  </si>
  <si>
    <t>CONCORDIA DEBORA</t>
  </si>
  <si>
    <t>CARSETTI FEDERICO</t>
  </si>
  <si>
    <t>ANSUINI FERRUCCIO</t>
  </si>
  <si>
    <t>MICHETTI ROBERTO</t>
  </si>
  <si>
    <t>PILARTZ OLIVER ALEXANDER GEREON NICOLAS</t>
  </si>
  <si>
    <t>DE ANGELIS FABIO</t>
  </si>
  <si>
    <t>PATREGNANI DOMENICO</t>
  </si>
  <si>
    <t>SPADONI CINZIA</t>
  </si>
  <si>
    <t>BERNARDINI MANUEL</t>
  </si>
  <si>
    <t>SEVERI ALFIO</t>
  </si>
  <si>
    <t>ANSUINELLI PIETRO</t>
  </si>
  <si>
    <t>PIERDOMINICI GRAZIANO E CICCARELLI PATRIZIA SOCIETA' AGRICOLA SEMPLICE</t>
  </si>
  <si>
    <t>PETRELLI CARNI SOCIETA' AGRICOLA SEMPLICE</t>
  </si>
  <si>
    <t>PETROLATI MANUELE</t>
  </si>
  <si>
    <t>AGRICOLA FORESTALE CASIGLIANO DEI SIBILLINI DI POGGI HELOISE E C. S.N.</t>
  </si>
  <si>
    <t>GUION MAURIZIO</t>
  </si>
  <si>
    <t>CRINELLI PIERO</t>
  </si>
  <si>
    <t>SOC. AGR. ARDUINI MARCO E GILBERTO</t>
  </si>
  <si>
    <t>TACCONI LUISA</t>
  </si>
  <si>
    <t>SOCIETA' AGRICOLA LANA CARLO E RICCARDO S.S.</t>
  </si>
  <si>
    <t>IEZZI GIOVANNI</t>
  </si>
  <si>
    <t>SOCIETA' AGRICOLA COLOCCINI DI CAPOVILLA VITTORIO E LORENZO SOCIE TA'</t>
  </si>
  <si>
    <t>MASTRUCCI VELLEDA</t>
  </si>
  <si>
    <t>CORRADINI LUIGI</t>
  </si>
  <si>
    <t>BERNACCONI TONINO</t>
  </si>
  <si>
    <t>CARDELLINI ROBERTO</t>
  </si>
  <si>
    <t>SERAFINI ROSELLA</t>
  </si>
  <si>
    <t>DI LAZZARO VITTORIA</t>
  </si>
  <si>
    <t>PAOLINI SIMONA</t>
  </si>
  <si>
    <t>VAGNI TERZO</t>
  </si>
  <si>
    <t>CHIUSELLI ROBERTO</t>
  </si>
  <si>
    <t>MARCACCINI ANTONELLA</t>
  </si>
  <si>
    <t>GUIDUCCI ADAMO</t>
  </si>
  <si>
    <t>RULLI MARCO</t>
  </si>
  <si>
    <t>BONETTI ERNESTO</t>
  </si>
  <si>
    <t>BOCCI FABRIZIO</t>
  </si>
  <si>
    <t>AMELI CORRADO</t>
  </si>
  <si>
    <t>PIERANGELI GIANSILVANO</t>
  </si>
  <si>
    <t>PASCUCCI ANGELA</t>
  </si>
  <si>
    <t>RICCI MARIA</t>
  </si>
  <si>
    <t>TOMASSETTI GUERRINO</t>
  </si>
  <si>
    <t>PERNI CHRISTIAN</t>
  </si>
  <si>
    <t>LUZI GABRIELLA</t>
  </si>
  <si>
    <t>ROSSI ALESSANDRO</t>
  </si>
  <si>
    <t>ANGELINI GIANFRANCO</t>
  </si>
  <si>
    <t>PULOZZI POCHINI ANTONIO</t>
  </si>
  <si>
    <t>CAA Coldiretti - ANCONA - 004</t>
  </si>
  <si>
    <t>BALDUCCI GINA</t>
  </si>
  <si>
    <t>GABUCCI DORIANO</t>
  </si>
  <si>
    <t>NICOLETTI MARIA ANNA</t>
  </si>
  <si>
    <t>ROSSINI CARLA</t>
  </si>
  <si>
    <t>ANGELLOZZI NADIA</t>
  </si>
  <si>
    <t>FRANCA GINO</t>
  </si>
  <si>
    <t>INNOCENZI SIMONE</t>
  </si>
  <si>
    <t>EUSEPI ALFONSO</t>
  </si>
  <si>
    <t>CLINI ALVINO</t>
  </si>
  <si>
    <t>AZIENDA AGRICOLA DEL MONTE DI SAN GIOVANNI SOCIETA' AGRICOLA</t>
  </si>
  <si>
    <t>SILVESTRI DANIELE</t>
  </si>
  <si>
    <t>VENNARINI GRAZIELLA</t>
  </si>
  <si>
    <t>PAGANELLI GIACOMO</t>
  </si>
  <si>
    <t>MORLACCA ERRI</t>
  </si>
  <si>
    <t>CICCONI ILARIA</t>
  </si>
  <si>
    <t>PIERGENTILI GIOVANNI</t>
  </si>
  <si>
    <t>SCAPPELLINI LUCIANA</t>
  </si>
  <si>
    <t>RICCI MIRIAM</t>
  </si>
  <si>
    <t>SOCIETA'AGRICOLA COSTANTINI E FATICA S.S.</t>
  </si>
  <si>
    <t>PAGANELLI SANDRO</t>
  </si>
  <si>
    <t>MANCINI PIERLUIGI</t>
  </si>
  <si>
    <t>CERQUETTINO SOCIETA' AGRICOLA S.R.L.</t>
  </si>
  <si>
    <t>ROTILI GASPARE</t>
  </si>
  <si>
    <t>OMINETTI RINALDO</t>
  </si>
  <si>
    <t>BURATTINI PIERLUIGI</t>
  </si>
  <si>
    <t>GUBINELLI BRUNA</t>
  </si>
  <si>
    <t>AIUDI MICHELE</t>
  </si>
  <si>
    <t>CHIARUCCI TOMMASO</t>
  </si>
  <si>
    <t>SUSINI SARA</t>
  </si>
  <si>
    <t>LE GINESTRE S.A.S. DI CINGOLANI PAOLO &amp; C.</t>
  </si>
  <si>
    <t>PIERLEONI GIUSEPPE</t>
  </si>
  <si>
    <t>FORTI FABIO</t>
  </si>
  <si>
    <t>FIORANELLI CAMILLO</t>
  </si>
  <si>
    <t>RACIS GIOVANNI</t>
  </si>
  <si>
    <t>FERONE FRANCESCO</t>
  </si>
  <si>
    <t>FERRI ROBERTO</t>
  </si>
  <si>
    <t>SOCIETA' AGRICOLA GRANDONI MAURIZIO E C. S.S.</t>
  </si>
  <si>
    <t>CICCIOLI SABRINA</t>
  </si>
  <si>
    <t>PAOLONI CHIARA</t>
  </si>
  <si>
    <t>RICCI LUISA</t>
  </si>
  <si>
    <t>SERRA PASQUALE GESUINO</t>
  </si>
  <si>
    <t>SACCUTI GIULIO</t>
  </si>
  <si>
    <t>MASSI PRIMO</t>
  </si>
  <si>
    <t>ROMEI BRUNO</t>
  </si>
  <si>
    <t>SOCIETA' AGRICOLA CA' FRANCUCCIO SOCIETA' SEMPLICE AGRICOLA</t>
  </si>
  <si>
    <t>OTTAVIANI MIRCO</t>
  </si>
  <si>
    <t>SILVESTRI FRANCESCO</t>
  </si>
  <si>
    <t>PARRI ARNALDO</t>
  </si>
  <si>
    <t>KLINGENHAGE SABINE ASTRID</t>
  </si>
  <si>
    <t>MARZIALI PASQUALE</t>
  </si>
  <si>
    <t>MARTINELLI RITA</t>
  </si>
  <si>
    <t>DAMIANI DINO</t>
  </si>
  <si>
    <t>SOCIETA' AGRICOLA COSTA SOCIETA' SEMPLICE</t>
  </si>
  <si>
    <t>URBANI ROBERTO</t>
  </si>
  <si>
    <t>LAVANNA GILBERTO</t>
  </si>
  <si>
    <t>LE SPIAZZETTE SOCIETA' AGRICOLA SEMPLICE</t>
  </si>
  <si>
    <t>MERCORELLI SILVANA</t>
  </si>
  <si>
    <t>FIUMI SERMATTEI FILIPPO</t>
  </si>
  <si>
    <t>BARILOTTI RITA</t>
  </si>
  <si>
    <t>SMARGIASSI LUCIANO</t>
  </si>
  <si>
    <t>PACETTI CORRADO</t>
  </si>
  <si>
    <t>MERCORELLI GIOVANNI</t>
  </si>
  <si>
    <t>PIERFRANCESCHI UBALDO</t>
  </si>
  <si>
    <t>MANZONI PAOLA</t>
  </si>
  <si>
    <t>PIERGENTILI RAFFAELE</t>
  </si>
  <si>
    <t>ABDERHALDEN FLAVIA</t>
  </si>
  <si>
    <t>AGRIFOOD LE CAJOTELLE SOCIETA' AGRICOLA DI BOTTA ALICE E ALESSIA S.S.</t>
  </si>
  <si>
    <t>BARTOLI MARIA-ADELE</t>
  </si>
  <si>
    <t>SOCIETA' AGRICOLA CASINELLA TERZA S.S.</t>
  </si>
  <si>
    <t>PANICCIA' FEDERICO</t>
  </si>
  <si>
    <t>MARCOLINI GIAMPAOLO</t>
  </si>
  <si>
    <t>FOSCI ANTONIO</t>
  </si>
  <si>
    <t>GIOVANNINI SERGIO</t>
  </si>
  <si>
    <t>MARTINELLI MARICA</t>
  </si>
  <si>
    <t>MAGLIE ANTONIETTA</t>
  </si>
  <si>
    <t>TRITRINI GIAN PIETRO</t>
  </si>
  <si>
    <t>ZUCCONI GALLI FONSECA GUIDO</t>
  </si>
  <si>
    <t>CIARIMBOLI PAOLO</t>
  </si>
  <si>
    <t>PESCI FILIPPO</t>
  </si>
  <si>
    <t>SIMONCELLI LUCA</t>
  </si>
  <si>
    <t>SOCIETA' AGRICOLA MANCINELLI ELIO &amp; MIRKO S.S.</t>
  </si>
  <si>
    <t>SOCIETA' AGRICOLA SEMPLICE DALLA TERRA ALLA CUCINA</t>
  </si>
  <si>
    <t>MAGHIN GABRIELE</t>
  </si>
  <si>
    <t>ANNIBALI MARCO</t>
  </si>
  <si>
    <t>MORBIDELLI MARIELLA</t>
  </si>
  <si>
    <t>VALENTINI SILVANO</t>
  </si>
  <si>
    <t>COPPONI LORENZO</t>
  </si>
  <si>
    <t>POMPA DONATELLA</t>
  </si>
  <si>
    <t>AMICI PIER LUIGI E AMICI DANIELE SOC. SEMPLICE</t>
  </si>
  <si>
    <t>BUSSAGLIA GIADA</t>
  </si>
  <si>
    <t>S.A.M. SAN RUFFINO S.R.L.</t>
  </si>
  <si>
    <t>CIANCA FRANCO</t>
  </si>
  <si>
    <t>ROSSI ZEFFERINO</t>
  </si>
  <si>
    <t>ORSINI UMBERTO</t>
  </si>
  <si>
    <t>PIERANGELI GIANFRANCO</t>
  </si>
  <si>
    <t>FIORENTINI DOMENICO</t>
  </si>
  <si>
    <t>GUERRA GIUSEPPINA</t>
  </si>
  <si>
    <t>CRINELLA LUCA</t>
  </si>
  <si>
    <t>GRASSI DANIELE</t>
  </si>
  <si>
    <t>SOCIETA AGRICOLA L'AMIANA S.S.</t>
  </si>
  <si>
    <t>PARLANI ALBERTO</t>
  </si>
  <si>
    <t>GENTILINI LUIGI</t>
  </si>
  <si>
    <t>FABIANI GIORGIO</t>
  </si>
  <si>
    <t>COMOLLA ALESSANDRA</t>
  </si>
  <si>
    <t>SCALBI VITTORIO</t>
  </si>
  <si>
    <t>MANGHERINI MARIALUISA</t>
  </si>
  <si>
    <t>PASSERI ROSA E C. SOC. SEMPLICE</t>
  </si>
  <si>
    <t>DUCHI ALVINO</t>
  </si>
  <si>
    <t>ANTENUCCI MAURO</t>
  </si>
  <si>
    <t>GUIDI ANTONELLA</t>
  </si>
  <si>
    <t>POLLASTRINI GIUSEPPA</t>
  </si>
  <si>
    <t>TRINEI ALESSANDRO</t>
  </si>
  <si>
    <t>SOCIETA AGRICOLA MASCIOLI FAUSTO E FIGLIO SOCIETA SEMPLICE</t>
  </si>
  <si>
    <t>BARBADORO LEO</t>
  </si>
  <si>
    <t>SOCIETA' AGRICOLA EREDI RICCI UGO S.S.</t>
  </si>
  <si>
    <t>ZEPPONI EMILIO</t>
  </si>
  <si>
    <t>LATINI SILVIA</t>
  </si>
  <si>
    <t>MORI MASSIMO</t>
  </si>
  <si>
    <t>FLAMINI PAOLINO</t>
  </si>
  <si>
    <t>SOLFANELLI LUIGI</t>
  </si>
  <si>
    <t>SOCIETA' AGRICOLA BECCERICA DI BECCERICA MARCO, OTTAVIO E C. S.S.</t>
  </si>
  <si>
    <t>PASSERI GIANFRANCO</t>
  </si>
  <si>
    <t>URTINI GIOVANNI</t>
  </si>
  <si>
    <t>SBAFFI MASSIMO</t>
  </si>
  <si>
    <t>STOICA ELENA</t>
  </si>
  <si>
    <t>TIBERI TIZIANO</t>
  </si>
  <si>
    <t>GIULIETTI MARCO</t>
  </si>
  <si>
    <t>GAROFOLI GIORGIO</t>
  </si>
  <si>
    <t>RONDADINI ALDA</t>
  </si>
  <si>
    <t>RONDINA ANNA-MARIA</t>
  </si>
  <si>
    <t>CAA CIA - ANCONA - 003</t>
  </si>
  <si>
    <t>SERENELLI MANUELE</t>
  </si>
  <si>
    <t>ROCCONI ANNALISA</t>
  </si>
  <si>
    <t>SERRI SILVANA</t>
  </si>
  <si>
    <t>CARTECHINI ROSELLA</t>
  </si>
  <si>
    <t>CAALPA srl</t>
  </si>
  <si>
    <t>CAA ALPA - FERMO - 001</t>
  </si>
  <si>
    <t>CAA C.A.A.L.P.A. S.R.L.</t>
  </si>
  <si>
    <t>FORTUNI AMEDEO</t>
  </si>
  <si>
    <t>ISIDORI ENZO</t>
  </si>
  <si>
    <t>CIABOCO DOMENICO</t>
  </si>
  <si>
    <t>VALENTINI VERIS</t>
  </si>
  <si>
    <t>BLASI TOCCACELI LEONILDE</t>
  </si>
  <si>
    <t>ALESSANDRI GIUSEPPE</t>
  </si>
  <si>
    <t>MONTICELLI ODA</t>
  </si>
  <si>
    <t>MOLINARI LUCIANA</t>
  </si>
  <si>
    <t>MARI DARIO</t>
  </si>
  <si>
    <t>SIBILLA SOCIETA' AGRICOLA S.R.L. A CAPITALE RIDOTTO</t>
  </si>
  <si>
    <t>IEZZI MASSIMO</t>
  </si>
  <si>
    <t>TRUFELLI LEARCO</t>
  </si>
  <si>
    <t>CAA Coldiretti - ANCONA - 008</t>
  </si>
  <si>
    <t>FARAONI RAFFAELE</t>
  </si>
  <si>
    <t>MASIA GIUSEPPE</t>
  </si>
  <si>
    <t>ILARI GIACOMO</t>
  </si>
  <si>
    <t>TARDELLA MARISA</t>
  </si>
  <si>
    <t>DAMIANI ALESSANDRO</t>
  </si>
  <si>
    <t>RUGGERI VERUSKA</t>
  </si>
  <si>
    <t>BATTISTELLI ANGELO</t>
  </si>
  <si>
    <t>MICUCCI GIOVANNA</t>
  </si>
  <si>
    <t>MORELLI MASSIMO</t>
  </si>
  <si>
    <t>SOCIETA AGRICOLA CLORINDA CAUCCI SABATINI S.S.</t>
  </si>
  <si>
    <t>BALDUCCI PATRIZIA</t>
  </si>
  <si>
    <t>ROSINI ROBERTO</t>
  </si>
  <si>
    <t>BERRIA GIOVANNI BATTISTA</t>
  </si>
  <si>
    <t>FOCARINI DORIANO</t>
  </si>
  <si>
    <t>ROMAGNOLI GIANCARLO</t>
  </si>
  <si>
    <t>MENGHINI GIOVANNI</t>
  </si>
  <si>
    <t>BARBAROSSA FABRIZIO</t>
  </si>
  <si>
    <t>MENCACCINI MARTA</t>
  </si>
  <si>
    <t>BABINA ANNA</t>
  </si>
  <si>
    <t>SOCIETA' AGRICOLA SEMPLICE TERRE DI SERRAPETRONA</t>
  </si>
  <si>
    <t>CARDARELLI ORNELLA</t>
  </si>
  <si>
    <t>GIUSTINIANI LUCIANA</t>
  </si>
  <si>
    <t>DI PAOLI VALERIO</t>
  </si>
  <si>
    <t>RE SOLE SOCIETA' AGRICOLA SRL</t>
  </si>
  <si>
    <t>CIAFFONCINI LUIGI</t>
  </si>
  <si>
    <t>SOCIETA' AGRICOLA INTERACTIVE ITALIAN FARM SRL</t>
  </si>
  <si>
    <t>CANCELLIERI ANDREA</t>
  </si>
  <si>
    <t>MATTEUCCI DEBORAH</t>
  </si>
  <si>
    <t>ANTOGNOLI ANTONELLA</t>
  </si>
  <si>
    <t>CICCIOLI PAOLO</t>
  </si>
  <si>
    <t>GIACOMINI LORETTA</t>
  </si>
  <si>
    <t>SOCIETA' AGRICOLA ENERGY AGROFORESTALE SNC DI NORCINI PALA MAURO &amp; C.</t>
  </si>
  <si>
    <t>AZ. AGR. FABBRETTI LUIGI E FABIO S.S.</t>
  </si>
  <si>
    <t>PERONI ELEONORA</t>
  </si>
  <si>
    <t>MARONCELLI MARIA - PIA</t>
  </si>
  <si>
    <t>SPINELLI SIMONE</t>
  </si>
  <si>
    <t>POLCI ANTONIO</t>
  </si>
  <si>
    <t>GENTILI BRUNO</t>
  </si>
  <si>
    <t>SOCIETA' AGRICOLA FORESTALE PIEVE SAN PAOLO DEI F.LLI DARETTI E BARTOL</t>
  </si>
  <si>
    <t>SCALINI ANNA MARIA</t>
  </si>
  <si>
    <t>LORENZOTTI ALBERTO</t>
  </si>
  <si>
    <t>MORONI ERSILIA</t>
  </si>
  <si>
    <t>TUCCINI AMEDEO</t>
  </si>
  <si>
    <t>PIERMATTEI ANDREA</t>
  </si>
  <si>
    <t>MARTONI PIETRO</t>
  </si>
  <si>
    <t>PIERANGELI LUCIANA</t>
  </si>
  <si>
    <t>CANCELLIERI ALESSANDRO</t>
  </si>
  <si>
    <t>MEROLLI MAURO</t>
  </si>
  <si>
    <t>AVALTRONI MARCO E CLAUDIO SOCIETA'AGRICOLA SEMPLICE</t>
  </si>
  <si>
    <t>SBRICCOLI AMATILDO</t>
  </si>
  <si>
    <t>SAVI FRANCO</t>
  </si>
  <si>
    <t>PIERIGE' ALAIN</t>
  </si>
  <si>
    <t>LE BASI SOCIETA' SEMPLICE AGRICOLA</t>
  </si>
  <si>
    <t>AZIENDA AGRICOLA ALESSANDRI S.S</t>
  </si>
  <si>
    <t>SANTONI ENRICO</t>
  </si>
  <si>
    <t>GUERRIERI FERNANDA</t>
  </si>
  <si>
    <t>ZAMPARINI SILVANA RITA</t>
  </si>
  <si>
    <t>PERLA LUDOVICO</t>
  </si>
  <si>
    <t>SOCIETA' AGRICOLA GIROLAMI STEFANIA E SONIA S.S.</t>
  </si>
  <si>
    <t>GAMBETTI ANNA</t>
  </si>
  <si>
    <t>POLITI MATTEO</t>
  </si>
  <si>
    <t>SPURI NELLA</t>
  </si>
  <si>
    <t>SOCIETA' AGRICOLA CRUCIANI RUGGERO &amp; C. SOCIETA' SEMPLICE</t>
  </si>
  <si>
    <t>MOGIANI RICCARDO</t>
  </si>
  <si>
    <t>VANUCCI ROBERTO</t>
  </si>
  <si>
    <t>GABRIELLI NEVIO</t>
  </si>
  <si>
    <t>PACI MARISA</t>
  </si>
  <si>
    <t>SANTI ANDREA</t>
  </si>
  <si>
    <t>COCCI STEFANO</t>
  </si>
  <si>
    <t>SALVETTI ANTONIETTA</t>
  </si>
  <si>
    <t>SCAFICCHIA LOREDANA</t>
  </si>
  <si>
    <t>CIACCI PAOLO</t>
  </si>
  <si>
    <t>CUPPOLETTI SIMONE</t>
  </si>
  <si>
    <t>DE LEO PIERLAMBERTO</t>
  </si>
  <si>
    <t>PAOLINA SOCIETA' AGRICOLA SEMPLICE DEI FRATELLI CAMACCI</t>
  </si>
  <si>
    <t>CERQUARELLI ALBERTO</t>
  </si>
  <si>
    <t>CAPPONI VALENTINO</t>
  </si>
  <si>
    <t>CINTI ARTURO</t>
  </si>
  <si>
    <t>PAGLIALUNGA LUCA</t>
  </si>
  <si>
    <t>FADDA SAMUELE</t>
  </si>
  <si>
    <t>VALENTINI MARIANNA</t>
  </si>
  <si>
    <t>CANNELLI GINO</t>
  </si>
  <si>
    <t>CARDONA FEDERICO</t>
  </si>
  <si>
    <t>FORMICA LUCA</t>
  </si>
  <si>
    <t>FRATESI GRAZIELLA</t>
  </si>
  <si>
    <t>GABRIELLI VENANZO</t>
  </si>
  <si>
    <t>PAOLUCCI LUCIANO</t>
  </si>
  <si>
    <t>GUERRA RENZO</t>
  </si>
  <si>
    <t>ROSICHINI DOMENICO</t>
  </si>
  <si>
    <t>ANGELONI MARCELLO</t>
  </si>
  <si>
    <t>GUERRA LEONARDO</t>
  </si>
  <si>
    <t>ROSI STEFANO</t>
  </si>
  <si>
    <t>PERINI GIORGIO</t>
  </si>
  <si>
    <t>CAPOTONDI MARIA-ANTONIETTA</t>
  </si>
  <si>
    <t>SOCIETA' AGRICOLA CRETE SENESI S.S.</t>
  </si>
  <si>
    <t>DUCHI ENRICO</t>
  </si>
  <si>
    <t>CIPRIANI LARA</t>
  </si>
  <si>
    <t>FIUMI SERMATTEI CHIARA</t>
  </si>
  <si>
    <t>LA PIEVE SOCIETA' AGRICOLA S.S.</t>
  </si>
  <si>
    <t>CACCIAMANI ROBERTO</t>
  </si>
  <si>
    <t>ARGALIA MARIO</t>
  </si>
  <si>
    <t>GIARDINIERI MARIA TERESA</t>
  </si>
  <si>
    <t>MARINI DAVIDE</t>
  </si>
  <si>
    <t>AMATI CLAUDIA</t>
  </si>
  <si>
    <t>MENGUCCI FRANCESCA</t>
  </si>
  <si>
    <t>SOCIETA' AGRICOLA CA' MIGNONE S.R.L.</t>
  </si>
  <si>
    <t>BRUNI GIANFRANCO</t>
  </si>
  <si>
    <t>DEL NEVO MICHELE</t>
  </si>
  <si>
    <t>SOCIETA' AGRICOLA "BALENA" DI BALENA VALERIO E LAURA S.S.</t>
  </si>
  <si>
    <t>BILOTTA CATERINA</t>
  </si>
  <si>
    <t>MENCARELLI ALESSANDRO</t>
  </si>
  <si>
    <t>PACIAROTTI ATTILIO</t>
  </si>
  <si>
    <t>TURBESSI FRANCESCO</t>
  </si>
  <si>
    <t>MAGGI JONATAN</t>
  </si>
  <si>
    <t>PAGLIONI CLAUDIO</t>
  </si>
  <si>
    <t>BALDELLI MATTIA</t>
  </si>
  <si>
    <t>FOCACETTI FRANCO</t>
  </si>
  <si>
    <t>MARCUCCI LUCIANO</t>
  </si>
  <si>
    <t>SOCIETA' AGRICOLA BUSETTO S.S.</t>
  </si>
  <si>
    <t>MARTINELLI MAURIZIO</t>
  </si>
  <si>
    <t>CARLONI SIMONE</t>
  </si>
  <si>
    <t>MARCHETTI MICHELE</t>
  </si>
  <si>
    <t>COTICHINI LANFRANCO</t>
  </si>
  <si>
    <t>MARZOCCO PIERLUIGI</t>
  </si>
  <si>
    <t>GAGGINI ANTONIO</t>
  </si>
  <si>
    <t>TESORATI IDA</t>
  </si>
  <si>
    <t>MASSI GIULIO</t>
  </si>
  <si>
    <t>BALDUCCI FRANCESCA</t>
  </si>
  <si>
    <t>PEDALETTI SANTE</t>
  </si>
  <si>
    <t>IACOPONI LUCIANA</t>
  </si>
  <si>
    <t>OTTAVIANI VITTORIO</t>
  </si>
  <si>
    <t>BERARDI GIANCARLO</t>
  </si>
  <si>
    <t>CASELLI MAURIZIO</t>
  </si>
  <si>
    <t>TOMASSETTI DANIELE</t>
  </si>
  <si>
    <t>FIECCHI LUDOVICO</t>
  </si>
  <si>
    <t>FIORI VALENTINO</t>
  </si>
  <si>
    <t>QUADRAROLI SANDRINO</t>
  </si>
  <si>
    <t>CANCELLIERI MASSIMO</t>
  </si>
  <si>
    <t>PUGNALI RAFFAELLA</t>
  </si>
  <si>
    <t>CIMARRA SIMONE EMANUELE</t>
  </si>
  <si>
    <t>SOCIETA AGRICOLA L OLMO S.S.</t>
  </si>
  <si>
    <t>MASCIOLI EGLE</t>
  </si>
  <si>
    <t>MAZZOLANI ENRICO</t>
  </si>
  <si>
    <t>DOLCE RENATO</t>
  </si>
  <si>
    <t>SERVIDEI MARIA</t>
  </si>
  <si>
    <t>FICCARDI VERA</t>
  </si>
  <si>
    <t>RAGNI TIZIANO</t>
  </si>
  <si>
    <t>BICCARI FABRIZIO</t>
  </si>
  <si>
    <t>CARBONI ROSSANA</t>
  </si>
  <si>
    <t>TONONI STEFANO</t>
  </si>
  <si>
    <t>MOTTOLA DOMENICA</t>
  </si>
  <si>
    <t>DONNINI LUCIANO</t>
  </si>
  <si>
    <t>CANCELLIERI FILIPPO</t>
  </si>
  <si>
    <t>COSTANTINI MARIA</t>
  </si>
  <si>
    <t>GRASSI DAMIANO</t>
  </si>
  <si>
    <t>ROSSI GIUSEPPA</t>
  </si>
  <si>
    <t>SIMONCINI MARIO</t>
  </si>
  <si>
    <t>RAGNI MONICA</t>
  </si>
  <si>
    <t>GUIDUCCI MAURO</t>
  </si>
  <si>
    <t>GIAMPAOLI ALVARO</t>
  </si>
  <si>
    <t>AIUDI PIERINA</t>
  </si>
  <si>
    <t>VITI BRUNO</t>
  </si>
  <si>
    <t>ALEANDRI VINCENZO</t>
  </si>
  <si>
    <t>MARTINELLI LUCIO</t>
  </si>
  <si>
    <t>FERRANTI MASSIMO</t>
  </si>
  <si>
    <t>CARPINETI PIETRO</t>
  </si>
  <si>
    <t>BRUNI ALESSANDRO</t>
  </si>
  <si>
    <t>ALESSANDRINI GIOVANNI</t>
  </si>
  <si>
    <t>FANTEGROSSI FRANCA</t>
  </si>
  <si>
    <t>SACCHI GIOVANNI</t>
  </si>
  <si>
    <t>MAROCHI FABIO</t>
  </si>
  <si>
    <t>TOMBINI MARIA GIUSEPPINA</t>
  </si>
  <si>
    <t>MARTINELLI ANTONIO</t>
  </si>
  <si>
    <t>MASCARUCCI PAOLINA</t>
  </si>
  <si>
    <t>RINALDI GIUSEPPE</t>
  </si>
  <si>
    <t>SALTARELLI MARCELLO</t>
  </si>
  <si>
    <t>GATTARI GIAMPIETRO</t>
  </si>
  <si>
    <t>ESPOSTO TATIANA</t>
  </si>
  <si>
    <t>SERFAUSTINI GIUSEPPE</t>
  </si>
  <si>
    <t>PIERELLI MARIO</t>
  </si>
  <si>
    <t>OASI SUINA SOCIETA' AGRICOLA DI COZZI CLAUDIO &amp; C.</t>
  </si>
  <si>
    <t>MESSEDAGLIA ROSANNA</t>
  </si>
  <si>
    <t>CAA Confagricoltura - PERUGIA - 007</t>
  </si>
  <si>
    <t>PERLA VINCENZO</t>
  </si>
  <si>
    <t>GUERRA GIACOMO</t>
  </si>
  <si>
    <t>CARDUCCI MARIA FRANCESCA</t>
  </si>
  <si>
    <t>PROFIRI ENZO</t>
  </si>
  <si>
    <t>FIORANI ANNA MARIA</t>
  </si>
  <si>
    <t>TIBERI TOMMASO</t>
  </si>
  <si>
    <t>BALOCCHI ROBERTO</t>
  </si>
  <si>
    <t>ROSELLI MARCO</t>
  </si>
  <si>
    <t>CONTI TERENZIO</t>
  </si>
  <si>
    <t>AZIENDA AGRICOLA CALZA ANDREA E ADRIANO - SOCIETA' SEMPLICE AGRICOLA</t>
  </si>
  <si>
    <t>POSSANZA PIERINA</t>
  </si>
  <si>
    <t>FADDA ANTONIO</t>
  </si>
  <si>
    <t>MILLOZZI GIUSEPPE</t>
  </si>
  <si>
    <t>CIMARELLI MORENO</t>
  </si>
  <si>
    <t>GIAMBARTOLOMEI NOVELLA</t>
  </si>
  <si>
    <t>SABATUCCI SAURO</t>
  </si>
  <si>
    <t>TANTALOCCHI OTTAVIO</t>
  </si>
  <si>
    <t>CANCELLIERI LUIGI</t>
  </si>
  <si>
    <t>STALLA SOCIALE SAN PAOLO S.C.A R.L.</t>
  </si>
  <si>
    <t>CRUCIANI STEFANO</t>
  </si>
  <si>
    <t>KUMAR PARMOD</t>
  </si>
  <si>
    <t>KINSKY ANJA</t>
  </si>
  <si>
    <t>SOCIETA' AGRICOLA PONTANI ROMOLO E EZIO S.S.</t>
  </si>
  <si>
    <t>TRAVANTI MARCO</t>
  </si>
  <si>
    <t>ORTOLANI ARNALDO</t>
  </si>
  <si>
    <t>MOSCATELLI NAZZARENO</t>
  </si>
  <si>
    <t>DI PAOLI STEFANIA</t>
  </si>
  <si>
    <t>BARTOLUCCI SAMUELE</t>
  </si>
  <si>
    <t>CALDARIGI NICOLAS</t>
  </si>
  <si>
    <t>COFANI GIANLUCA</t>
  </si>
  <si>
    <t>SPADONI ALESSANDRA</t>
  </si>
  <si>
    <t>MECELLA STEFANO</t>
  </si>
  <si>
    <t>TOGNI SIMONE</t>
  </si>
  <si>
    <t>CENSORI DANIELE</t>
  </si>
  <si>
    <t>"IL CASALE SOCIETA' AGRICOLA SEMPLICE DI BARATTINI PASCUCCI DORIANA E</t>
  </si>
  <si>
    <t>BRUNI ANDREA</t>
  </si>
  <si>
    <t>BIZZARRI MICHELE</t>
  </si>
  <si>
    <t>PUGNALI DOMENICO</t>
  </si>
  <si>
    <t>SOCIETA AGRICOLA LO SMERIGLIO S.S.</t>
  </si>
  <si>
    <t>BILLO FARM S.R.L. - SOCIETA' AGRICOLA</t>
  </si>
  <si>
    <t>FRATINI GABRIELE</t>
  </si>
  <si>
    <t>LATINI GIANNI</t>
  </si>
  <si>
    <t>DE SANTIS PRIMO</t>
  </si>
  <si>
    <t>ROMAGNOLI MIRELLA</t>
  </si>
  <si>
    <t>TAPPI UGO</t>
  </si>
  <si>
    <t>FEDELI GIUSEPPE</t>
  </si>
  <si>
    <t>TOZZI TONINO</t>
  </si>
  <si>
    <t>SASSAROLI MARIA ZENOBIA</t>
  </si>
  <si>
    <t>RUGGERI STEFANO</t>
  </si>
  <si>
    <t>SOCIETA AGRICOLA EREDI DI BERTINELLI TERESA SOCIETA SEMPLICE</t>
  </si>
  <si>
    <t>CA' LE SUORE S.A.R.L.</t>
  </si>
  <si>
    <t>BURZACCA ARMANDO</t>
  </si>
  <si>
    <t>GENTILINI MARCO</t>
  </si>
  <si>
    <t>MASSIMI ADRIANA</t>
  </si>
  <si>
    <t>FIORELLI ALESSANDRA</t>
  </si>
  <si>
    <t>SPERTI MASSIMILIANO</t>
  </si>
  <si>
    <t>AMADIO GASPARE</t>
  </si>
  <si>
    <t>MARCOZZI DIANA</t>
  </si>
  <si>
    <t>CECCHETELLI LUCIA</t>
  </si>
  <si>
    <t>PAOLONI SILVANO</t>
  </si>
  <si>
    <t>CAPRIOTTI ANGELO LUCIANO</t>
  </si>
  <si>
    <t>VALERIANI LINO</t>
  </si>
  <si>
    <t>BRIZI MARISA</t>
  </si>
  <si>
    <t>CATALUCCI ANGELA</t>
  </si>
  <si>
    <t>MONTERUSTICO SOCIETA' AGRICOLA S.S.</t>
  </si>
  <si>
    <t>CARFAGNA GINA</t>
  </si>
  <si>
    <t>PIERUCCI MARINO</t>
  </si>
  <si>
    <t>MONTI GIUSEPPE</t>
  </si>
  <si>
    <t>PAOLUCCI OVIDIO</t>
  </si>
  <si>
    <t>PELUCCHINI MARCO</t>
  </si>
  <si>
    <t>CUTRINI BELINDA</t>
  </si>
  <si>
    <t>ROSSI VALERIO</t>
  </si>
  <si>
    <t>CAMPIONI DANILO</t>
  </si>
  <si>
    <t>BALDONCINI TERESA-RIETI FRANCO E RIETI GINO SOC.SE</t>
  </si>
  <si>
    <t>LEONARDI GIAMPIERO</t>
  </si>
  <si>
    <t>SOCIETA AGRICOLA BISCI SOCIETA SEMPLICE</t>
  </si>
  <si>
    <t>SOCIETA AGRICOLA FIORACCIA S.S.</t>
  </si>
  <si>
    <t>TODINI ADORNA</t>
  </si>
  <si>
    <t>FEDELI AMINA</t>
  </si>
  <si>
    <t>CORVINI PIERLUIGI</t>
  </si>
  <si>
    <t>SPIRITO AGRICOLO SRL SOCIETA' AGRICOLA</t>
  </si>
  <si>
    <t>GASPERONI WILMA</t>
  </si>
  <si>
    <t>SANTI GIANFRANCO</t>
  </si>
  <si>
    <t>SOCIETA' AGRICOLA COLLE CASINI CORTESI DI DIGNANI MATTEO &amp; C. S.S .</t>
  </si>
  <si>
    <t>MELETANI FRANCO</t>
  </si>
  <si>
    <t>PALUCCI GABRIELE</t>
  </si>
  <si>
    <t>SPADINI SILVANO</t>
  </si>
  <si>
    <t>PARIS ANTONIO</t>
  </si>
  <si>
    <t>CARPINETI UMBERTO</t>
  </si>
  <si>
    <t>BARTOCCINI GIOMBETTI ALESSANDRO</t>
  </si>
  <si>
    <t>SALVI DAVIDE</t>
  </si>
  <si>
    <t>CENSI MANCIA GIOVANNA</t>
  </si>
  <si>
    <t>GENTILI MARIA</t>
  </si>
  <si>
    <t>CAPRODOSSI VINCENZO</t>
  </si>
  <si>
    <t>ANTONINI ADRIANO</t>
  </si>
  <si>
    <t>SPADONI ANGELO</t>
  </si>
  <si>
    <t>COSTANTINI DANIELE</t>
  </si>
  <si>
    <t>FABIANI ARTURO</t>
  </si>
  <si>
    <t>BIANCHI IVANA</t>
  </si>
  <si>
    <t>SACCHI ALESSANDRO</t>
  </si>
  <si>
    <t>MARCELLI LEONARDO</t>
  </si>
  <si>
    <t>GERINI SESTO</t>
  </si>
  <si>
    <t>BERNABEI FRANCO</t>
  </si>
  <si>
    <t>PITTALIS BASTIANINO MARCO</t>
  </si>
  <si>
    <t>BERTI OVIDIO</t>
  </si>
  <si>
    <t>MONACCHI FABIO</t>
  </si>
  <si>
    <t>MOCCI ROBERTO</t>
  </si>
  <si>
    <t>F.LLI DONATI S.S. SOCIETA' AGRICOLA</t>
  </si>
  <si>
    <t>LIGI LUCA</t>
  </si>
  <si>
    <t>SILENZI ROBERTO</t>
  </si>
  <si>
    <t>PAGNONI MARCO STEFANO</t>
  </si>
  <si>
    <t>DI FABIO GIACOMO</t>
  </si>
  <si>
    <t>GRASSELLI ANTONELLA</t>
  </si>
  <si>
    <t>LATINI FIORELLA</t>
  </si>
  <si>
    <t>LUPI GIUSEPPE</t>
  </si>
  <si>
    <t>SOCIETA' AGRICOLA MICOZZI VALENTINA E C. S. S.</t>
  </si>
  <si>
    <t>SOCIETA' AGRICOLA F.LLI POETA DI POETA MAURIZIO E POETA MASSIMO SOCIET</t>
  </si>
  <si>
    <t>BIONDI SOCIETA' AGRICOLA SEMPLICE</t>
  </si>
  <si>
    <t>AZIENDA AGRARIA SANTONI STEFANO E ALESSANDRO S.S.</t>
  </si>
  <si>
    <t>AGHETONI GIANLUCA</t>
  </si>
  <si>
    <t>ANGELETTI ANGELO</t>
  </si>
  <si>
    <t>SARGENTI FRANCESCO</t>
  </si>
  <si>
    <t>CAPORALI FLAVIANA</t>
  </si>
  <si>
    <t>SOCIETA' AGRICOLA F.LLI BARBIERI S.S.</t>
  </si>
  <si>
    <t>LORONI SIRO</t>
  </si>
  <si>
    <t>SOCIETA' AGRICOLA IL CASTELLARO S.S.</t>
  </si>
  <si>
    <t>LIGI BRUNO</t>
  </si>
  <si>
    <t>SOCIETA' AGRICOLA FRATTEROSA S.S.</t>
  </si>
  <si>
    <t>LUCCIARINI PATRICK</t>
  </si>
  <si>
    <t>TRITARELLI FRANCESCA</t>
  </si>
  <si>
    <t>ROSSETTI ROBERTO</t>
  </si>
  <si>
    <t>CERIONI AURELIA</t>
  </si>
  <si>
    <t>MAZZETTI GIOVANNA</t>
  </si>
  <si>
    <t>LUPI ADELINA</t>
  </si>
  <si>
    <t>COSTANTINI ALBERTO</t>
  </si>
  <si>
    <t>LEONARDI ANGELO</t>
  </si>
  <si>
    <t>FANELLI CARLA</t>
  </si>
  <si>
    <t>BEFERA CLAUDIO</t>
  </si>
  <si>
    <t>VIGNAROLI GIOVANNI</t>
  </si>
  <si>
    <t>SIROCCHI ANGELO</t>
  </si>
  <si>
    <t>ANDREINI ROBERTO</t>
  </si>
  <si>
    <t>COSTANTINI LUCA</t>
  </si>
  <si>
    <t>BROCANELLI ADELE</t>
  </si>
  <si>
    <t>SPARVOLI PATRIZIO</t>
  </si>
  <si>
    <t>DALLAGO DOMENICO</t>
  </si>
  <si>
    <t>NUCCI ANDREA</t>
  </si>
  <si>
    <t>ROMAGNOLI EMILIO</t>
  </si>
  <si>
    <t>MAOLONI DOMENICA</t>
  </si>
  <si>
    <t>PAIARINI MILENA</t>
  </si>
  <si>
    <t>VITALETTI MAURIZIO</t>
  </si>
  <si>
    <t>DIANA ANNA</t>
  </si>
  <si>
    <t>SACCOMANDI MARCO</t>
  </si>
  <si>
    <t>CANTUCCI ROBERTO</t>
  </si>
  <si>
    <t>PACIAROTTI MAURIZIO</t>
  </si>
  <si>
    <t>VICHI MASSIMO</t>
  </si>
  <si>
    <t>CAA CONF. EM.ROM.</t>
  </si>
  <si>
    <t>CAA CONF. EM.ROM. - FORLI' - CESENA - 001</t>
  </si>
  <si>
    <t>CAA CONFAGRICOLTURA EMILIA-ROMAGNA S.R.L.</t>
  </si>
  <si>
    <t>CORAZZINI PAOLO</t>
  </si>
  <si>
    <t>SOCIETA' AGRICOLA VALTURIO DI SANTARELLI ISABELLA E GALLI ISABELLA S.S</t>
  </si>
  <si>
    <t>CACCIANI DINO</t>
  </si>
  <si>
    <t>PIERUCCI ANNA MARIA</t>
  </si>
  <si>
    <t>SANTINELLI OLIVIERO</t>
  </si>
  <si>
    <t>MONACCHI PIETRO</t>
  </si>
  <si>
    <t>CECCHINI ANNA MARIA</t>
  </si>
  <si>
    <t>MAGNANI MAURO</t>
  </si>
  <si>
    <t>VASTANO ARMANDO</t>
  </si>
  <si>
    <t>BARZOTTI GIORGIO</t>
  </si>
  <si>
    <t>GRAMOLINI GIANCARLO</t>
  </si>
  <si>
    <t>SURDU MIOARA</t>
  </si>
  <si>
    <t>BONCI LEONARDO</t>
  </si>
  <si>
    <t>SOCIETA' AGRICOLA FORESTALE ZOOTECNICA VESCIANO SRL</t>
  </si>
  <si>
    <t>LEONARDI GIOVANNI FELICE</t>
  </si>
  <si>
    <t>ZOPPI LUCA</t>
  </si>
  <si>
    <t>PAVONI DONATELLA</t>
  </si>
  <si>
    <t>BOCCIONI RANIERO</t>
  </si>
  <si>
    <t>SERAFINI GRAZIANO</t>
  </si>
  <si>
    <t>ARCANGELI ELEONORA</t>
  </si>
  <si>
    <t>STEFANELLI STEFANIA</t>
  </si>
  <si>
    <t>BORGACCI GIUSEPPE</t>
  </si>
  <si>
    <t>CAI Emilia Rom. - RIMINI - 005</t>
  </si>
  <si>
    <t>BENZI ERALDO</t>
  </si>
  <si>
    <t>FAINI DOMENICO</t>
  </si>
  <si>
    <t>AMBROGI ARCANGELO</t>
  </si>
  <si>
    <t>BANCI RITA</t>
  </si>
  <si>
    <t>SCARAMUCCI ENRICO</t>
  </si>
  <si>
    <t>SOCIETA' AGRICOLA LUZI GIANLUIGI E ANDREA S.S.</t>
  </si>
  <si>
    <t>LATINI KATIA</t>
  </si>
  <si>
    <t>FADDA GIULIANO</t>
  </si>
  <si>
    <t>GERMONI FRANCESCA</t>
  </si>
  <si>
    <t>FORESI FRANCO</t>
  </si>
  <si>
    <t>FOCARINI DOMENICO</t>
  </si>
  <si>
    <t>PAOLONI EMILIO</t>
  </si>
  <si>
    <t>MENTUCCI MARCO</t>
  </si>
  <si>
    <t>TARSI GIOVANNI</t>
  </si>
  <si>
    <t>PETTINELLI ROBERTO</t>
  </si>
  <si>
    <t>ANDREANI SIMONA</t>
  </si>
  <si>
    <t>LUCIANI LUCA</t>
  </si>
  <si>
    <t>CESARI INNOCENZO</t>
  </si>
  <si>
    <t>MORANTI ALESSANDRO</t>
  </si>
  <si>
    <t>RUIU GIUSEPPE</t>
  </si>
  <si>
    <t>REVERSI ADIA</t>
  </si>
  <si>
    <t>SOCIETA' AGRICOLA TIBERI FEDERICO &amp; C. SOCIETA' SEMPLICE</t>
  </si>
  <si>
    <t>FARINA DIEGO</t>
  </si>
  <si>
    <t>TASSI DANIELE</t>
  </si>
  <si>
    <t>FULVI CARLO FELICE</t>
  </si>
  <si>
    <t>PENNACCHI DOMENICO</t>
  </si>
  <si>
    <t>LUCHINI MAURO</t>
  </si>
  <si>
    <t>MARCHETTI STEFANO</t>
  </si>
  <si>
    <t>BATTILOCCHIO BRUNO</t>
  </si>
  <si>
    <t>LA FONTE SOCIETA' AGRICOLA S.S.</t>
  </si>
  <si>
    <t>RIDOLFI DOMENICO</t>
  </si>
  <si>
    <t>BELLUCCI RENATO</t>
  </si>
  <si>
    <t>CECCHI LINO E CECCHI GIUSEPPE SOC. SEMPLICE</t>
  </si>
  <si>
    <t>MARIOTTI MARIO</t>
  </si>
  <si>
    <t>CANCELLIERI GIOVANNI</t>
  </si>
  <si>
    <t>GUIDUCCI GABRIELE</t>
  </si>
  <si>
    <t>SOCIETA' SEMPLICE AGRICOLA MAYME</t>
  </si>
  <si>
    <t>LANI SILVANA</t>
  </si>
  <si>
    <t>ERCOLANI LUCIANA</t>
  </si>
  <si>
    <t>RADI SILVIA</t>
  </si>
  <si>
    <t>BERNACCONI DELIO</t>
  </si>
  <si>
    <t>ARMANDI DOMENICO</t>
  </si>
  <si>
    <t>SCAGNOLI FABIO</t>
  </si>
  <si>
    <t>VOLPI ROBERTO</t>
  </si>
  <si>
    <t>GAROFOLI ROSALIA</t>
  </si>
  <si>
    <t>PENSERINI VITTORIO</t>
  </si>
  <si>
    <t>CESARI ADALGISA</t>
  </si>
  <si>
    <t>CARLETTI SERGIO</t>
  </si>
  <si>
    <t>DE ANGELIS SIMONA</t>
  </si>
  <si>
    <t>SCARAFONI EROS</t>
  </si>
  <si>
    <t>CIT SOCIETA' AGRICOLA S.S.</t>
  </si>
  <si>
    <t>ROMITI FRANCESCO</t>
  </si>
  <si>
    <t>CURTI AUGUSTO</t>
  </si>
  <si>
    <t>CORRIERI TIZIANO</t>
  </si>
  <si>
    <t>PAGLIALUNGA GINA</t>
  </si>
  <si>
    <t>MAGAGNINI VINCENZO</t>
  </si>
  <si>
    <t>BIANCHINI ANNA RITA</t>
  </si>
  <si>
    <t>COSTANTINI GIUSEPPE</t>
  </si>
  <si>
    <t>TONELLI ANGELO</t>
  </si>
  <si>
    <t>CORESI DANIELE</t>
  </si>
  <si>
    <t>DILETTI SERAFINO</t>
  </si>
  <si>
    <t>BORRONI AURELIO</t>
  </si>
  <si>
    <t>MORETTI ANNA</t>
  </si>
  <si>
    <t>NATALIZI ROBERTO</t>
  </si>
  <si>
    <t>BONACCI ADRIANO</t>
  </si>
  <si>
    <t>POLVERARI ROSETTA</t>
  </si>
  <si>
    <t>FEDE MAURIZIO</t>
  </si>
  <si>
    <t>RICCI GIUSEPPE</t>
  </si>
  <si>
    <t>GNASSI VINICIO</t>
  </si>
  <si>
    <t>PEDICONI MORENO</t>
  </si>
  <si>
    <t>CASAVECCHIA ELENA</t>
  </si>
  <si>
    <t>BRUNORI TIZIANO</t>
  </si>
  <si>
    <t>SOCIETA' AGRICOLA F.LLI MARI DI MARI SAMUELE E MARI SIMONE</t>
  </si>
  <si>
    <t>MERLINI ANTONIO</t>
  </si>
  <si>
    <t>TORRI IVANO</t>
  </si>
  <si>
    <t>TOMASSETTI GAETANO</t>
  </si>
  <si>
    <t>TITTI GINO</t>
  </si>
  <si>
    <t>ANTICOLI BORZA ELEONORA</t>
  </si>
  <si>
    <t>LUPI DINO</t>
  </si>
  <si>
    <t>SORO GIUSEPPE</t>
  </si>
  <si>
    <t>MARTINELLI FREDERIC</t>
  </si>
  <si>
    <t>TONTINI ALESSANDRO</t>
  </si>
  <si>
    <t>ANTONELLI DANTE</t>
  </si>
  <si>
    <t>AMADIO LUCA</t>
  </si>
  <si>
    <t>TASSI PIETRO</t>
  </si>
  <si>
    <t>SOCIETA' AGRICOLA PISELLI PIETRO E C.S.S.</t>
  </si>
  <si>
    <t>DONNA ROBERTO</t>
  </si>
  <si>
    <t>ELISEI VANDA</t>
  </si>
  <si>
    <t>MAGNANI LUCIANO</t>
  </si>
  <si>
    <t>CENTINARI MASSIMO</t>
  </si>
  <si>
    <t>CARDELLINI GIORGIO</t>
  </si>
  <si>
    <t>RIGHI ROSANNA</t>
  </si>
  <si>
    <t>ROSSETTI MAURIZIO</t>
  </si>
  <si>
    <t>PERSICI FRANCESCO</t>
  </si>
  <si>
    <t>FEDELI EZIO</t>
  </si>
  <si>
    <t>CERESANI SANDRO</t>
  </si>
  <si>
    <t>TORCELLINI FAUSTO</t>
  </si>
  <si>
    <t>ROSSI NICCOLA</t>
  </si>
  <si>
    <t>MARCHETTI FILIPPO</t>
  </si>
  <si>
    <t>SANTONI GIOVANNI</t>
  </si>
  <si>
    <t>SOCIETA AGRICOLA RE DOMENICO E C SS</t>
  </si>
  <si>
    <t>BARZOTTI ANGELO</t>
  </si>
  <si>
    <t>CARBONI SAMANTA</t>
  </si>
  <si>
    <t>FANELLI LUCIANO</t>
  </si>
  <si>
    <t>NUCCI VALERIO &amp; GIANMARCO SOCIETA AGRICOLA</t>
  </si>
  <si>
    <t>DIONISI EMANUELA</t>
  </si>
  <si>
    <t>CIAMPICHETTI MARIA LUISA</t>
  </si>
  <si>
    <t>ANGELI TERESA</t>
  </si>
  <si>
    <t>COSTANTINI ALVARO</t>
  </si>
  <si>
    <t>RIGHI ANTONELLA</t>
  </si>
  <si>
    <t>LUZIOTTI MARIA</t>
  </si>
  <si>
    <t>MAZZONI ARGENIDE</t>
  </si>
  <si>
    <t>CICCONI FRANCESCO</t>
  </si>
  <si>
    <t>PAIONCINI GIUSEPPE</t>
  </si>
  <si>
    <t>BERNABUCCI GIULIO</t>
  </si>
  <si>
    <t>CIMARELLI MARIA-TERESA</t>
  </si>
  <si>
    <t>FEDERICO RAFFAELINA</t>
  </si>
  <si>
    <t>BURATTI NICOLA</t>
  </si>
  <si>
    <t>COLUMBU MARIA PASQUA</t>
  </si>
  <si>
    <t>BASILISSI LUCIA</t>
  </si>
  <si>
    <t>ANTONIUCCI ANGELO</t>
  </si>
  <si>
    <t>CIALDINI FIORELLA</t>
  </si>
  <si>
    <t>SOC.AGRICOLA CA' QUATTROCCHI S.S</t>
  </si>
  <si>
    <t>RICCIONI FRANCESCO</t>
  </si>
  <si>
    <t>BUFARINI MARIA</t>
  </si>
  <si>
    <t>SANTI OLINTO</t>
  </si>
  <si>
    <t>GRASSI ANGELA</t>
  </si>
  <si>
    <t>COPPONI FABRIZIO</t>
  </si>
  <si>
    <t>SOCIETA' AGRICOLA VILLA VIOLA S.S.</t>
  </si>
  <si>
    <t>PECCI DANIELE</t>
  </si>
  <si>
    <t>SOCIETA'AGRICOLA CA'MARINELLO DI FILANTI EVASIO E C. S.S.</t>
  </si>
  <si>
    <t>SANTINELLI DINO</t>
  </si>
  <si>
    <t>MANOCCHI MARCELLO</t>
  </si>
  <si>
    <t>GIONNI GINA</t>
  </si>
  <si>
    <t>MENCARELLI PATRIZIA</t>
  </si>
  <si>
    <t>FIORUCCI GIULIANO</t>
  </si>
  <si>
    <t>VITALETTI FEDERICO</t>
  </si>
  <si>
    <t>CASAVECCHIA MARIA</t>
  </si>
  <si>
    <t>PINI MARIA CANDIDA</t>
  </si>
  <si>
    <t>ROSSI GIANLUCA</t>
  </si>
  <si>
    <t>SOCIETA' AGRICOLA F.LLI CIAFFONI DI CIAFFONI A.&amp; S</t>
  </si>
  <si>
    <t>CARONI ROBERTO</t>
  </si>
  <si>
    <t>CURZI ALESSANDRO</t>
  </si>
  <si>
    <t>PICCIONI GIOVANNI</t>
  </si>
  <si>
    <t>CHIARUCCI SANTINA</t>
  </si>
  <si>
    <t>TURCHI LORENZO</t>
  </si>
  <si>
    <t>SAUDELLI LINO</t>
  </si>
  <si>
    <t>VEDDOVI ENZO</t>
  </si>
  <si>
    <t>PIERLEONI SANDRO</t>
  </si>
  <si>
    <t>BOTTA ERMANNO</t>
  </si>
  <si>
    <t>BARZOTTI MARIA PIA</t>
  </si>
  <si>
    <t>MARI TOMMASO</t>
  </si>
  <si>
    <t>GIACCHINI MAURIZIO</t>
  </si>
  <si>
    <t>PALLOTTA ERASMO</t>
  </si>
  <si>
    <t>FRATINI MASSIMO</t>
  </si>
  <si>
    <t>TORRETTI ANGELA</t>
  </si>
  <si>
    <t>BONARELLI LIDIA</t>
  </si>
  <si>
    <t>ROSA MARIA</t>
  </si>
  <si>
    <t>PAOLETTI ANTONIO</t>
  </si>
  <si>
    <t>BOVESECCHI GIOVANNI</t>
  </si>
  <si>
    <t>ANGELINI ANDREA</t>
  </si>
  <si>
    <t>SGRECCIA ALESSANDRO</t>
  </si>
  <si>
    <t>STEFANELLI SAURO</t>
  </si>
  <si>
    <t>MODESTI RANIERO</t>
  </si>
  <si>
    <t>MANGANI ERAGLIO</t>
  </si>
  <si>
    <t>SOCIETA' AGRICOLA COPPONI GIANCARLO E SPURI MARIA S.S.</t>
  </si>
  <si>
    <t>RICCI PIERGIORGIO</t>
  </si>
  <si>
    <t>CARSETTI GIANCARLO</t>
  </si>
  <si>
    <t>RUTI MARISA</t>
  </si>
  <si>
    <t>CECCHINI SAMUELE</t>
  </si>
  <si>
    <t>SEBASTIANELLI MASSIMO</t>
  </si>
  <si>
    <t>FIORELLI LUCIO</t>
  </si>
  <si>
    <t>FELIZIANI GIORGIO</t>
  </si>
  <si>
    <t>BELLUCCI ALFONSO</t>
  </si>
  <si>
    <t>GIOACCHINI PAOLO</t>
  </si>
  <si>
    <t>PAOLONI MARCO</t>
  </si>
  <si>
    <t>ORAZI FRANCESCA</t>
  </si>
  <si>
    <t>CORBELLI LUIGINO</t>
  </si>
  <si>
    <t>TOMBINI VINCENZO</t>
  </si>
  <si>
    <t>POLLIDORI GIOVANNA</t>
  </si>
  <si>
    <t>GIANNOTTI ANTONIO</t>
  </si>
  <si>
    <t>QUADRELLI MANUELA</t>
  </si>
  <si>
    <t>CONTI FELICE</t>
  </si>
  <si>
    <t>SOCIETA' AGRICOLA DI SVILUPPO ZOOTECNICO S.R.L.</t>
  </si>
  <si>
    <t>GAZZETTI GELTRUDE</t>
  </si>
  <si>
    <t>ZUCCHINI GIUSEPPINA</t>
  </si>
  <si>
    <t>SOCIETA' AGRICOLA IL PODERE DELLA LUPA DI BARTOLINI PAOLA &amp; C. S.S.</t>
  </si>
  <si>
    <t>STEENBERGEN ALBERT</t>
  </si>
  <si>
    <t>AL CANTO DEL GALLO... SOCIETA' AGRICOLA A R.L.</t>
  </si>
  <si>
    <t>ROBERTI ROBERTO</t>
  </si>
  <si>
    <t>MASTRO TERRA SOCIETA' AGRICOLA S.S.</t>
  </si>
  <si>
    <t>VENTILI TERESA</t>
  </si>
  <si>
    <t>SOCIETA' AGRICOLA F.LLI SANTI SOCIETA' SEMPLICE</t>
  </si>
  <si>
    <t>LOMBARDI GREGORIO</t>
  </si>
  <si>
    <t>PALANCA ANGELO</t>
  </si>
  <si>
    <t>TIBERI ROBERTINO</t>
  </si>
  <si>
    <t>ORTENZI FRANCESCO</t>
  </si>
  <si>
    <t>ABRAMI DOMENICO</t>
  </si>
  <si>
    <t>ROMITI JONATHAN</t>
  </si>
  <si>
    <t>POGGIALI GRAZIELLA</t>
  </si>
  <si>
    <t>FICCADENTI FRANCESCO</t>
  </si>
  <si>
    <t>BIONDI EMANUELE</t>
  </si>
  <si>
    <t>GARULLI MARIA PIA</t>
  </si>
  <si>
    <t>CECCAROLI GIOVANNI</t>
  </si>
  <si>
    <t>SOCIETA' AGRICOLA CASOLARE TERRE DEI SIBILLINI S.S.</t>
  </si>
  <si>
    <t>SOC.AGR.SANTA COLOMBA DEI F.LLI DEZI PIERO,MORENO E C.S.S.</t>
  </si>
  <si>
    <t>POSSANZA EUGENIO</t>
  </si>
  <si>
    <t>PALUCCI LAURO</t>
  </si>
  <si>
    <t>MOSCATELLI MARCO</t>
  </si>
  <si>
    <t>GIAMPAOLI SIMONE</t>
  </si>
  <si>
    <t>SOC.AGR.MAURI STEFANO &amp; GIUSEPPE S.S.</t>
  </si>
  <si>
    <t>PECORELLI FILOMENA</t>
  </si>
  <si>
    <t>PAGLIARINI TIZIANA</t>
  </si>
  <si>
    <t>FRATINI LUCIANO</t>
  </si>
  <si>
    <t>MARIANI ARMANDO</t>
  </si>
  <si>
    <t>AIUDI CALVINIO</t>
  </si>
  <si>
    <t>VENNARUCCI VERSINDO</t>
  </si>
  <si>
    <t>MARZI LUIGINO E MARZI FLORINDO SOCIETA' SEMPLICE</t>
  </si>
  <si>
    <t>DI GIROLAMO ROBERTA</t>
  </si>
  <si>
    <t>PRECETTI GIUSEPPE</t>
  </si>
  <si>
    <t>SOCIETA' AGRICOLA COLLE BAETO S.S.</t>
  </si>
  <si>
    <t>ORLANDI VERO</t>
  </si>
  <si>
    <t>DAMIANI ILDE</t>
  </si>
  <si>
    <t>BURATTI SILVANA</t>
  </si>
  <si>
    <t>VALENTINI VALERIANO</t>
  </si>
  <si>
    <t>BONDINI FELICE</t>
  </si>
  <si>
    <t>SCARLATTINI GABRIELLA</t>
  </si>
  <si>
    <t>RODINI BERNARDINO</t>
  </si>
  <si>
    <t>RAGGI GIUSEPPINA</t>
  </si>
  <si>
    <t>COMPAGNUCCI EMILIANO</t>
  </si>
  <si>
    <t>SOCIETA' AGRICOLA SAN LORENZO S.S.</t>
  </si>
  <si>
    <t>LENCI RENZO</t>
  </si>
  <si>
    <t>CAPRADOSSI SIMONA</t>
  </si>
  <si>
    <t>BREGA GIULIO</t>
  </si>
  <si>
    <t>FRATERNALI GABRIELE</t>
  </si>
  <si>
    <t>SPERANDIO STEFANO</t>
  </si>
  <si>
    <t>SOC.AGR. C &amp; C DI OTTAVIANI CLAUDIO E OTTAVIANI CHANDRA SOC.SEMPL.</t>
  </si>
  <si>
    <t>RAGNI FRANCESCO</t>
  </si>
  <si>
    <t>MAGRINI MARIANO</t>
  </si>
  <si>
    <t>FUNARI GINESIO</t>
  </si>
  <si>
    <t>TAFFETANI ANTONELLA</t>
  </si>
  <si>
    <t>PATREGNANI IOLE</t>
  </si>
  <si>
    <t>COPPONI NEVIO</t>
  </si>
  <si>
    <t>SOC.AGR.TERRA DEI SOGNI DI BRUNI ANDREA E AMORI GRETA SOC.SEMPL.</t>
  </si>
  <si>
    <t>STAFFOLANI NICOLA</t>
  </si>
  <si>
    <t>LUCARINI MAURIZIO</t>
  </si>
  <si>
    <t>SANTINI MARIA PIA</t>
  </si>
  <si>
    <t>TODINI PIETRO</t>
  </si>
  <si>
    <t>ORLANDI BRUNA</t>
  </si>
  <si>
    <t>BARUFFI MONICA</t>
  </si>
  <si>
    <t>TONTINI GIORGIO</t>
  </si>
  <si>
    <t>BARTOLUCCI FRANCESCO</t>
  </si>
  <si>
    <t>BASILI VINCENZO</t>
  </si>
  <si>
    <t>KAZMIERCZAK JOLANTA</t>
  </si>
  <si>
    <t>VENNARUCCI MASSIMO</t>
  </si>
  <si>
    <t>SIMONCELLI FEDERICO</t>
  </si>
  <si>
    <t>STROBELT CONSTANZE CLAUDIA</t>
  </si>
  <si>
    <t>SOCIETA' AGRICOLA ORADEI FERNANDO E VALENTINO SS</t>
  </si>
  <si>
    <t>SOCIETA' AGRICOLA SAN CASSIANO DA FABRIANO DI CORVATTA E C. SOCIETA' S</t>
  </si>
  <si>
    <t>IEZZI GIUSEPPE</t>
  </si>
  <si>
    <t>AZ. AGR. LUZI GIANNALBERTO -ALESSANDRO &amp; C. SOCIETA' AGRICOLA S.S.</t>
  </si>
  <si>
    <t>MENTUCCI ANGELO</t>
  </si>
  <si>
    <t>ARRAGONI VINCENZO</t>
  </si>
  <si>
    <t>CIAMPICHETTI SAURO</t>
  </si>
  <si>
    <t>CRISTALLINI IGINO</t>
  </si>
  <si>
    <t>CARUSI STEFANO</t>
  </si>
  <si>
    <t>TOMBINI GIOVANNI BATTISTA</t>
  </si>
  <si>
    <t>MILANI RITA</t>
  </si>
  <si>
    <t>GINGA IOANA</t>
  </si>
  <si>
    <t>PERELLI LUIGI</t>
  </si>
  <si>
    <t>SOCIETA' AGRICOLA BARTOCCI BENITO E MARIO S.S.</t>
  </si>
  <si>
    <t>PARADISI MARIA, ERCOLI DOMENICO, ERCOLI GIUSEPPE SOC. SEMPLI</t>
  </si>
  <si>
    <t>PERUZZINI ERMO</t>
  </si>
  <si>
    <t>CRESCENTINI PARIDE</t>
  </si>
  <si>
    <t>ROVELLI CLAUDIO</t>
  </si>
  <si>
    <t>BETTI DANIELE</t>
  </si>
  <si>
    <t>PETROCCHI NAZZARENO</t>
  </si>
  <si>
    <t>OTTAVIANI DILETTA</t>
  </si>
  <si>
    <t>GERMANI MARIO</t>
  </si>
  <si>
    <t>PACI GIOVANNI</t>
  </si>
  <si>
    <t>VITALI ANDREA</t>
  </si>
  <si>
    <t>SANTELLINI NAZZARENO</t>
  </si>
  <si>
    <t>JAHN MARCUS MICHAEL ALBERT</t>
  </si>
  <si>
    <t>REGINA DEI SIBILLINI AZ.AGR. S.S.</t>
  </si>
  <si>
    <t>POLVERIGIANI EMANUELE</t>
  </si>
  <si>
    <t>ROMALDONI MARCELLA</t>
  </si>
  <si>
    <t>CARLETTI LUIGI</t>
  </si>
  <si>
    <t>BRUNETTI SIMONE</t>
  </si>
  <si>
    <t>MENGHINI PIERINO</t>
  </si>
  <si>
    <t>MASIA STEFANO</t>
  </si>
  <si>
    <t>GUERRA MARCO</t>
  </si>
  <si>
    <t>GOBBETTI EMANUELA</t>
  </si>
  <si>
    <t>CHIODI DANIELE</t>
  </si>
  <si>
    <t>PIERSIMONI RENELLA</t>
  </si>
  <si>
    <t>MARIANI PIERO</t>
  </si>
  <si>
    <t>LOCCIONI ANNA-MARIA</t>
  </si>
  <si>
    <t>SPADONI SIMONE</t>
  </si>
  <si>
    <t>MEDICI ROMEO</t>
  </si>
  <si>
    <t>ANTOGNOLI GABRIELE</t>
  </si>
  <si>
    <t>COOP.SOC.DE RERUM NATURA SOC.COOP. AGRICOLA A R.L.</t>
  </si>
  <si>
    <t>MAGI MARINA</t>
  </si>
  <si>
    <t>ROSA PAOLO</t>
  </si>
  <si>
    <t>LA SBARBIA SNC DI GRILLI ALESSANDRA E C</t>
  </si>
  <si>
    <t>PAGANELLI PIETRO</t>
  </si>
  <si>
    <t>RICCIOTTI VITO</t>
  </si>
  <si>
    <t>VETRARI BARBARA</t>
  </si>
  <si>
    <t>MENTUCCI ALBERTO</t>
  </si>
  <si>
    <t>PASCUCCI FELICIA</t>
  </si>
  <si>
    <t>PIERI PELLEGRINO</t>
  </si>
  <si>
    <t>MACCARONI DOMENICO</t>
  </si>
  <si>
    <t>BENVENUTI ALESSANDRO</t>
  </si>
  <si>
    <t>BORRONI GIORGIO</t>
  </si>
  <si>
    <t>SANTINELLI MAURO</t>
  </si>
  <si>
    <t>TORRETTI ADELMIRA</t>
  </si>
  <si>
    <t>CELLI VALERIANA</t>
  </si>
  <si>
    <t>VENNARUCCI GRAZIANO</t>
  </si>
  <si>
    <t>OTTAVIANI LEONE FRANCO</t>
  </si>
  <si>
    <t>MARCHETTI ANTONELLA</t>
  </si>
  <si>
    <t>TAGNANI DANIELE</t>
  </si>
  <si>
    <t>CIACCI MASSIMO</t>
  </si>
  <si>
    <t>PIERSANTI FIORENZO</t>
  </si>
  <si>
    <t>GHERARDI MANUEL</t>
  </si>
  <si>
    <t>SALTARELLI LUCA</t>
  </si>
  <si>
    <t>SOCIETA' AGRICOLA SAN FLORIANO - S.A.S. - DI CICULI FRANCESCO &amp; C .</t>
  </si>
  <si>
    <t>CONTARDI MAURIZIO</t>
  </si>
  <si>
    <t>PAGLIONI LORENZO</t>
  </si>
  <si>
    <t>CHIUSELLI GRAZIANO</t>
  </si>
  <si>
    <t>BASILI PAOLO</t>
  </si>
  <si>
    <t>CARZEDDA GIAN MARIA</t>
  </si>
  <si>
    <t>MISTODIE MIHAELA GABRIELA EUGENIA</t>
  </si>
  <si>
    <t>MELONI DOMENICO</t>
  </si>
  <si>
    <t>AURELI FABIO</t>
  </si>
  <si>
    <t>BATTAZZI IVANA</t>
  </si>
  <si>
    <t>FEDELI SIMONE</t>
  </si>
  <si>
    <t>PEDA SAVERIO</t>
  </si>
  <si>
    <t>SIMONCELLI EMANUELA</t>
  </si>
  <si>
    <t>RUGGERI TERESA</t>
  </si>
  <si>
    <t>DE CARLI SARA</t>
  </si>
  <si>
    <t>PERUGINI PIERPAOLO</t>
  </si>
  <si>
    <t>LANDI DANIELE</t>
  </si>
  <si>
    <t>FUMELLI PAOLO</t>
  </si>
  <si>
    <t>ALFONSI GIOVANNI</t>
  </si>
  <si>
    <t>FERRI OSVALDO</t>
  </si>
  <si>
    <t>PUGNALI GIOVANNI</t>
  </si>
  <si>
    <t>POMPEI ANNA</t>
  </si>
  <si>
    <t>PAOLINI PAOLA</t>
  </si>
  <si>
    <t>MEO PERFETTO</t>
  </si>
  <si>
    <t>CONTIGIANI ALBERTO</t>
  </si>
  <si>
    <t>BELARDINELLI FRANCESCO</t>
  </si>
  <si>
    <t>ERCOLANI LORENZO</t>
  </si>
  <si>
    <t>MORRI PIETRO</t>
  </si>
  <si>
    <t>GILI RITA</t>
  </si>
  <si>
    <t>ORSINI MARA</t>
  </si>
  <si>
    <t>SANTARELLI AGNESE</t>
  </si>
  <si>
    <t>PETROLATI ORIETTA</t>
  </si>
  <si>
    <t>GIANNOTTI ORFEO</t>
  </si>
  <si>
    <t>CORVINI LUCIA</t>
  </si>
  <si>
    <t>CARNEVALI BRUNO</t>
  </si>
  <si>
    <t>PETRUCCI IRENE</t>
  </si>
  <si>
    <t>TAGNANI ORESTE</t>
  </si>
  <si>
    <t>SALTALAMACCHIA LUCIA</t>
  </si>
  <si>
    <t>PICCHIO GENNY</t>
  </si>
  <si>
    <t>SCAGNETTI YURI</t>
  </si>
  <si>
    <t>PAGANELLI SERGIO</t>
  </si>
  <si>
    <t>GIOVANELLI MARTA</t>
  </si>
  <si>
    <t>GENTILI GIANLUCA</t>
  </si>
  <si>
    <t>BUSSOTTO ORIETTA</t>
  </si>
  <si>
    <t>VANNUCCI MIRELLA</t>
  </si>
  <si>
    <t>LONGHI LEONARDO</t>
  </si>
  <si>
    <t>PALAZZINI ALESSANDRO</t>
  </si>
  <si>
    <t>PESARESI LUCA</t>
  </si>
  <si>
    <t>MONTINI TIZIANA</t>
  </si>
  <si>
    <t>SCARAMUCCI FRANCESCA</t>
  </si>
  <si>
    <t>PRATI SIMONETTA</t>
  </si>
  <si>
    <t>SOCIETA' AGRICOLA F.LLI MULAS S.S.</t>
  </si>
  <si>
    <t>STEFANELLI FRANCO</t>
  </si>
  <si>
    <t>CASAVECCHIA SIDONIA</t>
  </si>
  <si>
    <t>CATANI GIULIANA</t>
  </si>
  <si>
    <t>SEVERINI LINO E GIUSEPPE SS</t>
  </si>
  <si>
    <t>TAMANTI PATRIZIO</t>
  </si>
  <si>
    <t>FORMICA GIANLUCA</t>
  </si>
  <si>
    <t>GIAMBARTOLOMEI GIUSEPPINA</t>
  </si>
  <si>
    <t>MICCIARELLI SIMONA</t>
  </si>
  <si>
    <t>MARTINELLI LUCIANA</t>
  </si>
  <si>
    <t>PRINCIPI ITALIA</t>
  </si>
  <si>
    <t>PASCUCCI MARIA SANTA</t>
  </si>
  <si>
    <t>FARRIS CHIARA</t>
  </si>
  <si>
    <t>BONCI FRANCESCO</t>
  </si>
  <si>
    <t>NOCIONI DIEGO</t>
  </si>
  <si>
    <t>TINTI ANDREA</t>
  </si>
  <si>
    <t>CAPPONI MATTEO</t>
  </si>
  <si>
    <t>BOLDRINI LUCETTA</t>
  </si>
  <si>
    <t>BERNARDI SIMONE</t>
  </si>
  <si>
    <t>BARCELLI DORIA</t>
  </si>
  <si>
    <t>DE SANTIS QUINTO</t>
  </si>
  <si>
    <t>VICHI GABRIELE</t>
  </si>
  <si>
    <t>CAPPA LINDA</t>
  </si>
  <si>
    <t>MONTESI ANNA ROSA</t>
  </si>
  <si>
    <t>SANTANCINI ANNA MARIA</t>
  </si>
  <si>
    <t>CANDIRACCI SIMONA</t>
  </si>
  <si>
    <t>GELMI MARA</t>
  </si>
  <si>
    <t>BARTOLUCCI PAOLA</t>
  </si>
  <si>
    <t>AZIENDA AGRICOLA LE FONTANE DI SAPORITI STEFANO &amp; C. S.N.C.</t>
  </si>
  <si>
    <t>PIERPAOLI BINO</t>
  </si>
  <si>
    <t>BETTI IOLANDA</t>
  </si>
  <si>
    <t>ORLANDI ANTONIO</t>
  </si>
  <si>
    <t>GABRIELLI LILIANA</t>
  </si>
  <si>
    <t>POLIDORI VANDA</t>
  </si>
  <si>
    <t>SABBATINI MARIELLA</t>
  </si>
  <si>
    <t>VINCIONI SILVESTRINO</t>
  </si>
  <si>
    <t>LATINI FABIO</t>
  </si>
  <si>
    <t>TASSI FRANCESCO</t>
  </si>
  <si>
    <t>CATENA MILVA</t>
  </si>
  <si>
    <t>CHIURCHIONI LUIGI</t>
  </si>
  <si>
    <t>GRUPPO AGF SRL SOCIETA' AGRICOLA</t>
  </si>
  <si>
    <t>MAGGIOLI ILIANA</t>
  </si>
  <si>
    <t>LELI SIMONE</t>
  </si>
  <si>
    <t>STORONI CESARE</t>
  </si>
  <si>
    <t>PASQUINI ENRICO</t>
  </si>
  <si>
    <t>VICHI WALTER</t>
  </si>
  <si>
    <t>LOIOLI SPURI NISI RICCARDO</t>
  </si>
  <si>
    <t>MOSCIATTI CARLO</t>
  </si>
  <si>
    <t>TESORATI MAURO</t>
  </si>
  <si>
    <t>VERDE PIU' DI SCATTOLINI MATTIA &amp; C. S.S. SOCIETA' AGRICOLA</t>
  </si>
  <si>
    <t>MEROLLI ALESSIA</t>
  </si>
  <si>
    <t>PANZIRONI SIMONETTA</t>
  </si>
  <si>
    <t>DEL DOTTO MARCO</t>
  </si>
  <si>
    <t>RANCHELLA AURORA</t>
  </si>
  <si>
    <t>ROSETTI ARON RODION</t>
  </si>
  <si>
    <t>CAA Coldiretti - MACERATA - 018</t>
  </si>
  <si>
    <t>PACINI EMANUELE</t>
  </si>
  <si>
    <t>CORAZZA ANDREA</t>
  </si>
  <si>
    <t>SOCIETA' AGRICOLA COLLE NARA DI CAGNUCCI DIEGO S.S.</t>
  </si>
  <si>
    <t>SOCIETA' AGRICOLA SAN BIAGIOLO S.R.L.</t>
  </si>
  <si>
    <t>AGAMENNONI ALBERTO</t>
  </si>
  <si>
    <t>SMARGIASSI SERGIO</t>
  </si>
  <si>
    <t>CLINI GIUSEPPE</t>
  </si>
  <si>
    <t>NATURA PIU' DI CINESI MARIA TERESA &amp; C. SNC</t>
  </si>
  <si>
    <t>SOCIETA' AGRICOLA LUCARINI AUGUSTO E C.S.S.</t>
  </si>
  <si>
    <t>CATINCA ALEXANDRA MIHAELA</t>
  </si>
  <si>
    <t>MONTANARI ADELINO</t>
  </si>
  <si>
    <t>RICCI LUCA</t>
  </si>
  <si>
    <t>BROCCA FULVIO</t>
  </si>
  <si>
    <t>ZARA MARIKA</t>
  </si>
  <si>
    <t>ROSSI LUIGI</t>
  </si>
  <si>
    <t>TERMOPOLI VERIS</t>
  </si>
  <si>
    <t>SOCIETA' AGRICOLA RIVELLI SOCIETA' SEMPLICE</t>
  </si>
  <si>
    <t>SOCIETA' AGRICOLA ARPINI AMALIA E C. S.S.</t>
  </si>
  <si>
    <t>COSTANTINI LORETTA</t>
  </si>
  <si>
    <t>ALESSANDRELLI SILVIA</t>
  </si>
  <si>
    <t>CESARETTI BERNARDINO</t>
  </si>
  <si>
    <t>BERNARDI MIRCO</t>
  </si>
  <si>
    <t>MILANO SILVIA</t>
  </si>
  <si>
    <t>CONTI CLAUDIO</t>
  </si>
  <si>
    <t>ORSINI EZIO</t>
  </si>
  <si>
    <t>CUCCULELLI MARTINA</t>
  </si>
  <si>
    <t>BELLONI FABIO</t>
  </si>
  <si>
    <t>CHIARALUCE MARIA TERESA</t>
  </si>
  <si>
    <t>PAIARINI ANNA</t>
  </si>
  <si>
    <t>VITI VANDA EREDI SOCIETA' AGRICOLA S.S.</t>
  </si>
  <si>
    <t>MORICONI PIETRO</t>
  </si>
  <si>
    <t>SHIROBOKOVA EVGENIYA</t>
  </si>
  <si>
    <t>MARCHETTI GIUSEPPE</t>
  </si>
  <si>
    <t>TIBERI FRANCO</t>
  </si>
  <si>
    <t>ANTONELLI ALESSANDRO</t>
  </si>
  <si>
    <t>SOCIETA' AGRICOLA AMALTEA GIOELE ELIA SOCIETA' SEMPLICE</t>
  </si>
  <si>
    <t>SCALONI MIRKO</t>
  </si>
  <si>
    <t>MORETTI PIER PAOLO</t>
  </si>
  <si>
    <t>FRATINI CLAUDIO</t>
  </si>
  <si>
    <t>COSTARELLI GINA</t>
  </si>
  <si>
    <t>MOGIANI SIMONE</t>
  </si>
  <si>
    <t>EUPIZI BRUNAMONTI ENRICO-MARIA</t>
  </si>
  <si>
    <t>PARLANI PAOLO</t>
  </si>
  <si>
    <t>CICCONCELLI PAOLO</t>
  </si>
  <si>
    <t>COLLI RAFFAELE</t>
  </si>
  <si>
    <t>GISMONDI ELISA</t>
  </si>
  <si>
    <t>DURANTI ROSANNA</t>
  </si>
  <si>
    <t>GIONTARELLI STEFANO</t>
  </si>
  <si>
    <t>SORCINELLI MAURIZIO</t>
  </si>
  <si>
    <t>MEO IVAN</t>
  </si>
  <si>
    <t>CARIMINI ARNALDO</t>
  </si>
  <si>
    <t>ASTOLFI ALESSANDRO</t>
  </si>
  <si>
    <t>PARADISI &amp; DE SANTIS - SOCIETA' SEMPLICE AGRICOLA</t>
  </si>
  <si>
    <t>CONTI MARCELLO</t>
  </si>
  <si>
    <t>LA FERRAIA SOCIETA' AGRICOLA IN ACCOMANDITA SEMPLICE DI BIANCONI GILFR</t>
  </si>
  <si>
    <t>CHIUCCHI FAUSTO</t>
  </si>
  <si>
    <t>ORCI ELDA</t>
  </si>
  <si>
    <t>TESTA LUCA</t>
  </si>
  <si>
    <t>TARDELLA ENRICO</t>
  </si>
  <si>
    <t>CICCONI LUCIANO</t>
  </si>
  <si>
    <t>LONZI MASSIMILIANO</t>
  </si>
  <si>
    <t>CURTI CLAUDIO</t>
  </si>
  <si>
    <t>BALK CHRISTIANE</t>
  </si>
  <si>
    <t>PACETTI GIUSEPPE</t>
  </si>
  <si>
    <t>PIEROTTI PIERANGELO</t>
  </si>
  <si>
    <t>DONATI GABRIELE</t>
  </si>
  <si>
    <t>AGAMENNONI MARIA</t>
  </si>
  <si>
    <t>LELLI LUCIANO</t>
  </si>
  <si>
    <t>FRANCIONI STEFANO</t>
  </si>
  <si>
    <t>DI VIRGILIO SOILI</t>
  </si>
  <si>
    <t>CUGURU MARIO</t>
  </si>
  <si>
    <t>MARINI LORENZO</t>
  </si>
  <si>
    <t>SCARDACCHI LUCIANO</t>
  </si>
  <si>
    <t>BARTOLUCCI ALFIO</t>
  </si>
  <si>
    <t>BALDELLI OLIVIERO</t>
  </si>
  <si>
    <t>FANELLI OTTAVIO</t>
  </si>
  <si>
    <t>TROMBONI SAURO</t>
  </si>
  <si>
    <t>BRUNAMONTI MATTEO</t>
  </si>
  <si>
    <t>BURATTI ILARIA</t>
  </si>
  <si>
    <t>CAA CIA - PERUGIA - 008</t>
  </si>
  <si>
    <t>PIERANGELI MARIA LAURA</t>
  </si>
  <si>
    <t>SCHIAROLI SIMONE</t>
  </si>
  <si>
    <t>SOCIETA' AGRICOLA LE SODERE DI MOSCATELLI SEBASTIANO E ARPINI AMALIA S</t>
  </si>
  <si>
    <t>ZENOBI ANDREA</t>
  </si>
  <si>
    <t>RAMADORI PIETRO</t>
  </si>
  <si>
    <t>PLEBANI PASQUALINA</t>
  </si>
  <si>
    <t>DE FRANCESCO DANIELE</t>
  </si>
  <si>
    <t>AZIENDA AGRICOLA MONTE JUNO SOCIETA' AGRICOLA</t>
  </si>
  <si>
    <t>CATANI DOMENICO</t>
  </si>
  <si>
    <t>PAGLIALUNGA NADIA</t>
  </si>
  <si>
    <t>PETTACCIO ELIO</t>
  </si>
  <si>
    <t>SOC.AGR.CUPANO DI BERNARDI MASSIMO E CLAUDIO S.S.</t>
  </si>
  <si>
    <t>VENNARUCCI SERGIO</t>
  </si>
  <si>
    <t>LIGI LORIS</t>
  </si>
  <si>
    <t>ROSSI PAOLO</t>
  </si>
  <si>
    <t>SOCIETA' AGRICOLA 4R BIO DI RAGGI MAURO E BRANDI ADALGISA SOCIETA' SEM</t>
  </si>
  <si>
    <t>AGOSTINI MARCO</t>
  </si>
  <si>
    <t>BOBOC INA</t>
  </si>
  <si>
    <t>SANTI MARIA</t>
  </si>
  <si>
    <t>PRIORI PIERO</t>
  </si>
  <si>
    <t>GARGAMELLI CARLA</t>
  </si>
  <si>
    <t>CASAGRANDE-CONTI SONIA</t>
  </si>
  <si>
    <t>LUCIANI GIORGIO</t>
  </si>
  <si>
    <t>MASCIOLI ANNA MARIA</t>
  </si>
  <si>
    <t>TILLI CATERINA</t>
  </si>
  <si>
    <t>MATTEUCCI DANIELE</t>
  </si>
  <si>
    <t>CICETTI CLAUDIO</t>
  </si>
  <si>
    <t>POMPEI MARCELLO</t>
  </si>
  <si>
    <t>NATALINI MARIA</t>
  </si>
  <si>
    <t>MEZZORECCHIA CLARA</t>
  </si>
  <si>
    <t>CONTI VIRGILIO</t>
  </si>
  <si>
    <t>GIOVANNELLI FRANCESCO</t>
  </si>
  <si>
    <t>ALESSANDRONI ALESSANDRO</t>
  </si>
  <si>
    <t>MONTALBINI MARINO</t>
  </si>
  <si>
    <t>MURA SALVATORE</t>
  </si>
  <si>
    <t>BOCCADORO STEFANO</t>
  </si>
  <si>
    <t>SOCIETA' AGRICOLA MASCIANO S.S.</t>
  </si>
  <si>
    <t>MENCARELLI NICOLETTA</t>
  </si>
  <si>
    <t>STRIAN KERSTIN INGEBORG MARIA</t>
  </si>
  <si>
    <t>PIERSANTI ENRICA</t>
  </si>
  <si>
    <t>SOCIETA' AGRICOLA IL GELSO SRL</t>
  </si>
  <si>
    <t>COTICHINI ENZO</t>
  </si>
  <si>
    <t>DE KRUIJFF GUSTA LOUISE</t>
  </si>
  <si>
    <t>PAOLUCCI SARA</t>
  </si>
  <si>
    <t>PANNUNZI FABIO</t>
  </si>
  <si>
    <t>BUCCI NELLO</t>
  </si>
  <si>
    <t>MARINI LORENZINA</t>
  </si>
  <si>
    <t>BORGOGNONI LIDIA</t>
  </si>
  <si>
    <t>RENZI LANFRANCA</t>
  </si>
  <si>
    <t>TENUTA COLLE CARUFO SOCIETA' AGRICOLA SEMPLICE</t>
  </si>
  <si>
    <t>DAMIANI STEFANO</t>
  </si>
  <si>
    <t>NERI MARIA</t>
  </si>
  <si>
    <t>VERGARI GIOVANNI PAOLO</t>
  </si>
  <si>
    <t>ENTE PROVINCIA PICENA (MARCHE) DEI FRATI MINORI CAPPUCCINI</t>
  </si>
  <si>
    <t>LIGI FRANCO</t>
  </si>
  <si>
    <t>OCCHIALINI SERGIO</t>
  </si>
  <si>
    <t>DOLCE GIUSEPPE</t>
  </si>
  <si>
    <t>BARZI MICHELE</t>
  </si>
  <si>
    <t>TRINEI LIDIA</t>
  </si>
  <si>
    <t>MANCINELLI LUCIANO</t>
  </si>
  <si>
    <t>CAPPUCCIO ANDREA</t>
  </si>
  <si>
    <t>SANTINI-SIMONCELLI GILBERTO</t>
  </si>
  <si>
    <t>GRECI FERDINANDO</t>
  </si>
  <si>
    <t>SALVATI ALBERTINA</t>
  </si>
  <si>
    <t>PAOLONI ANGELO</t>
  </si>
  <si>
    <t>PAOLONI GIULIANA</t>
  </si>
  <si>
    <t>URBINATI GIANFRANCO</t>
  </si>
  <si>
    <t>ROTINI MARIA</t>
  </si>
  <si>
    <t>ORLANDI MARIO-ALBERTO</t>
  </si>
  <si>
    <t>ROCCHEGIANI ARTURO</t>
  </si>
  <si>
    <t>DOMINICI TATIANA</t>
  </si>
  <si>
    <t>ALESSANDRELLI MARIA</t>
  </si>
  <si>
    <t>SOCIETA' AGRICOLA PALLINO S.S.</t>
  </si>
  <si>
    <t>SOCIETA' AGRICOLA IL TRIBBIO S.S.</t>
  </si>
  <si>
    <t>TIRABASSI ROBERTO</t>
  </si>
  <si>
    <t>CECCARINI NAZZARENO</t>
  </si>
  <si>
    <t>BELTUTTI CESARE</t>
  </si>
  <si>
    <t>BATASSA AGOSTINO</t>
  </si>
  <si>
    <t>BONCI LUIGI</t>
  </si>
  <si>
    <t>SANTAMARIANOVA ROSATO</t>
  </si>
  <si>
    <t>BOCCHETTI ENRICO E SANDRO SOCIETA' AGRICOLA SOCIETA' SEMPLICE</t>
  </si>
  <si>
    <t>PANDOLFI MARINA</t>
  </si>
  <si>
    <t>MORONI FRANCESCO</t>
  </si>
  <si>
    <t>ZENOBI DANIELE</t>
  </si>
  <si>
    <t>ANIBALDI GIUSEPPINA</t>
  </si>
  <si>
    <t>CATANI SONIA</t>
  </si>
  <si>
    <t>SCIAMANNA SANDRO</t>
  </si>
  <si>
    <t>MORE' ALBERTO</t>
  </si>
  <si>
    <t>MAURIZI LUIGINO</t>
  </si>
  <si>
    <t>PALMA MARIANO</t>
  </si>
  <si>
    <t>TESTAGUZZA SANTE</t>
  </si>
  <si>
    <t>CARBONARI LUCIO</t>
  </si>
  <si>
    <t>SCIAMANNA FRANCO</t>
  </si>
  <si>
    <t>PANTANELLA ANNA MARIA</t>
  </si>
  <si>
    <t>PERSICOROSSI FRANCO</t>
  </si>
  <si>
    <t>CIAPPELLONI ASSUNTA</t>
  </si>
  <si>
    <t>BURATTI ALESSIO</t>
  </si>
  <si>
    <t>BATTISTELLI LUCIA</t>
  </si>
  <si>
    <t>FEDELI CHIARINA</t>
  </si>
  <si>
    <t>LEONI MASSIMO</t>
  </si>
  <si>
    <t>RUFFINI MARIA-AUSILIA</t>
  </si>
  <si>
    <t>BONDI ROBERTO</t>
  </si>
  <si>
    <t>SOCIETA' AGRICOLA MANCINI MICHELE E C. S.S</t>
  </si>
  <si>
    <t>MANSANTA CLAUDIO</t>
  </si>
  <si>
    <t>PIERSANTINI TABITHA</t>
  </si>
  <si>
    <t>ZEPPONI VINCENZO</t>
  </si>
  <si>
    <t>GABANNINI GIORGIO</t>
  </si>
  <si>
    <t>LUCHETTI LUCREZIA</t>
  </si>
  <si>
    <t>ARIENZO MARIO</t>
  </si>
  <si>
    <t>ZANCHI MICHELE</t>
  </si>
  <si>
    <t>SANTINI LUIGINO</t>
  </si>
  <si>
    <t>MICHELI DANIELA</t>
  </si>
  <si>
    <t>ANIMOBONO MIRELLA</t>
  </si>
  <si>
    <t>MAURLI MARCELLO</t>
  </si>
  <si>
    <t>SOCIETA' AGRICOLA EREDI PAPARELLI PAOLO S.S.</t>
  </si>
  <si>
    <t>DE ANGELIS ROSANNA</t>
  </si>
  <si>
    <t>VITAIOLI LUCIO</t>
  </si>
  <si>
    <t>SPADONI IVAN</t>
  </si>
  <si>
    <t>TARSI FABIO</t>
  </si>
  <si>
    <t>VITI ROMINA</t>
  </si>
  <si>
    <t>TRONCANETTI GIUSEPPE</t>
  </si>
  <si>
    <t>SOC.AGR. TRE CASTELLI S.S.</t>
  </si>
  <si>
    <t>FABBRANI JLENIA</t>
  </si>
  <si>
    <t>MARIANI DANIELE</t>
  </si>
  <si>
    <t>SEBASTIANELLI SILVANA</t>
  </si>
  <si>
    <t>BOCCI MARCO</t>
  </si>
  <si>
    <t>SERRANI GIOVANNI</t>
  </si>
  <si>
    <t>SABATTINI DONATELLA</t>
  </si>
  <si>
    <t>RASCHINI LORENZO</t>
  </si>
  <si>
    <t>CORRENTI SIMONE</t>
  </si>
  <si>
    <t>SOCIETA' AGRICOLA EREDI CALDARELLI PIERGIOVANNI SOCIETA' SEMPLICE</t>
  </si>
  <si>
    <t>ROSSI ORNELLA</t>
  </si>
  <si>
    <t>BARBAROSSA CAMILLO</t>
  </si>
  <si>
    <t>VENAROTTA SANTE</t>
  </si>
  <si>
    <t>AIUTI ALBA</t>
  </si>
  <si>
    <t>CORVINI VENANZO</t>
  </si>
  <si>
    <t>MEROLLI ANNA</t>
  </si>
  <si>
    <t>PRATELLI ORIETTA</t>
  </si>
  <si>
    <t>SOCIETA' AGRICOLA IL CASONE DI INNOCENZI ROBERTA &amp; C. S.S.</t>
  </si>
  <si>
    <t>CENCI ANTONELLA</t>
  </si>
  <si>
    <t>FORMICA DAVIDE</t>
  </si>
  <si>
    <t>DE ANGELIS GUERINO</t>
  </si>
  <si>
    <t>IRIDE 2021 S.S. SOCIETA' AGRICOLA</t>
  </si>
  <si>
    <t>PENNACCHI GIULIO</t>
  </si>
  <si>
    <t>BARILOTTI PIETRO</t>
  </si>
  <si>
    <t>GUERRA NAZZARENO</t>
  </si>
  <si>
    <t>AGUZZI MARZIO</t>
  </si>
  <si>
    <t>ASTOLFI FLORA</t>
  </si>
  <si>
    <t>MARINELLI ALFREDO</t>
  </si>
  <si>
    <t>MAMMARELLA DOMENICO</t>
  </si>
  <si>
    <t>PAOLUCCI GABRIELE</t>
  </si>
  <si>
    <t>SOCIETA'AGRICOLA GABRIELLI ANGELO E ROBERTO S.S.</t>
  </si>
  <si>
    <t>TENAGLIA ROBERTO</t>
  </si>
  <si>
    <t>CERULLI MASSIMO</t>
  </si>
  <si>
    <t>MARCHIONNI DOMENICO</t>
  </si>
  <si>
    <t>ANGELETTI VALENTINA</t>
  </si>
  <si>
    <t>RICCIONI NATALE</t>
  </si>
  <si>
    <t>MORICO ROSALBA</t>
  </si>
  <si>
    <t>DURANTI SILVANA</t>
  </si>
  <si>
    <t>OMENETTI TRONELLI ALESSANDRA</t>
  </si>
  <si>
    <t>BRUSCOLINI GINO</t>
  </si>
  <si>
    <t>BUCCI MARCO</t>
  </si>
  <si>
    <t>ASTOLFI GINA</t>
  </si>
  <si>
    <t>CANDIERACCI IRMA</t>
  </si>
  <si>
    <t>BIGOLI GUERRINA</t>
  </si>
  <si>
    <t>CAPPELLINI ENRICO</t>
  </si>
  <si>
    <t>ANCONA ENZO</t>
  </si>
  <si>
    <t>ROTILI ANNA</t>
  </si>
  <si>
    <t>SOCIETA' AGRICOLA "FATTORIA DEI SIBILLINI" SOC. SEMPLICE</t>
  </si>
  <si>
    <t>FRANCESCONI PAOLO</t>
  </si>
  <si>
    <t>TUCCINI ANGELO</t>
  </si>
  <si>
    <t>SOCIETA' AGRICOLA "COLLINA" DI IPPOLITI LORENZO E VALERIO S.S.</t>
  </si>
  <si>
    <t>LUCIANO' VINCENZO</t>
  </si>
  <si>
    <t>CIACCI CRISTIAN</t>
  </si>
  <si>
    <t>STORONI GIUSEPPE</t>
  </si>
  <si>
    <t>SOCIETA' AGRICOLA SEMPLICE DI SANTELLINI BRUNELLA E SANTELLINI LORELLA</t>
  </si>
  <si>
    <t>SECONDINI ANNA MARIA</t>
  </si>
  <si>
    <t>PALANCA GIOELE</t>
  </si>
  <si>
    <t>SARTINI ENRICO</t>
  </si>
  <si>
    <t>GIOMBI DINO</t>
  </si>
  <si>
    <t>RAFFAELLI ANTONELLA</t>
  </si>
  <si>
    <t>CALVANI LAURA</t>
  </si>
  <si>
    <t>SERI ANGELO</t>
  </si>
  <si>
    <t>AGRI DOMUS SOCIETA' COOPERATIVA IN LIQUIDAZIONE</t>
  </si>
  <si>
    <t>ONESTA PATRIZIA</t>
  </si>
  <si>
    <t>SOCIETA' AGRICOLA LA VITA BELLA S.S.</t>
  </si>
  <si>
    <t>CIARLANTINI CLAUDIA</t>
  </si>
  <si>
    <t>TASSI CLAUDIO</t>
  </si>
  <si>
    <t>MARIANI FABRIZIO</t>
  </si>
  <si>
    <t>PAZZAGLIA ADRIANO</t>
  </si>
  <si>
    <t>MAZZARINI LORIS</t>
  </si>
  <si>
    <t>STORONI ORLANDO</t>
  </si>
  <si>
    <t>BRUSCOLI ORIANNA</t>
  </si>
  <si>
    <t>SOCIETA' AGRICOLA LEONARDO &amp; RICCARDO S.S.</t>
  </si>
  <si>
    <t>MAGNANI SAURO</t>
  </si>
  <si>
    <t>ROMALDINI MAURO</t>
  </si>
  <si>
    <t>AGRARIA 1906 SNC DI PRETELLI FRANCESCO E DE ANGELI GIORGIA SOCIETA' AG</t>
  </si>
  <si>
    <t>PIETRELLA ROSELLA</t>
  </si>
  <si>
    <t>PAGLIARI FEDERICA</t>
  </si>
  <si>
    <t>SOCIETA' AGRICOLA HECTOR DI CALVIGIONI SILVIO &amp; TOMBESI GIORGIA S .S.</t>
  </si>
  <si>
    <t>LATTANZI LUCIA</t>
  </si>
  <si>
    <t>ABDYRRAHMANI MAJLINDA</t>
  </si>
  <si>
    <t>MICONI CESARE</t>
  </si>
  <si>
    <t>CARBONI TIZIANO</t>
  </si>
  <si>
    <t>BICCARI GIANPIERO</t>
  </si>
  <si>
    <t>GIACOMUCCI VANDA</t>
  </si>
  <si>
    <t>ROSELLI FRANCO</t>
  </si>
  <si>
    <t>GALLI MARIANNA</t>
  </si>
  <si>
    <t>ORTOLANI LUCIANO</t>
  </si>
  <si>
    <t>FIORENTINI PIETRO</t>
  </si>
  <si>
    <t>FERRI MARINI LUCA</t>
  </si>
  <si>
    <t>SCHIAVI BRUNO</t>
  </si>
  <si>
    <t>BURATTI LUCIANO</t>
  </si>
  <si>
    <t>VANNI MARIO</t>
  </si>
  <si>
    <t>DI GIULI ANGELINA</t>
  </si>
  <si>
    <t>LAURENZI ANTONIO</t>
  </si>
  <si>
    <t>BIANCHI GIORGIO</t>
  </si>
  <si>
    <t>BOLDRINI ALBINA</t>
  </si>
  <si>
    <t>MICUCCI MARIA EMILIA</t>
  </si>
  <si>
    <t>CASTRACANI CLAUDIO</t>
  </si>
  <si>
    <t>NONNI LAMBERTO</t>
  </si>
  <si>
    <t>AGOSTINELLI DOMENICO</t>
  </si>
  <si>
    <t>BALDACCIONI FEDERICO</t>
  </si>
  <si>
    <t>ROSSETTI PRIMO</t>
  </si>
  <si>
    <t>LOCCIONI GINO</t>
  </si>
  <si>
    <t>TAFFETANI MARIA</t>
  </si>
  <si>
    <t>SOCIETA'AGRICOLA GIOIELLI DELLA TERRA S.S.</t>
  </si>
  <si>
    <t>LUPI GABRIELE</t>
  </si>
  <si>
    <t>MARTINELLI ALESSANDRO</t>
  </si>
  <si>
    <t>CICCONI GRAZIANO</t>
  </si>
  <si>
    <t>AUTORINO LORENZO</t>
  </si>
  <si>
    <t>POLI ANNA RITA</t>
  </si>
  <si>
    <t>SERAFINI GIUSEPPE</t>
  </si>
  <si>
    <t>COMPAGNONI GIANLUIGI</t>
  </si>
  <si>
    <t>GENSANO ALBERTO</t>
  </si>
  <si>
    <t>VANNICOLA GASPARE</t>
  </si>
  <si>
    <t>CATTARULLA MONIA</t>
  </si>
  <si>
    <t>MARIANI BRUNANGELO</t>
  </si>
  <si>
    <t>MARCOZZI DARGISA</t>
  </si>
  <si>
    <t>MERCURI MARIA TERESA</t>
  </si>
  <si>
    <t>PICCARI MARCO</t>
  </si>
  <si>
    <t>'C.I.P.S.E.' COOP.VA INTERREGIONALE PRODUZIONE SEMENTI ELETT</t>
  </si>
  <si>
    <t>BAROCCI CLARA</t>
  </si>
  <si>
    <t>SACCHI ANDREA</t>
  </si>
  <si>
    <t>CUCCHI EMANUELA</t>
  </si>
  <si>
    <t>BALDUCCI GIUSEPPE</t>
  </si>
  <si>
    <t>SABBATINI MAURIZIO</t>
  </si>
  <si>
    <t>SERAFINI NICOLO'</t>
  </si>
  <si>
    <t>RAMAZZOTTI DANIELE</t>
  </si>
  <si>
    <t>CASTELGUELFO AZIENDA AGRARIA DI LUCANGELI LUIGI EC. SNC</t>
  </si>
  <si>
    <t>BELLOCCHI MANUEL</t>
  </si>
  <si>
    <t>BARBIERI ORESTE</t>
  </si>
  <si>
    <t>BAFFIONI STEFANO</t>
  </si>
  <si>
    <t>LA COCCINELLA SOCIETA' AGRICOLA S.S.</t>
  </si>
  <si>
    <t>SALVATORI MANUEL</t>
  </si>
  <si>
    <t>LAICI GIULIANA</t>
  </si>
  <si>
    <t>FERRACCI SAURO</t>
  </si>
  <si>
    <t>AMANTINI LINO</t>
  </si>
  <si>
    <t>SOCIETA' AGRICOLA "TRE C" DI MARCOLINI &amp; ROSSI S.S.</t>
  </si>
  <si>
    <t>SARTORI GIOVANNA</t>
  </si>
  <si>
    <t>RICCIONI ANTONIO</t>
  </si>
  <si>
    <t>ZEPPI GIUSEPPE</t>
  </si>
  <si>
    <t>ARSINI VITTORIA</t>
  </si>
  <si>
    <t>FERRI NELLA</t>
  </si>
  <si>
    <t>CAPITANI FEDERICO</t>
  </si>
  <si>
    <t>ALLEGREZZA COSETTA</t>
  </si>
  <si>
    <t>TRAVAGLIATI LUCA</t>
  </si>
  <si>
    <t>GIULIANI ENRICO</t>
  </si>
  <si>
    <t>LE COLLINE DEL GIANO DI LORI E COFANI SOCIETA' AGRICOLA S.S. DI COFANI</t>
  </si>
  <si>
    <t>ORSINI GIUSEPPINA</t>
  </si>
  <si>
    <t>BUCCI MATTEO</t>
  </si>
  <si>
    <t>BILANZOLA MARIA</t>
  </si>
  <si>
    <t>PANDOLFI VASCO</t>
  </si>
  <si>
    <t>RIPALTI DORIANA</t>
  </si>
  <si>
    <t>OTTAVIANI TERESA</t>
  </si>
  <si>
    <t>CIPRIANI PATRIZIA</t>
  </si>
  <si>
    <t>STELLA MASSIMO</t>
  </si>
  <si>
    <t>CASOLI FRANCESCO</t>
  </si>
  <si>
    <t>FULVI ERMANNO</t>
  </si>
  <si>
    <t>VENTURI ANTONIO</t>
  </si>
  <si>
    <t>GIORGI AUGUSTO</t>
  </si>
  <si>
    <t>BARTOCCI GUIDO</t>
  </si>
  <si>
    <t>CASACCIA MARIO</t>
  </si>
  <si>
    <t>LUMINATI ELIO</t>
  </si>
  <si>
    <t>ZARLI CLELIA</t>
  </si>
  <si>
    <t>SANTINELLI MARCO</t>
  </si>
  <si>
    <t>ISTRATE MARIANA</t>
  </si>
  <si>
    <t>ROSATELLI VINCENZO</t>
  </si>
  <si>
    <t>GUIDUCCI FABIOLA</t>
  </si>
  <si>
    <t>CAMILLETTI ALESSIO</t>
  </si>
  <si>
    <t>RICOTTINI GIANCARLO</t>
  </si>
  <si>
    <t>MARI RENZO</t>
  </si>
  <si>
    <t>CASAVECCHIA CRISTIAN</t>
  </si>
  <si>
    <t>MARINELLI MARIO</t>
  </si>
  <si>
    <t>COSTANTINI ANTONIO</t>
  </si>
  <si>
    <t>TRINCANATO SONIA VITTORIA</t>
  </si>
  <si>
    <t>AGRICOLA F.LLI CASAVECCHIA S.S.DI CASAVECCHIA GABRIELE</t>
  </si>
  <si>
    <t>TITTI ANGELO</t>
  </si>
  <si>
    <t>TAGLIATESTA ROSALBA</t>
  </si>
  <si>
    <t>GHILARDI TANIA</t>
  </si>
  <si>
    <t>SOCIETA' AGRICOLA BASTIA S.R.L.</t>
  </si>
  <si>
    <t>MAGGI YURI</t>
  </si>
  <si>
    <t>VALENTINI GABRIELE</t>
  </si>
  <si>
    <t>SALGARI GIANNINA AMABILE</t>
  </si>
  <si>
    <t>PIERETTI FAUSTO</t>
  </si>
  <si>
    <t>FILANTI NICOLA</t>
  </si>
  <si>
    <t>SANTINELLI DAVIDE</t>
  </si>
  <si>
    <t>SERAFINI FABIO</t>
  </si>
  <si>
    <t>ANNIBALLI ALESSANDRO-MARIA</t>
  </si>
  <si>
    <t>CERTELLI DINO</t>
  </si>
  <si>
    <t>SABBATINI FERNANDO</t>
  </si>
  <si>
    <t>ARGALIA GIORGIO</t>
  </si>
  <si>
    <t>TIRABASSI MARCO</t>
  </si>
  <si>
    <t>MASSETTI SEBASTIANO</t>
  </si>
  <si>
    <t>GABELLINI GABRIELE-DOMENICO</t>
  </si>
  <si>
    <t>SOCIETA' AGRICOLA DE MICHELIS DI DE MICHELIS MARCO &amp; LUIGI S.S.</t>
  </si>
  <si>
    <t>LIGUORI GIUSEPPE</t>
  </si>
  <si>
    <t>SOCIETA' AGRICOLA NONNU LUI' DI GUGLIELMI ANTONIO &amp; ILARIA</t>
  </si>
  <si>
    <t>SOCIETA' AGRICOLA F.LLI TOMMASINI DI TOMMASINI ANDREA &amp; C. S.N.C.</t>
  </si>
  <si>
    <t>PROCACCINI PACE</t>
  </si>
  <si>
    <t>CANDIDORI LUCIA GIUSEPPINA</t>
  </si>
  <si>
    <t>BARONA ALDA AMALIA CLAUDIA</t>
  </si>
  <si>
    <t>VALENTINI FILIPPO</t>
  </si>
  <si>
    <t>SOCIETA' AGRICOLA POGGIO ROSSO S.S.</t>
  </si>
  <si>
    <t>AGR.ESTE SOC.AGRICOLA SRLS</t>
  </si>
  <si>
    <t>ROSELLI SILVIA</t>
  </si>
  <si>
    <t>NITISOR DUMITRU</t>
  </si>
  <si>
    <t>CINGOLANI GIOVANNI</t>
  </si>
  <si>
    <t>BAGIACCHI FEDERICO</t>
  </si>
  <si>
    <t>CALINI PAOLA</t>
  </si>
  <si>
    <t>ALESIANI LINO</t>
  </si>
  <si>
    <t>CONTADINI ANNA MARIA</t>
  </si>
  <si>
    <t>MORETTI ANGELO</t>
  </si>
  <si>
    <t>TIBONI GIANCARLO</t>
  </si>
  <si>
    <t>ESPOSTO STEFANO</t>
  </si>
  <si>
    <t>BRIZI GIOVANNI</t>
  </si>
  <si>
    <t>CORSO SEBASTIANO</t>
  </si>
  <si>
    <t>FERRETTI MASSIMO</t>
  </si>
  <si>
    <t>MARINO STEFANO</t>
  </si>
  <si>
    <t>SOCIETA' AGRICOLA INCANTO DI TISI CINZIA E C. S.S.</t>
  </si>
  <si>
    <t>CECCUCCI MARIA-GRAZIA</t>
  </si>
  <si>
    <t>PARADISI LUCIANO</t>
  </si>
  <si>
    <t>BIANCHI LUCA</t>
  </si>
  <si>
    <t>LATINI REMO</t>
  </si>
  <si>
    <t>MONTEROTTI PAOLO</t>
  </si>
  <si>
    <t>PASSARI RITA</t>
  </si>
  <si>
    <t>GAGLIARDI RENZO</t>
  </si>
  <si>
    <t>TESORI DEL BOSCO SOCIETA' SEMPLICE AGRICOLA</t>
  </si>
  <si>
    <t>POLI MARIA GRAZIA</t>
  </si>
  <si>
    <t>CAUCCI VINCENZO</t>
  </si>
  <si>
    <t>SOCIETA' AGRICOLA CA' LANTE S.S.</t>
  </si>
  <si>
    <t>PARENZA GIACOMO</t>
  </si>
  <si>
    <t>FERRACUTI MAURIZIO</t>
  </si>
  <si>
    <t>BROCCOLI TIZIANA</t>
  </si>
  <si>
    <t>PACCUSSE GIOVANNI</t>
  </si>
  <si>
    <t>BARTOLINI ROBERTO</t>
  </si>
  <si>
    <t>ZAFFERENATI ALIDA</t>
  </si>
  <si>
    <t>MARINANGELI ANGELO</t>
  </si>
  <si>
    <t>MAGNANI MARCO</t>
  </si>
  <si>
    <t>ALIMENTI UBALDO</t>
  </si>
  <si>
    <t>DOMINICI ROBERTINO</t>
  </si>
  <si>
    <t>CHIODI ROBERTO</t>
  </si>
  <si>
    <t>PERUZZINI LAURA</t>
  </si>
  <si>
    <t>PIEROTTI ADRIO</t>
  </si>
  <si>
    <t>MUZI GINA</t>
  </si>
  <si>
    <t>BALDUCCI MAURIZIO</t>
  </si>
  <si>
    <t>GIOMMI MATTEO</t>
  </si>
  <si>
    <t>CIAPRETTA NAZZARENO</t>
  </si>
  <si>
    <t>ROCCI DUILIA</t>
  </si>
  <si>
    <t>GENTILINI LORENZO</t>
  </si>
  <si>
    <t>PASSERINI LUIGI</t>
  </si>
  <si>
    <t>ERBAROSA ANNA</t>
  </si>
  <si>
    <t>GABRIELLI SANTE</t>
  </si>
  <si>
    <t>FADDA RAFFAELLA</t>
  </si>
  <si>
    <t>BIAGGI MAURIZIO</t>
  </si>
  <si>
    <t>PASQUINI ANNUNZIATA</t>
  </si>
  <si>
    <t>PIFERI FRANCESCO</t>
  </si>
  <si>
    <t>LEBBORONI LORENZO</t>
  </si>
  <si>
    <t>GRAZIOLI NADIA</t>
  </si>
  <si>
    <t>ARMEZZANI GIUSEPPE</t>
  </si>
  <si>
    <t>ARCANGELI GILBERTO</t>
  </si>
  <si>
    <t>BARZOTTI STEFANO</t>
  </si>
  <si>
    <t>GRASSELLI MARIA</t>
  </si>
  <si>
    <t>VALLORANI PRIMO</t>
  </si>
  <si>
    <t>CAMILLI MELETANI FRANCO</t>
  </si>
  <si>
    <t>SILVESTRINI PAOLA</t>
  </si>
  <si>
    <t>SISINI GIUSEPPE</t>
  </si>
  <si>
    <t>PIGLIAPOCO CARLO</t>
  </si>
  <si>
    <t>GABRIELLI MARIA FILIPPINA</t>
  </si>
  <si>
    <t>COTTINI FRANCESCO EREDI</t>
  </si>
  <si>
    <t>GIOVANNINI DOMENICO</t>
  </si>
  <si>
    <t>GILI LUISA</t>
  </si>
  <si>
    <t>SCARDALA MARIA</t>
  </si>
  <si>
    <t>GRANCI DANIELA</t>
  </si>
  <si>
    <t>SOCIETA AGRICOLA EULALIA FARMHOUSE S.S.</t>
  </si>
  <si>
    <t>FUSCIANI DOMENICO</t>
  </si>
  <si>
    <t>GIANOTTI GIUSEPPE</t>
  </si>
  <si>
    <t>BARTOLUCCI ALDINO</t>
  </si>
  <si>
    <t>PERETTI FRANCESCO</t>
  </si>
  <si>
    <t>SAVI MARISA</t>
  </si>
  <si>
    <t>FADDA EMANUELE</t>
  </si>
  <si>
    <t>SOCIETA' AGRICOLA PODERE L'INFINITO S.A.S. DI SIMONETTI MARCO &amp; C.</t>
  </si>
  <si>
    <t>TEATINI GIUSEPPE</t>
  </si>
  <si>
    <t>PIERUCCI SANTE</t>
  </si>
  <si>
    <t>GUIDA CATENA MARIA</t>
  </si>
  <si>
    <t>AGRIDEA SRL</t>
  </si>
  <si>
    <t>ROSSI CALVIO</t>
  </si>
  <si>
    <t>ORTOLANI RITA</t>
  </si>
  <si>
    <t>SOCIETA' AGRICOLA CASALE DI CIOTTO PASQUALE E C. S.S.</t>
  </si>
  <si>
    <t>MAPAM S.S AGRICOLA DI MANCINI PAOLA E MASSIMO</t>
  </si>
  <si>
    <t>ROSATELLI NICOLA</t>
  </si>
  <si>
    <t>MORELLI PAOLO</t>
  </si>
  <si>
    <t>PERUGINI MASSIMO</t>
  </si>
  <si>
    <t>CLINI AUGUSTA</t>
  </si>
  <si>
    <t>TOCCI ANTONIO</t>
  </si>
  <si>
    <t>CICIANI CLAUDIO</t>
  </si>
  <si>
    <t>GENTILI ROMANO</t>
  </si>
  <si>
    <t>SANTI ABRAMO</t>
  </si>
  <si>
    <t>ANNESSI GABRIELE</t>
  </si>
  <si>
    <t>BARTOCCI SILVANO</t>
  </si>
  <si>
    <t>ZOPPI GIUSEPPE SECONDO</t>
  </si>
  <si>
    <t>ROSSI PATRIZIA</t>
  </si>
  <si>
    <t>SANTUCCI ANTONIA</t>
  </si>
  <si>
    <t>FRATINI CARLA</t>
  </si>
  <si>
    <t>GABRIELLI ORLANDO</t>
  </si>
  <si>
    <t>SEVERINI SILVANO</t>
  </si>
  <si>
    <t>SOCIETA' AGRICOLA LA ROCCA SS</t>
  </si>
  <si>
    <t>SPADONI GABRIELE</t>
  </si>
  <si>
    <t>POLITI GIUSEPPE</t>
  </si>
  <si>
    <t>ARSENI SANDRO</t>
  </si>
  <si>
    <t>FABBRIZIOLI ALESSANDRO</t>
  </si>
  <si>
    <t>VENTURA EZIO</t>
  </si>
  <si>
    <t>CIARONI PATRIZIA</t>
  </si>
  <si>
    <t>MARZOLI PARIDE</t>
  </si>
  <si>
    <t>PICCIONI TERESA</t>
  </si>
  <si>
    <t>APOSTOLI AGOSTINA</t>
  </si>
  <si>
    <t>COSTANTINI SAURA</t>
  </si>
  <si>
    <t>GUIDI LORENZO</t>
  </si>
  <si>
    <t>CIARROCCHI ANTONIA</t>
  </si>
  <si>
    <t>SOCIETA' AGRICOLA LA VALLETTA</t>
  </si>
  <si>
    <t>CECCARONI ANNA</t>
  </si>
  <si>
    <t>SCALBI LORENA</t>
  </si>
  <si>
    <t>STOLZINI MANUEL</t>
  </si>
  <si>
    <t>MARCUCCINI FRANCO</t>
  </si>
  <si>
    <t>PARADISI GIANCARLA</t>
  </si>
  <si>
    <t>SEPI FORTUNATO</t>
  </si>
  <si>
    <t>SOCIETA' AGRICOLA LICIA S.S.</t>
  </si>
  <si>
    <t>ANTONACCIO LUIGI</t>
  </si>
  <si>
    <t>SOCIETA' AGRICOLA MORELLO AUSTERA DI LUPATELLI IGOR E IVAN</t>
  </si>
  <si>
    <t>SOCIETA' AGRICOLA CA' LA MONACA S.S.</t>
  </si>
  <si>
    <t>ABBONDANZIERI MARIA-LETIZIA</t>
  </si>
  <si>
    <t>DE SANTIS SUSANNA</t>
  </si>
  <si>
    <t>SOCIETA' AGRICOLA CASULA</t>
  </si>
  <si>
    <t>PIETRINI ORLANDO</t>
  </si>
  <si>
    <t>GALLUCCI ANNA-MARIA</t>
  </si>
  <si>
    <t>EREDI DI PACIONI PIETRO ADORNO E GRILLI GIOCONDA SOC.SEMPLICE</t>
  </si>
  <si>
    <t>ROVELLI LEA</t>
  </si>
  <si>
    <t>SEPI EMANUELE</t>
  </si>
  <si>
    <t>FLAMMA LAURETTA</t>
  </si>
  <si>
    <t>BUSSOLETTI SEVERINA</t>
  </si>
  <si>
    <t>LAZZARINI FRANCO</t>
  </si>
  <si>
    <t>MASCI LUCA</t>
  </si>
  <si>
    <t>ARCANGELETTI GIULIO</t>
  </si>
  <si>
    <t>OLIVIERI ANGELO</t>
  </si>
  <si>
    <t>JORGENSEN SARAH</t>
  </si>
  <si>
    <t>SANTINI LUCIO</t>
  </si>
  <si>
    <t>SOCIETA' AGRICOLA SANTO STEFANO S.S.</t>
  </si>
  <si>
    <t>FERRETTI MIRELLA</t>
  </si>
  <si>
    <t>MICCI MARCELLO</t>
  </si>
  <si>
    <t>NATALI MARCELLA</t>
  </si>
  <si>
    <t>MARIANI MARCO</t>
  </si>
  <si>
    <t>PICCIONI GIANLUIGI</t>
  </si>
  <si>
    <t>HUNDSEDER HEINRICH JOHANN</t>
  </si>
  <si>
    <t>BENEDETTI ANDREA</t>
  </si>
  <si>
    <t>LIGI ANGELO</t>
  </si>
  <si>
    <t>SOCIETA' FORESTALE IL PALAZZOTTO DI BOLOGNA MAURIZIO E C. S.N.C.</t>
  </si>
  <si>
    <t>CAMILLINI MARIA</t>
  </si>
  <si>
    <t>FABBRETTI GRAZIANO</t>
  </si>
  <si>
    <t>SCHIAVI MARINA</t>
  </si>
  <si>
    <t>VIOLA ANNAMARIA</t>
  </si>
  <si>
    <t>DI ROMA ASSUNTA</t>
  </si>
  <si>
    <t>SARGENTI SILVANA E C. SOC. S.AGRICOLA</t>
  </si>
  <si>
    <t>BIANCHI ANTONIO</t>
  </si>
  <si>
    <t>GRILLI GRAZIANO</t>
  </si>
  <si>
    <t>SPERANZINI GIAN-ANSELMO</t>
  </si>
  <si>
    <t>SOCIETA' AGRICOLA TADEI LORIS E DENIS</t>
  </si>
  <si>
    <t>SILENZI VITO</t>
  </si>
  <si>
    <t>MARANI MATTEO</t>
  </si>
  <si>
    <t>SANTINI CONCETTA</t>
  </si>
  <si>
    <t>ANTOGNOLI LAURA</t>
  </si>
  <si>
    <t>CINTIOLI LORETTA</t>
  </si>
  <si>
    <t>SOCIETA' AGRICOLA "F.LLI RUGGERI" DI RUGGERI STEFANO E RUGGERI SIMONE</t>
  </si>
  <si>
    <t>SILVI TOMMASO</t>
  </si>
  <si>
    <t>CAA UNICAA - ASCOLI PICENO - 004</t>
  </si>
  <si>
    <t>ORFEI MAURIZIO</t>
  </si>
  <si>
    <t>BORRACCINI GIOVANNI</t>
  </si>
  <si>
    <t>ORPELLO ENRICO</t>
  </si>
  <si>
    <t>PALLUCCA MAURO</t>
  </si>
  <si>
    <t>BIDUCCI DANIELE</t>
  </si>
  <si>
    <t>PAZZAGLINI PAOLO</t>
  </si>
  <si>
    <t>FRANCOLINI PAOLA</t>
  </si>
  <si>
    <t>SENARIGHI TIZIANA</t>
  </si>
  <si>
    <t>SEBASTIANI GIOVANNI</t>
  </si>
  <si>
    <t>GATTARI DOMENICO</t>
  </si>
  <si>
    <t>HEEMAN NANJA LISENKA</t>
  </si>
  <si>
    <t>AZ. AGR. CIANDRINI BENITO &amp; C. SOCIETA' SEMPLICE</t>
  </si>
  <si>
    <t>BACCANARI LUCA</t>
  </si>
  <si>
    <t>FALCONI MICHELE</t>
  </si>
  <si>
    <t>BALDONI ANDREA</t>
  </si>
  <si>
    <t>CANGHIARI LUCA</t>
  </si>
  <si>
    <t>VIVANI MIRELLA</t>
  </si>
  <si>
    <t>APIS EMANUELE</t>
  </si>
  <si>
    <t>RICCI SAURO</t>
  </si>
  <si>
    <t>SPARAGNINI FRANCO</t>
  </si>
  <si>
    <t>PACETTI MARCELLO</t>
  </si>
  <si>
    <t>ROSATI GINO</t>
  </si>
  <si>
    <t>BAIONI LUIGINO</t>
  </si>
  <si>
    <t>DI GIULI ANNA MARIA</t>
  </si>
  <si>
    <t>VENTURI CORRADO</t>
  </si>
  <si>
    <t>RICCI ANGELO</t>
  </si>
  <si>
    <t>BIANCHINI DOMENICO</t>
  </si>
  <si>
    <t>CORAZZA TONINO</t>
  </si>
  <si>
    <t>MASCIOLI LUISA</t>
  </si>
  <si>
    <t>LA FONTE DELLE FARANGHE SOCIETA' SEMPLICE AGRICOLA</t>
  </si>
  <si>
    <t>BRAVI MASSIMO</t>
  </si>
  <si>
    <t>CIOTTI MASSIMO</t>
  </si>
  <si>
    <t>DE ANGELI TIZIANA</t>
  </si>
  <si>
    <t>SOCIETA AGRICOLA CONFORTI GIULIANO E GIORDANO S.S.</t>
  </si>
  <si>
    <t>AZIENDA AGRICOLA BASOCU LUIGI &amp; MICHELE SOCIETA' SEMPLICE</t>
  </si>
  <si>
    <t>FILIPPINI PIETRO</t>
  </si>
  <si>
    <t>VEROLINI ROSA</t>
  </si>
  <si>
    <t>GIULIANELLI ANNA MARIA</t>
  </si>
  <si>
    <t>CARLINI GENTILI FEDERICO</t>
  </si>
  <si>
    <t>ALBERTI OLIVA</t>
  </si>
  <si>
    <t>ISIDORI ROBERTO</t>
  </si>
  <si>
    <t>LUCARELLI MARIA GIUSEPPINA</t>
  </si>
  <si>
    <t>VALENTINI GIANCARLO</t>
  </si>
  <si>
    <t>AZIENDA AGRICOLA PIEVE DI SELVANERA S.A.S. - PIERETTI E BENEDETTI - DI</t>
  </si>
  <si>
    <t>SOCIETA' AGRICOLA S.URBANO DI FUCILI S.S.</t>
  </si>
  <si>
    <t>LUPI LEO</t>
  </si>
  <si>
    <t>LUZIETTI LAURA</t>
  </si>
  <si>
    <t>VALIBONA S.N.C. DI COLLESI ANTONIO &amp; PIEROTTI PIERANGELO - SOCIET A' A</t>
  </si>
  <si>
    <t>ROSSI MARTINO</t>
  </si>
  <si>
    <t>MANCINI RENZO</t>
  </si>
  <si>
    <t>MARASCA LORETA</t>
  </si>
  <si>
    <t>SILVI ENRICA</t>
  </si>
  <si>
    <t>BIANCONI ANTONIO</t>
  </si>
  <si>
    <t>AMATI VALENTINA</t>
  </si>
  <si>
    <t>TREGGIARI STEFANO</t>
  </si>
  <si>
    <t>MAZZANTI GIORGIO</t>
  </si>
  <si>
    <t>SOCIETA' AGRICOLA "LE GENGHE DI NONNO ANGELO" S.S.</t>
  </si>
  <si>
    <t>BIGONZI ALESSANDRO</t>
  </si>
  <si>
    <t>SANTI MARIA CLEMENTINA</t>
  </si>
  <si>
    <t>PAGLIARINI LUCIO</t>
  </si>
  <si>
    <t>FINOCCHI AURORA</t>
  </si>
  <si>
    <t>AGOSTINI DOMENICA</t>
  </si>
  <si>
    <t>BUCCI MORENO</t>
  </si>
  <si>
    <t>SOCIETA' AGRICOLA BENEDETTI MASSIMO E NAZZARENO SS</t>
  </si>
  <si>
    <t>SOCIETA' AGRICOLA BORGO PAGLIANETTO S.R.L.</t>
  </si>
  <si>
    <t>SAPUCCI SILVANO</t>
  </si>
  <si>
    <t>SOCIETA' AGRICOLA VECCHIO MORO...SUL LAGO S.S.</t>
  </si>
  <si>
    <t>DIOTALEVI MILVA</t>
  </si>
  <si>
    <t>SEGHETTI PASQUALINA</t>
  </si>
  <si>
    <t>DI SILVESTRO TERESA</t>
  </si>
  <si>
    <t>BAIONI ALESSANDRA</t>
  </si>
  <si>
    <t>BASTIANI LORENZO</t>
  </si>
  <si>
    <t>TERRENZI PIA</t>
  </si>
  <si>
    <t>CALVANI ELVIRA</t>
  </si>
  <si>
    <t>MANENTI MARCO</t>
  </si>
  <si>
    <t>SCISCIANI MATTEO</t>
  </si>
  <si>
    <t>CARPINETI GIUSEPPE</t>
  </si>
  <si>
    <t>DI COLA ANNUNZIO E C. SOCIETA' SEMPLICE</t>
  </si>
  <si>
    <t>SEBASTIANELLI AMELIO</t>
  </si>
  <si>
    <t>LOMBARDI GIUSEPPE</t>
  </si>
  <si>
    <t>SOCIETA' AGRICOLA EMINUEL SRL</t>
  </si>
  <si>
    <t>MENSA' ALBERTINA</t>
  </si>
  <si>
    <t>PAOLETTI TIZIANA</t>
  </si>
  <si>
    <t>FRANCHINI DINA</t>
  </si>
  <si>
    <t>SANTINI GIORGIO</t>
  </si>
  <si>
    <t>BISCUBIO SOCIETA' AGRICOLA SEMPLICE DI EDMONDO NICOLUCCI E FIGLI</t>
  </si>
  <si>
    <t>RICCIUTELLI LUCA</t>
  </si>
  <si>
    <t>MISTURI VALENTINA</t>
  </si>
  <si>
    <t>SOCIETA' AGRICOLA FRISONI DEL FURLO DI AMANTINI E BUCCHI S.S.</t>
  </si>
  <si>
    <t>COSTANTINI ANNA</t>
  </si>
  <si>
    <t>BERZIGOTTI EMIDIO</t>
  </si>
  <si>
    <t>PATRIZI PAOLA</t>
  </si>
  <si>
    <t>MEZZOLANI CLAUDIO</t>
  </si>
  <si>
    <t>MARI GIORGIO</t>
  </si>
  <si>
    <t>SPARAPANI SNC DI SPARAPANI GIUSEPPE &amp; C.</t>
  </si>
  <si>
    <t>PACI PAOLO</t>
  </si>
  <si>
    <t>PIETRINI SANDRA</t>
  </si>
  <si>
    <t>DI COSIMO ANDREA</t>
  </si>
  <si>
    <t>SBRICCOLI ANDREA</t>
  </si>
  <si>
    <t>PATRIZI ROBERTO</t>
  </si>
  <si>
    <t>AGOSTINELLI SANDRO</t>
  </si>
  <si>
    <t>BONCI ELISABETTA</t>
  </si>
  <si>
    <t>BONIFAZI ALCEO</t>
  </si>
  <si>
    <t>EVANGELISTA EDOARDO</t>
  </si>
  <si>
    <t>FRATELLI LAURI S.S.AGRICOLA</t>
  </si>
  <si>
    <t>CAPPELLETTI ROMINA</t>
  </si>
  <si>
    <t>ROMANI ANDREA</t>
  </si>
  <si>
    <t>LUCERNA MARA</t>
  </si>
  <si>
    <t>BIDUCCI MARCO</t>
  </si>
  <si>
    <t>CRESCENTINI ROBERTO</t>
  </si>
  <si>
    <t>SOCIETA' AGRICOLA LOCALITA' VALLE ROSA DI FARNETI ALESSANDRO, FARNETI</t>
  </si>
  <si>
    <t>BONIFAZI FIRMINA</t>
  </si>
  <si>
    <t>SEVERI CRISTINA</t>
  </si>
  <si>
    <t>DEMELI DONATO</t>
  </si>
  <si>
    <t>BARTOLUCCI MARIA ANGELA</t>
  </si>
  <si>
    <t>BAROCCI CARLA</t>
  </si>
  <si>
    <t>FERRETTI PAOLO</t>
  </si>
  <si>
    <t>ANGELETTI GIUSEPPINA</t>
  </si>
  <si>
    <t>ASTOLFI ADA</t>
  </si>
  <si>
    <t>SIGNORACCI STEFANO</t>
  </si>
  <si>
    <t>GALDELLI FRANCESCO</t>
  </si>
  <si>
    <t>SOCIETA' AGRICOLA "MICHELE" DI BERZIGOTTI ELENA &amp; C. S.S.</t>
  </si>
  <si>
    <t>ROSSI FERNANDO</t>
  </si>
  <si>
    <t>MAZZOLANI LINA</t>
  </si>
  <si>
    <t>GILI MICHELANGELO</t>
  </si>
  <si>
    <t>PUGNALI GIANFRANCO</t>
  </si>
  <si>
    <t>CORSUCCI DENIS</t>
  </si>
  <si>
    <t>CIAPPELLONI PIERINO</t>
  </si>
  <si>
    <t>CONFORTI VERA</t>
  </si>
  <si>
    <t>GIOMBANI PIERLUIGI</t>
  </si>
  <si>
    <t>PICCININI DOMENICO</t>
  </si>
  <si>
    <t>BITTI ELENA</t>
  </si>
  <si>
    <t>CALMANTI FABIO</t>
  </si>
  <si>
    <t>SCOCCIA DOMENICO</t>
  </si>
  <si>
    <t>SOCIETA' AGRICOLA LA MACCHIA S.S.</t>
  </si>
  <si>
    <t>ARRAGONI CRISTIANO E PIERPAOLO SOCIETA' AGRICOLA SEMPLICE</t>
  </si>
  <si>
    <t>PALLOTTI GIOVANNA</t>
  </si>
  <si>
    <t>CASCIANA ROSARIO</t>
  </si>
  <si>
    <t>RENGHINI CLARA</t>
  </si>
  <si>
    <t>BUCOSSI PATRIZIA</t>
  </si>
  <si>
    <t>NARI ALBERTO</t>
  </si>
  <si>
    <t>AZIENDA AGRICOLA RESAGRI DI RESPARAMBIA LUCA E C. S.S.</t>
  </si>
  <si>
    <t>ROMANI ERSILIA</t>
  </si>
  <si>
    <t>CINGOLANI ALESSANDRO</t>
  </si>
  <si>
    <t>CECCOLINI DAVIDE</t>
  </si>
  <si>
    <t>PIGOTTI RENZO</t>
  </si>
  <si>
    <t>OTTAVIANI GINO</t>
  </si>
  <si>
    <t>MANCINI VANDA</t>
  </si>
  <si>
    <t>MAGI RICCARDO</t>
  </si>
  <si>
    <t>FAZIOLI GIUSEPPA</t>
  </si>
  <si>
    <t>SILVESTRINI MAURO</t>
  </si>
  <si>
    <t>SCIAMANNA NAZZARENO</t>
  </si>
  <si>
    <t>AMATI ANTONIO</t>
  </si>
  <si>
    <t>SOCIETA AGRICOLA I NANI DI BARBONI FABIO E C. S.S.</t>
  </si>
  <si>
    <t>PELATELLI GRAZIANO</t>
  </si>
  <si>
    <t>ACUTI MARIA CHIARA</t>
  </si>
  <si>
    <t>MARINI MIRANDA</t>
  </si>
  <si>
    <t>TOMASSINI FABRIZIO</t>
  </si>
  <si>
    <t>FRANCIONI GIULIANO</t>
  </si>
  <si>
    <t>CIPRIANI ANGELO</t>
  </si>
  <si>
    <t>PALOMBI DANIELE</t>
  </si>
  <si>
    <t>BARDEGGIA PIETRO</t>
  </si>
  <si>
    <t>PAPIRI MARIA PIA</t>
  </si>
  <si>
    <t>PAGLIARONI DOMENICO</t>
  </si>
  <si>
    <t>DI LORENZI IOLANDA</t>
  </si>
  <si>
    <t>BUSETTO VICARI ANDREA</t>
  </si>
  <si>
    <t>GRANDONI ANGELO</t>
  </si>
  <si>
    <t>BOCCI DELFINA</t>
  </si>
  <si>
    <t>MERCATELLI LEONTINA</t>
  </si>
  <si>
    <t>CESARI GIUSEPPINA</t>
  </si>
  <si>
    <t>MAURI RENATO</t>
  </si>
  <si>
    <t>TIBONI ROBERTO</t>
  </si>
  <si>
    <t>MATALONI SANDRO</t>
  </si>
  <si>
    <t>BRACCI CARLO</t>
  </si>
  <si>
    <t>WEISSANG FRAUKE HEDWIG</t>
  </si>
  <si>
    <t>ANDREOLI MASSIMILIANO</t>
  </si>
  <si>
    <t>DINI GIANMARCO</t>
  </si>
  <si>
    <t>DI PUOTI ANGELINA</t>
  </si>
  <si>
    <t>DI BARTOLOMEO GIANDOMENICO</t>
  </si>
  <si>
    <t>LOCCIONI GILBERTO</t>
  </si>
  <si>
    <t>FUCKSIA ORIETTA</t>
  </si>
  <si>
    <t>NICOLELLI DANILO</t>
  </si>
  <si>
    <t>IL MASTINO SS</t>
  </si>
  <si>
    <t>LIGI NAZZARENO</t>
  </si>
  <si>
    <t>GAMBINI LARA</t>
  </si>
  <si>
    <t>BONIFAZI ACHILLE</t>
  </si>
  <si>
    <t>SOC. COOPERATIVA AGRICOLA VALLE VERDE</t>
  </si>
  <si>
    <t>PIERANTONI MASSIMO</t>
  </si>
  <si>
    <t>PAOLETTI GABRIELE</t>
  </si>
  <si>
    <t>DE DOMINICIS ANGELAROSA</t>
  </si>
  <si>
    <t>MERCANTINI FIORELLA</t>
  </si>
  <si>
    <t>RINALDI AROLDO</t>
  </si>
  <si>
    <t>DE ANGELIS PIETRO</t>
  </si>
  <si>
    <t>GUGLIELMI MARIO</t>
  </si>
  <si>
    <t>CESARETTI FABIO</t>
  </si>
  <si>
    <t>MARCOLINI DOMENICO</t>
  </si>
  <si>
    <t>SAPUCCI GIOVANNI</t>
  </si>
  <si>
    <t>ROSA CLAUDIA</t>
  </si>
  <si>
    <t>BIANCHI SIMONE</t>
  </si>
  <si>
    <t>PIANESI FEDERICO</t>
  </si>
  <si>
    <t>RANGO SAMUELE</t>
  </si>
  <si>
    <t>CACCIAMANI GIANNI</t>
  </si>
  <si>
    <t>ANGELONI GIULIANA</t>
  </si>
  <si>
    <t>MAGI FIORELLA</t>
  </si>
  <si>
    <t>GENTILI SABATINO</t>
  </si>
  <si>
    <t>ZECHIRI KADRI</t>
  </si>
  <si>
    <t>ROSSI BRUNORI ANTONIO</t>
  </si>
  <si>
    <t>MANGANI ANASTASIA</t>
  </si>
  <si>
    <t>UBALDI ANDREA</t>
  </si>
  <si>
    <t>ROSSI MARIA</t>
  </si>
  <si>
    <t>ANGELINI STEFANIA</t>
  </si>
  <si>
    <t>MINGO DINA</t>
  </si>
  <si>
    <t>CLEMENTI GIUSEPPE</t>
  </si>
  <si>
    <t>CLAUDI CARLO</t>
  </si>
  <si>
    <t>CURZI GUIDO</t>
  </si>
  <si>
    <t>BERNARDINI MAURIZIO</t>
  </si>
  <si>
    <t>GRECI ANGELO</t>
  </si>
  <si>
    <t>PARIS ELIO</t>
  </si>
  <si>
    <t>SOCIETA' AGRICOLA MICARELLI FRANCESCO &amp; C. S.S.</t>
  </si>
  <si>
    <t>FERRANTI BRUNO</t>
  </si>
  <si>
    <t>MORANTI GIULIANA</t>
  </si>
  <si>
    <t>VANNUCCI AUGUSTO</t>
  </si>
  <si>
    <t>CIUFFOLI CHRISTIAN</t>
  </si>
  <si>
    <t>PITTORI ALDESINA</t>
  </si>
  <si>
    <t>BONIFAZI ALESSANDRA</t>
  </si>
  <si>
    <t>LA TENUTA DI MATTIA SOCIETA' SEMPLICE AGROFORESTALE DI FORMENTINI IVAN</t>
  </si>
  <si>
    <t>VISSANI STEFANO</t>
  </si>
  <si>
    <t>CELESCHI LUIGI</t>
  </si>
  <si>
    <t>I TESORI DELL'ALVEARE SOCIETA' AGRICOLA S.S.</t>
  </si>
  <si>
    <t>MOCHI RAFFAELLA</t>
  </si>
  <si>
    <t>PALOMBI CARLO E LUCA - SOCIETA' AGRICOLA</t>
  </si>
  <si>
    <t>VEGLIO' NATALE</t>
  </si>
  <si>
    <t>FEDERONI MARINO</t>
  </si>
  <si>
    <t>PICCIONI ENZO</t>
  </si>
  <si>
    <t>FEDELI FIORELLA</t>
  </si>
  <si>
    <t>SCAGNOLI TERESA</t>
  </si>
  <si>
    <t>DILETTI GIOVANNI</t>
  </si>
  <si>
    <t>MILIFFI FAUSTO</t>
  </si>
  <si>
    <t>PERUZZINI DORIANO</t>
  </si>
  <si>
    <t>MICHETTI MARCELLO</t>
  </si>
  <si>
    <t>CIUCCI GIUSEPPE</t>
  </si>
  <si>
    <t>TOCCACELI ELISABETTA</t>
  </si>
  <si>
    <t>FERRETTI MAURIZIO</t>
  </si>
  <si>
    <t>VALENTI MARISA</t>
  </si>
  <si>
    <t>BURATTI NADIA</t>
  </si>
  <si>
    <t>PAVONI FRANCESCO</t>
  </si>
  <si>
    <t>BERZIGOTTI VINCENZO</t>
  </si>
  <si>
    <t>PLEBANI CELESTINA</t>
  </si>
  <si>
    <t>ROMBALDONI ANNA</t>
  </si>
  <si>
    <t>CENTRO ZOOTECNICO COLLE TONDO SOCIETA' AGRICOLA SEMPLICE</t>
  </si>
  <si>
    <t>CIUCCI CARLO</t>
  </si>
  <si>
    <t>AQUILANTI SERGIO</t>
  </si>
  <si>
    <t>BOTTA FRANCESCA</t>
  </si>
  <si>
    <t>AGUZZI PIER NICCOLO'</t>
  </si>
  <si>
    <t>TOSSICI ALESSANDRO</t>
  </si>
  <si>
    <t>PAZZELLI MORGAN</t>
  </si>
  <si>
    <t>GALANTI SCIAMANNA CARMINA</t>
  </si>
  <si>
    <t>ROSSI VITTORIO</t>
  </si>
  <si>
    <t>SOCIETA' AGRICOLA F.LLI FARNETI SOCIETA' SEMPLICE</t>
  </si>
  <si>
    <t>CURZI SARA</t>
  </si>
  <si>
    <t>LONGHI RINO</t>
  </si>
  <si>
    <t>MERCURI FELICE</t>
  </si>
  <si>
    <t>NISI CERIONI IOLANDA</t>
  </si>
  <si>
    <t>SORO GIOVANNI MARIA</t>
  </si>
  <si>
    <t>FERRETTI LAURA</t>
  </si>
  <si>
    <t>BARTOLOMEI MARCO</t>
  </si>
  <si>
    <t>VINCENZI CLAUDIO</t>
  </si>
  <si>
    <t>BONCI FABRIZIO</t>
  </si>
  <si>
    <t>BATTAGLIA RICCARDO</t>
  </si>
  <si>
    <t>BOVESECCHI DOMENICO</t>
  </si>
  <si>
    <t>VAGNONI MARIA GRAZIA</t>
  </si>
  <si>
    <t>MASSI ANDREA</t>
  </si>
  <si>
    <t>ASTOLFI VALERIO</t>
  </si>
  <si>
    <t>TABOCCHINI GILBERTO</t>
  </si>
  <si>
    <t>CONTI DOMENICO</t>
  </si>
  <si>
    <t>PAGLIARDINI GERARDO</t>
  </si>
  <si>
    <t>PAZZELLI FRANCESCO</t>
  </si>
  <si>
    <t>BIGIARELLI STEFANIA</t>
  </si>
  <si>
    <t>GIACOMUCCI LINO</t>
  </si>
  <si>
    <t>MATTEI MARIA LUISA</t>
  </si>
  <si>
    <t>MOSCHELLA UMBERTO</t>
  </si>
  <si>
    <t>GIARDINI VALERIA</t>
  </si>
  <si>
    <t>BIZZARRI GIULIANO</t>
  </si>
  <si>
    <t>TIDEI LUIGI</t>
  </si>
  <si>
    <t>BERNARDI SERENA</t>
  </si>
  <si>
    <t>SILVESTRUCCI SAMUELE</t>
  </si>
  <si>
    <t>FORABOSCHI MARIA</t>
  </si>
  <si>
    <t>MORETTI MORENO</t>
  </si>
  <si>
    <t>FOGLIETTA FILIPPO</t>
  </si>
  <si>
    <t>ANGELI CELSO</t>
  </si>
  <si>
    <t>GUIDI FULVIO</t>
  </si>
  <si>
    <t>RAGANINI MARINO</t>
  </si>
  <si>
    <t>AGOSTINELLI ANDREA</t>
  </si>
  <si>
    <t>TORTOLINI GIAMBATTISTA</t>
  </si>
  <si>
    <t>SOCIETA AGRICOLA AGRITURISMO BUFANO SOCIETA SEMPLICE AGRICOLA</t>
  </si>
  <si>
    <t>CENTONI IVO</t>
  </si>
  <si>
    <t>MAIANI JACOPO</t>
  </si>
  <si>
    <t>BELTRAME GEMMA</t>
  </si>
  <si>
    <t>PALAFERRI GIOVANNI</t>
  </si>
  <si>
    <t>ABURTO GONZALEZ JESICA ANDREA</t>
  </si>
  <si>
    <t>ALESSANDRELLI STEFANO</t>
  </si>
  <si>
    <t>SOCIETA' AGRICOLA CANCELLIERI LUIGI &amp; MARINO S.S.</t>
  </si>
  <si>
    <t>DURASTANTI ROMOLO</t>
  </si>
  <si>
    <t>FATA IOLE</t>
  </si>
  <si>
    <t>CRUCIANI MASSIMO</t>
  </si>
  <si>
    <t>PINZI SAVERIO</t>
  </si>
  <si>
    <t>SPARVOLI EMILIO</t>
  </si>
  <si>
    <t>SERRETTI ANNA - MARIA</t>
  </si>
  <si>
    <t>TAGNANI LUIGI</t>
  </si>
  <si>
    <t>IMMOBILIARE IL COLLE DI PASSERI LIDIA &amp; C. SAS</t>
  </si>
  <si>
    <t>PICCINI ROLANDO</t>
  </si>
  <si>
    <t>CAPPELLETTI FABRIANO</t>
  </si>
  <si>
    <t>ROSSI ANNA ROSA</t>
  </si>
  <si>
    <t>COLLESI PRIMIERO</t>
  </si>
  <si>
    <t>ZAMPETTI LUCA</t>
  </si>
  <si>
    <t>SOCIETA' AGRICOLA COLLE DEL LUPO S.S.</t>
  </si>
  <si>
    <t>MICHELI SIMONETTA</t>
  </si>
  <si>
    <t>MELONI MARCELLO</t>
  </si>
  <si>
    <t>PASQUI FLORIDO</t>
  </si>
  <si>
    <t>SPEZIALE CHIARA</t>
  </si>
  <si>
    <t>DOMENICHELLI GIUSEPPINA</t>
  </si>
  <si>
    <t>MEI CRISTIAN</t>
  </si>
  <si>
    <t>PENESCU MARIA-VERONICA</t>
  </si>
  <si>
    <t>PRINCIPI FEDERICA</t>
  </si>
  <si>
    <t>SOCIETA' AGRICOLA ROMANINI DOMENICO E ALESSANDRO SOCIETA' SEMPLIC E</t>
  </si>
  <si>
    <t>FEDELI PIETRO</t>
  </si>
  <si>
    <t>CAUCCI FRANCO</t>
  </si>
  <si>
    <t>PHARMAFIT AGT SRL SOCIETA AGRICOLA</t>
  </si>
  <si>
    <t>CAUCCI PASQUALINO</t>
  </si>
  <si>
    <t>GIANNINI ALESSIO</t>
  </si>
  <si>
    <t>AZ.AGRICOLA CASTELVECCHIO DI CARMENATI GUIDO E STEFANO SOC.SEMPLICE</t>
  </si>
  <si>
    <t>SEBASTIANELLI MIRCO</t>
  </si>
  <si>
    <t>SOCIETA' AGRICOLA FABRIZI VENANZO FABRIZIO E LIBERTI ENZA S.S.</t>
  </si>
  <si>
    <t>COLUMBU RAIMONDO</t>
  </si>
  <si>
    <t>CATALINI GIULIANA</t>
  </si>
  <si>
    <t>MAURI GIUSEPPE</t>
  </si>
  <si>
    <t>VALLESI ANTONIO</t>
  </si>
  <si>
    <t>PALA LUCA</t>
  </si>
  <si>
    <t>CARPINETI AUGUSTO</t>
  </si>
  <si>
    <t>ANGELETTI DANIELE</t>
  </si>
  <si>
    <t>BALDUCCI GABRIELE</t>
  </si>
  <si>
    <t>FIORAVANTI ANNA MARIA</t>
  </si>
  <si>
    <t>BRUNETTI VINCENZINA CATERINA</t>
  </si>
  <si>
    <t>GORI MASSIMO</t>
  </si>
  <si>
    <t>MARINI NICOLA</t>
  </si>
  <si>
    <t>TITTONI GIOVANNI</t>
  </si>
  <si>
    <t>BARTOCCI ALFIERO</t>
  </si>
  <si>
    <t>TRIONFETTI MARCO</t>
  </si>
  <si>
    <t>MANNARA SERGIO</t>
  </si>
  <si>
    <t>SALCICCIA EVERARDO</t>
  </si>
  <si>
    <t>ROSSI NERIO</t>
  </si>
  <si>
    <t>PUGLIESE ROSA</t>
  </si>
  <si>
    <t>VANUCCI MIRCO</t>
  </si>
  <si>
    <t>TALEVI TULLIO</t>
  </si>
  <si>
    <t>PAGLIALUNGA CARLO</t>
  </si>
  <si>
    <t>GIOVANNOTTI GIUSEPPE</t>
  </si>
  <si>
    <t>IN PROPRIO</t>
  </si>
  <si>
    <t>Ufficio Utente Qualificato</t>
  </si>
  <si>
    <t>LOCCI ARTEMIO</t>
  </si>
  <si>
    <t>SANNA ANTONIO</t>
  </si>
  <si>
    <t>SEBASTIANELLI GILBERTO</t>
  </si>
  <si>
    <t>SILVI ROSA</t>
  </si>
  <si>
    <t>GENTILI FRANCO</t>
  </si>
  <si>
    <t>CASTRATORI SANDRO</t>
  </si>
  <si>
    <t>DE SANTIS RAFFAELE</t>
  </si>
  <si>
    <t>SCIAMANNA PIERO</t>
  </si>
  <si>
    <t>PIOVATICCI PIERGIOVANNI</t>
  </si>
  <si>
    <t>BARTOLUCCI MARISA</t>
  </si>
  <si>
    <t>CATALDI ORAZIO</t>
  </si>
  <si>
    <t>SIMONCINI GIUSEPPE ADAMO</t>
  </si>
  <si>
    <t>PARADISI NATASCIA</t>
  </si>
  <si>
    <t>VAGNI ANNA</t>
  </si>
  <si>
    <t>FIECCHI GIUSEPPE</t>
  </si>
  <si>
    <t>ARTEGIANI MARISA</t>
  </si>
  <si>
    <t>SCIAMANNA ELISEO</t>
  </si>
  <si>
    <t>ACCORSI MAURO</t>
  </si>
  <si>
    <t>ROMAGNOLI PAOLA</t>
  </si>
  <si>
    <t>CANALI LORENZO</t>
  </si>
  <si>
    <t>SOCIETA' AGRICOLA FERIOLI DI FERIOLI RICCARDO &amp; C. S.S.</t>
  </si>
  <si>
    <t>CIACCI CLAUDIO</t>
  </si>
  <si>
    <t>SIMONCINI GIANLUCA</t>
  </si>
  <si>
    <t>ZOPPI RICCARDO</t>
  </si>
  <si>
    <t>CIAFFARONI ANGELO</t>
  </si>
  <si>
    <t>SOCIETA' AGRICOLA CONFORTI LUCIANO &amp; SIMONE S.S.</t>
  </si>
  <si>
    <t>TENUTA BOCCI DE CAPPUCCINI DI BOCCI MARIA E C. SOCIETA AGRICOLA SEMPLI</t>
  </si>
  <si>
    <t>BROCCA GIUSEPPE</t>
  </si>
  <si>
    <t>LIPPERA GIUSEPPE</t>
  </si>
  <si>
    <t>ANTONELLI ERMENEGILDO</t>
  </si>
  <si>
    <t>EREDI CATENA SOCIETA' AGRICOLA SEMPLICE</t>
  </si>
  <si>
    <t>CERESANI GIORGIA</t>
  </si>
  <si>
    <t>FERRARI CRISTIANA PATRIZIA</t>
  </si>
  <si>
    <t>RAGNI RAFFAELE</t>
  </si>
  <si>
    <t>V.E.S. DI ANTONIUCCI ROBERTO &amp; C. SNC</t>
  </si>
  <si>
    <t>MASILI GIULIO</t>
  </si>
  <si>
    <t>SOCIETA' AGRICOLA FAGGETI DI DIOTALEVI LUANA E C. S.S.</t>
  </si>
  <si>
    <t>CECCHETELLI LUCA</t>
  </si>
  <si>
    <t>FINOCCHI GIORGIO</t>
  </si>
  <si>
    <t>ROSSI MASSIMILIANO</t>
  </si>
  <si>
    <t>CORRADINI GIOVANNA</t>
  </si>
  <si>
    <t>POLETTI VINCENZA</t>
  </si>
  <si>
    <t>CHESSA GIOVANNI</t>
  </si>
  <si>
    <t>DILETTI NAZZARENO</t>
  </si>
  <si>
    <t>POLIDORI ANTONELLA</t>
  </si>
  <si>
    <t>MAGI ADRIANA</t>
  </si>
  <si>
    <t>MARAVIGLIA ALBERTO</t>
  </si>
  <si>
    <t>RINOZZI AURELIO</t>
  </si>
  <si>
    <t>VITALI DANIELE</t>
  </si>
  <si>
    <t>POLI GIULIO</t>
  </si>
  <si>
    <t>PALA GIORGIO</t>
  </si>
  <si>
    <t>TURCHI FABIO</t>
  </si>
  <si>
    <t>LOCCI SANDRO</t>
  </si>
  <si>
    <t>PASSAROTTI FRANCESCO</t>
  </si>
  <si>
    <t>MARTINELLI LAURA</t>
  </si>
  <si>
    <t>GIORGIANI NORBERTO</t>
  </si>
  <si>
    <t>MARTINI MARIO</t>
  </si>
  <si>
    <t>SABBATINI MARIA PIA</t>
  </si>
  <si>
    <t>EREDI SALVATORE CANNAS SOCIETA' SEMPLICE AGRICOLA</t>
  </si>
  <si>
    <t>TONELLI STEFANO</t>
  </si>
  <si>
    <t>MORELLI ALESSANDRO</t>
  </si>
  <si>
    <t>MARCELLI ELIO</t>
  </si>
  <si>
    <t>SOCIETA' AGRICOLA BRACCI S.S.</t>
  </si>
  <si>
    <t>CAPOCCIA GIULIANA</t>
  </si>
  <si>
    <t>RUFFINI GIOVANNI</t>
  </si>
  <si>
    <t>BALDACCIONI GIUSEPPE</t>
  </si>
  <si>
    <t>CAGNUCCI LUIGI</t>
  </si>
  <si>
    <t>GORGOLINI ALESSANDRO</t>
  </si>
  <si>
    <t>PICCARI GIOVANNI</t>
  </si>
  <si>
    <t>COACCI GINO</t>
  </si>
  <si>
    <t>ROSSI LOREDANA</t>
  </si>
  <si>
    <t>GNASSI MARCELLO</t>
  </si>
  <si>
    <t>GROTTAROLI NANDO</t>
  </si>
  <si>
    <t>GIOVANNINI MAURIZIO</t>
  </si>
  <si>
    <t>GAMBINI GRETA</t>
  </si>
  <si>
    <t>STORTINI ALBERTO</t>
  </si>
  <si>
    <t>FORLUCCI AGNESE</t>
  </si>
  <si>
    <t>BAIOCCO MARIO</t>
  </si>
  <si>
    <t>GALDELLI ANDREA</t>
  </si>
  <si>
    <t>MITRUCCIO ANNA MARIA</t>
  </si>
  <si>
    <t>FRATELLI ABRAMI SOCIETA' SEMPLICE AGRICOLA</t>
  </si>
  <si>
    <t>ARPINI FERMINIA</t>
  </si>
  <si>
    <t>VITI CRESCENTINO</t>
  </si>
  <si>
    <t>SOCIETA' AGRICOLA MICONI FRANCO E C. S.S.</t>
  </si>
  <si>
    <t>BATELLI ELSO</t>
  </si>
  <si>
    <t>COLOCCI SIMONE</t>
  </si>
  <si>
    <t>TROIANI MARIO</t>
  </si>
  <si>
    <t>ESPOSTO MARIA CHIARA</t>
  </si>
  <si>
    <t>BARZOTTI LORENA</t>
  </si>
  <si>
    <t>MARINI ANGELA MARIA</t>
  </si>
  <si>
    <t>CICIANI FEDERICO</t>
  </si>
  <si>
    <t>PUGINI SANTINO</t>
  </si>
  <si>
    <t>MARI LUCIANO</t>
  </si>
  <si>
    <t>VALENTINI EMILIANO</t>
  </si>
  <si>
    <t>SANTI GABRIELE</t>
  </si>
  <si>
    <t>DE ANGELIS LUIGINA</t>
  </si>
  <si>
    <t>TERENZI BRUNA</t>
  </si>
  <si>
    <t>BENZI MAURA</t>
  </si>
  <si>
    <t>DURANTI ELENA</t>
  </si>
  <si>
    <t>TIBONI RINO</t>
  </si>
  <si>
    <t>MACCARONI BRUNO</t>
  </si>
  <si>
    <t>BASTIANI PIETRO</t>
  </si>
  <si>
    <t>GORI FABRIZIO</t>
  </si>
  <si>
    <t>MOLINARI LUCIA PALMA</t>
  </si>
  <si>
    <t>SEVERINI GIAMPAOLO</t>
  </si>
  <si>
    <t>GAROSI MANUELA</t>
  </si>
  <si>
    <t>INNAMORATI GIUSEPPE</t>
  </si>
  <si>
    <t>BOLDRIGHINI MARISA</t>
  </si>
  <si>
    <t>TOMASSINI GIUSEPPE</t>
  </si>
  <si>
    <t>SOCIETA' AGRICOLA IL SOTTOBOSCO DI ACQUALAGNA S.S.</t>
  </si>
  <si>
    <t>GIROLAMI ANDREA</t>
  </si>
  <si>
    <t>TURCHI LOREDANA</t>
  </si>
  <si>
    <t>NARDI CARLO</t>
  </si>
  <si>
    <t>NICOLI RICCARDO</t>
  </si>
  <si>
    <t>ALFEI GIUSEPPINA</t>
  </si>
  <si>
    <t>CHIARUCCI RUMINA</t>
  </si>
  <si>
    <t>PIERGENTILI STEFANO</t>
  </si>
  <si>
    <t>PIERANTONI GIANCARLO</t>
  </si>
  <si>
    <t>LORETELLI GIANNI</t>
  </si>
  <si>
    <t>GALLI VALENTINA</t>
  </si>
  <si>
    <t>GRILLI MATTEO</t>
  </si>
  <si>
    <t>MATTEI DARIO</t>
  </si>
  <si>
    <t>DOMINICI GABRIELLA</t>
  </si>
  <si>
    <t>GALLOPPA SANDRO</t>
  </si>
  <si>
    <t>BRUNETTI MARCO</t>
  </si>
  <si>
    <t>CICCOLINI ROBERTO</t>
  </si>
  <si>
    <t>BELFIORI EMANUELE</t>
  </si>
  <si>
    <t>SBARDELLATI OSVALDO</t>
  </si>
  <si>
    <t>EREDI CONTIGIANI PIERDOMENICO DI CONTIGIANI MARCO, ELISA E PACIONI LIA</t>
  </si>
  <si>
    <t>MUGIONE ARCANGELA</t>
  </si>
  <si>
    <t>TIRABASSI VALERIA</t>
  </si>
  <si>
    <t>SOCIETA' AGRICOLA FIECCHI ADOLFO SOC. SEMPLICE</t>
  </si>
  <si>
    <t>CAPPELLETTI MICHELE</t>
  </si>
  <si>
    <t>ADDIS PIETRO EPIFANIO</t>
  </si>
  <si>
    <t>SALVI MATTEO</t>
  </si>
  <si>
    <t>BALDUCCI AUGUSTO</t>
  </si>
  <si>
    <t>DIOTALEVI ALVARO</t>
  </si>
  <si>
    <t>MOROSINI SERENELLA</t>
  </si>
  <si>
    <t>ROCCHI PARIS E C. SOCIETA' AGRICOLA - S.S.</t>
  </si>
  <si>
    <t>DE MICHELIS FRANCESCA</t>
  </si>
  <si>
    <t>SORICETTI RITA</t>
  </si>
  <si>
    <t>GISMONDI OLIVIERO</t>
  </si>
  <si>
    <t>CONTARDI FERNANDA</t>
  </si>
  <si>
    <t>BRISIGOTTI GIUSEPPE</t>
  </si>
  <si>
    <t>ALLEGRUCCI ROBERTO</t>
  </si>
  <si>
    <t>FRATINI SANDRA</t>
  </si>
  <si>
    <t>CIACCI ANGELO</t>
  </si>
  <si>
    <t>POMPEI GIAN GUSTAVO</t>
  </si>
  <si>
    <t>MARCACCINI ROBERTO</t>
  </si>
  <si>
    <t>ROCCETTI SIMONETTA</t>
  </si>
  <si>
    <t>ANIBALDI LUCIANO</t>
  </si>
  <si>
    <t>PAOLETTI SABATINO</t>
  </si>
  <si>
    <t>SALVATORI GIULIANO</t>
  </si>
  <si>
    <t>FOSCOLI GIUSEPPE</t>
  </si>
  <si>
    <t>UBALDINI MAURO</t>
  </si>
  <si>
    <t>RICCI ANNA MARIA</t>
  </si>
  <si>
    <t>AMICI MARIA GIUSEPPINA</t>
  </si>
  <si>
    <t>BERARDI FABRIZIO</t>
  </si>
  <si>
    <t>CATALINI DAVIDE</t>
  </si>
  <si>
    <t>BARTOCCIONI GIANMARCO</t>
  </si>
  <si>
    <t>SORCI FRANCO</t>
  </si>
  <si>
    <t>MERCOLDI DANIELE</t>
  </si>
  <si>
    <t>EUSEPI NICOLA</t>
  </si>
  <si>
    <t>MARCHETTI OVIDIO</t>
  </si>
  <si>
    <t>FRANCOLINI MARIO</t>
  </si>
  <si>
    <t>PERUZZINI MAURO</t>
  </si>
  <si>
    <t>PIERSIGILLI MARTINA</t>
  </si>
  <si>
    <t>SILIQUINI FRANCESCO</t>
  </si>
  <si>
    <t>CENCIONI PIETRO</t>
  </si>
  <si>
    <t>TAGNANI LEONARDO</t>
  </si>
  <si>
    <t>GIACCHINI SOCIETA' AGRICOLA A R.L.</t>
  </si>
  <si>
    <t>IN BIO VERITAS SOCIETA' AGRICOLA A RESPONSABILITA' LIMITATA</t>
  </si>
  <si>
    <t>GUATIERI CHRISTIAN</t>
  </si>
  <si>
    <t>SOCIETA' AGRICOLA MONSIGNORI S.S.</t>
  </si>
  <si>
    <t>TASSI UMBERTO</t>
  </si>
  <si>
    <t>MASCIOLI ELSA</t>
  </si>
  <si>
    <t>TURCHI MARIA</t>
  </si>
  <si>
    <t>PIZZINGRILLI VINCENZO</t>
  </si>
  <si>
    <t>GUIDI ALFREDO</t>
  </si>
  <si>
    <t>VELLONI LUISA</t>
  </si>
  <si>
    <t>CASA BRILLA SOCIETA' AGRICOLA SEMPLICE</t>
  </si>
  <si>
    <t>BASOCU MARIO</t>
  </si>
  <si>
    <t>SIMONCINI MARISA</t>
  </si>
  <si>
    <t>SOCIETA' AGRICOLA SCALONI DARIO &amp; VINCENZO S.S.</t>
  </si>
  <si>
    <t>MARIANI ADRIANO</t>
  </si>
  <si>
    <t>SGALLA LAMBERTO</t>
  </si>
  <si>
    <t>AMILENI LUCIANO</t>
  </si>
  <si>
    <t>DAMIANI RAFFAELLA</t>
  </si>
  <si>
    <t>BALDI MARIO</t>
  </si>
  <si>
    <t>PICCARI RITA</t>
  </si>
  <si>
    <t>TAPPI VITTORIO</t>
  </si>
  <si>
    <t>CIACCI LUCA</t>
  </si>
  <si>
    <t>RINOZZI MARIA</t>
  </si>
  <si>
    <t>ALBANI ALBERTO</t>
  </si>
  <si>
    <t>FADDA STEFANO</t>
  </si>
  <si>
    <t>BERTINAT PIERLUIGI</t>
  </si>
  <si>
    <t>GULLI ANNA</t>
  </si>
  <si>
    <t>PALADINI LUCA</t>
  </si>
  <si>
    <t>TONI TIZIANA</t>
  </si>
  <si>
    <t>ZEPPONI GIRETTO</t>
  </si>
  <si>
    <t>TINTI LUIGINO</t>
  </si>
  <si>
    <t>MOLINARI MARCO</t>
  </si>
  <si>
    <t>CATTARULLA FABIO</t>
  </si>
  <si>
    <t>MONTONI GIANFRANCO</t>
  </si>
  <si>
    <t>OSSOLI FORTUNATO</t>
  </si>
  <si>
    <t>PAGANELLI AMEDEO</t>
  </si>
  <si>
    <t>FERRI FRANCO</t>
  </si>
  <si>
    <t>SOCIETA' AGRICOLA SORO GIOVANNI MARIA E SALVATORE S.S.</t>
  </si>
  <si>
    <t>ROSATI ASSUNTA</t>
  </si>
  <si>
    <t>MASSARI RITA</t>
  </si>
  <si>
    <t>MARIOTTI DOMENICO</t>
  </si>
  <si>
    <t>TITTONI FRANCA</t>
  </si>
  <si>
    <t>MORELLI PAOLA</t>
  </si>
  <si>
    <t>CESARETTI BRIAN</t>
  </si>
  <si>
    <t>TRAVANTI VITTORIO</t>
  </si>
  <si>
    <t>SERRA CRISTIAN</t>
  </si>
  <si>
    <t>GUIDI RINO</t>
  </si>
  <si>
    <t>ZACCARINI BONELLI CAMILLO</t>
  </si>
  <si>
    <t>CAPPONI MARIA LINA</t>
  </si>
  <si>
    <t>GABRIELLI PIERO</t>
  </si>
  <si>
    <t>SANTONI GIUSEPPE</t>
  </si>
  <si>
    <t>ASCANI BRUNO</t>
  </si>
  <si>
    <t>ROSSINI LORETTA</t>
  </si>
  <si>
    <t>GAL ENIKO MARIA</t>
  </si>
  <si>
    <t>PAVONI ANDREA</t>
  </si>
  <si>
    <t>SEVERINI DAMIANO</t>
  </si>
  <si>
    <t>TULLI MARGHERITA</t>
  </si>
  <si>
    <t>VINCENTI EMANUELA</t>
  </si>
  <si>
    <t>ROSELLI MARIA GABRIELLA</t>
  </si>
  <si>
    <t>BECCERICA ENRICO</t>
  </si>
  <si>
    <t>LAMBERTUCCI NAZZARENO</t>
  </si>
  <si>
    <t>MICUCCI VINCENZO</t>
  </si>
  <si>
    <t>BIANCATELLI MARIA</t>
  </si>
  <si>
    <t>MORONI MIKAEL</t>
  </si>
  <si>
    <t>FELICETTI ISABELLA</t>
  </si>
  <si>
    <t>TIRABASSI VINCENZO</t>
  </si>
  <si>
    <t>SISTU EMANUELE</t>
  </si>
  <si>
    <t>GENTILINI SOCIETA' AGRICOLA DI GENTILINI CESARINO, DANIELA E LUCIA S.S</t>
  </si>
  <si>
    <t>RIGHI FABRIZIO</t>
  </si>
  <si>
    <t>CURZIETTI FEDERICO</t>
  </si>
  <si>
    <t>SOCIETA' AGRICOLA ALLA VECCHIA QUERCIA DI MEYER CORINNE E C. S.N.C.</t>
  </si>
  <si>
    <t>DAMIANI CARLA</t>
  </si>
  <si>
    <t>LEONI ELIA</t>
  </si>
  <si>
    <t>CALIENDI ENRICO</t>
  </si>
  <si>
    <t>TANCINI ORAZIO</t>
  </si>
  <si>
    <t>LOMBARDI EDDY</t>
  </si>
  <si>
    <t>GAMBIOLI GIANNI</t>
  </si>
  <si>
    <t>LORENZETTI MARTINA</t>
  </si>
  <si>
    <t>MOGLIANI MARCELLO</t>
  </si>
  <si>
    <t>FATTORIA NONNO FELICE SOCIETA' SEMPLICE AGRICOLA</t>
  </si>
  <si>
    <t>GODI ALIDIERO</t>
  </si>
  <si>
    <t>EVANGELISTI SILVANA</t>
  </si>
  <si>
    <t>SANTI ADELMO</t>
  </si>
  <si>
    <t>VISCONTI ENZO</t>
  </si>
  <si>
    <t>CORDELLA MANUEL</t>
  </si>
  <si>
    <t>CAIA RODICA</t>
  </si>
  <si>
    <t>MANOCCHI DAVIDE</t>
  </si>
  <si>
    <t>SOCIETA' AGRICOLA LUZI AGRI S.S.</t>
  </si>
  <si>
    <t>LA FATTORIA DEI CANTORI SOCIETA' AGRICOLA SS</t>
  </si>
  <si>
    <t>GATTARI CLAUDIO</t>
  </si>
  <si>
    <t>CALEFFI ANGELA</t>
  </si>
  <si>
    <t>GEMINIANI LETIZIA</t>
  </si>
  <si>
    <t>AZIENDA AGRICOLA GLI ULIVI SOCIETA' AGRICOLA SEMPLICE DI GEMINIANI ADR</t>
  </si>
  <si>
    <t>CAPPELLI ANNA</t>
  </si>
  <si>
    <t>SOCIETA' AGR. IL CONVENTINO DI MONTECICCARDO SAS DI MARCANTO</t>
  </si>
  <si>
    <t>LOCCIONI RENATO</t>
  </si>
  <si>
    <t>SOC AGR ORTO DEGLI ULIVI DI PIETRO GIULIANI E C. SOC SEMPLICE</t>
  </si>
  <si>
    <t>PACI CLAUDIO</t>
  </si>
  <si>
    <t>BOSI DOMITILLA</t>
  </si>
  <si>
    <t>ORAZI LEONARDO</t>
  </si>
  <si>
    <t>STRACCIO ALESSANDRA</t>
  </si>
  <si>
    <t>SOCIETA' AGRICOLA TERRE DELLA SERRA S.A.S. DI LUCIA LUCCERIN</t>
  </si>
  <si>
    <t>MARCANTONI ROBERTO</t>
  </si>
  <si>
    <t>ANIBALDI CINZIA</t>
  </si>
  <si>
    <t>PODERE LA CACCETTA SOCIETA' AGRICOLA SEMPLICE</t>
  </si>
  <si>
    <t>CASTIGLIONI LAVINIA</t>
  </si>
  <si>
    <t>CICCONOFRI LAURA</t>
  </si>
  <si>
    <t>TOMASSETTI MAURIZIO</t>
  </si>
  <si>
    <t>CARAFFA EDOARDO</t>
  </si>
  <si>
    <t>SOCIETA' COOPERATIVA SOCIALE A RESPONSABILITA' LIMITATA BERTA '80</t>
  </si>
  <si>
    <t>LACCHE' LUCA</t>
  </si>
  <si>
    <t>SOCIETA AGRICOLA FORESTERIA S.OLIVIERO S.S.</t>
  </si>
  <si>
    <t>GIORGI PAOLETTA</t>
  </si>
  <si>
    <t>MINNUCCI GIANLUCA</t>
  </si>
  <si>
    <t>MESCHINI MARIO</t>
  </si>
  <si>
    <t>SOC. AGRICOLA LA SERRA SS</t>
  </si>
  <si>
    <t>SOCIETA' AGRICOLA PITINO AGRICOLO SOCIETA' SEMPLICE</t>
  </si>
  <si>
    <t>CESARETTI GIOVANNI BATISTA</t>
  </si>
  <si>
    <t>SEPI MICHELE</t>
  </si>
  <si>
    <t>TADDEI EDY</t>
  </si>
  <si>
    <t>ALESIANI FABIO</t>
  </si>
  <si>
    <t>VITALI GIULIANO</t>
  </si>
  <si>
    <t>SOCIETA' AGRICOLA TERRE VERDI DI ZINGARETTI E SOCI S.S.</t>
  </si>
  <si>
    <t>SCORTICHINI EMILIA</t>
  </si>
  <si>
    <t>RUGGERI NAZZARENO</t>
  </si>
  <si>
    <t>ROSSI ANGELA</t>
  </si>
  <si>
    <t>MARINI PIETRO</t>
  </si>
  <si>
    <t>AZIENDA AGRICOLA F.LLI FORMICA</t>
  </si>
  <si>
    <t>SOCIETA' AGRICOLA GENTILESCHI ANDREA E CONTIGIANI CINZIA S.S</t>
  </si>
  <si>
    <t>MENGHIN RICHARD</t>
  </si>
  <si>
    <t>L.N. SOCIETA' AGRICOLA S.N.C. DI LODDO NICOLAU</t>
  </si>
  <si>
    <t>BERZIGOTTI ELENA</t>
  </si>
  <si>
    <t>GHIMIS DUMITRESCU MIRELA</t>
  </si>
  <si>
    <t>COSTANTINI NILVANA</t>
  </si>
  <si>
    <t>CANCELLIERI GIANFRANCO</t>
  </si>
  <si>
    <t>PIERSIMONI MARCELLO</t>
  </si>
  <si>
    <t>MORESCHI MADDALENA</t>
  </si>
  <si>
    <t>MONTEROTTI CLAUDIO</t>
  </si>
  <si>
    <t>CASELLI LUCA</t>
  </si>
  <si>
    <t>CASAVECCHIA GIANFRANCO</t>
  </si>
  <si>
    <t>CECCOLINI IRENE</t>
  </si>
  <si>
    <t>CASAGRANDE-CONTI SANDRO</t>
  </si>
  <si>
    <t>ROSELLI DANIELE</t>
  </si>
  <si>
    <t>DE SANTIS MARIA CANDIDA</t>
  </si>
  <si>
    <t>SOCIETA' AGRICOLA DRSILENZI S.S.</t>
  </si>
  <si>
    <t>CICCOLINI FABRIZIO</t>
  </si>
  <si>
    <t>GAGLIARDINI MAURO</t>
  </si>
  <si>
    <t>SOCIETA' AGRICOLA SEMPLICE GIARDINO AGRICOLO</t>
  </si>
  <si>
    <t>PRINCIPI PAOLO</t>
  </si>
  <si>
    <t>RIZZONI LORENZO</t>
  </si>
  <si>
    <t>GETSEMANI SOCIETA' SEMPLICE AGRICOLA</t>
  </si>
  <si>
    <t>PROSPERI STEFANO</t>
  </si>
  <si>
    <t>TESTARMATA FABIO</t>
  </si>
  <si>
    <t>PISAPIA VALENTINA</t>
  </si>
  <si>
    <t>CAPPONI GUGLIELMO</t>
  </si>
  <si>
    <t>SOCIETA' AGRICOLA PASCUCCI DI PASCUCCI EMANUELE E C. S.S.</t>
  </si>
  <si>
    <t>CEDI S.R.L.</t>
  </si>
  <si>
    <t>DE ANGELIS PAOLO</t>
  </si>
  <si>
    <t>SOCIETA' AGRICOLA F.LLI GOBBI S.S</t>
  </si>
  <si>
    <t>CARDINI VALENTINO</t>
  </si>
  <si>
    <t>BELARDINI MILIANO E FRANCESCO SOC.SEMP.</t>
  </si>
  <si>
    <t>BRANCHESI CLAUDIA</t>
  </si>
  <si>
    <t>FEDERICI GIUSEPPE</t>
  </si>
  <si>
    <t>SOCIETA' AGRICOLA "NUCES"SOCIETA' SEMPLICE</t>
  </si>
  <si>
    <t>TONTI GIORGIO</t>
  </si>
  <si>
    <t>DOMINICI SAMUELE</t>
  </si>
  <si>
    <t>ALLIERI DANIELE</t>
  </si>
  <si>
    <t>SPONZA SILVIA</t>
  </si>
  <si>
    <t>SOCIETA' AGRICOLA VALLONGA S.S.</t>
  </si>
  <si>
    <t>ORSOLINI FLAVIO</t>
  </si>
  <si>
    <t>I.I.S. "GARIBALDI-BRAMANTE-PANNAGGI"</t>
  </si>
  <si>
    <t>GIORGETTI GIOVANNELLA</t>
  </si>
  <si>
    <t>NUCCELLI FIORELLA</t>
  </si>
  <si>
    <t>CAMBERTONI DENISE</t>
  </si>
  <si>
    <t>BONGIOVANNI IGOR ALESSANDRO</t>
  </si>
  <si>
    <t>LOSAVIO GIACOMO</t>
  </si>
  <si>
    <t>CAA Coldiretti - ASCOLI PICENO - 015</t>
  </si>
  <si>
    <t>MRP SOCIETA' AGRICOLA SEMPLICE</t>
  </si>
  <si>
    <t>AZIENDA AGRARIA ANTINORI MARIA E ANTINORI GRAZIELLA SOCIETA' SEMPLICE</t>
  </si>
  <si>
    <t>CICCONI FEDERICO</t>
  </si>
  <si>
    <t>TARDIOLI MARIA GRAZIA</t>
  </si>
  <si>
    <t>LA GEMINA D'OR SRL</t>
  </si>
  <si>
    <t>SOCIETA' AGRICOLA ALEANDRI PAOLA &amp; TIZIANO SOCIETA' SEMPLICE</t>
  </si>
  <si>
    <t>CARDI TERESA</t>
  </si>
  <si>
    <t>BERDUCCI ROSSANO</t>
  </si>
  <si>
    <t>COCCI CRISTIANO</t>
  </si>
  <si>
    <t>BALLORIANI AMELIO</t>
  </si>
  <si>
    <t>VISSANI MIRKO</t>
  </si>
  <si>
    <t>VITA SIMONE</t>
  </si>
  <si>
    <t>GIANNINI GIORGIO</t>
  </si>
  <si>
    <t>RE GIUSEPPINA</t>
  </si>
  <si>
    <t>OLEIFICIO SILVESTRI ROSINA S.R.L.</t>
  </si>
  <si>
    <t>PACIAROTTI MATTEO</t>
  </si>
  <si>
    <t>SALVI GIOVANNI</t>
  </si>
  <si>
    <t>FIORETTI ALBERTO</t>
  </si>
  <si>
    <t>BUCCOLINI MARCO</t>
  </si>
  <si>
    <t>MIRCOLI ANDREA</t>
  </si>
  <si>
    <t>DE CAROLIS TIZIANO</t>
  </si>
  <si>
    <t>ROMITI SIMONE</t>
  </si>
  <si>
    <t>SOCIETA' AGRICOLA ZEPPILLO BENITO E MICARELLI ANNA MARIA EREDI SOCIETA</t>
  </si>
  <si>
    <t>SOCIETA AGRICOLA MACCARI FEDERICO S.S.</t>
  </si>
  <si>
    <t>ZANOTTA MARIA ALESSANDRA</t>
  </si>
  <si>
    <t>SEBASTIANI JOHNNY</t>
  </si>
  <si>
    <t>CHERUBINI LAURO</t>
  </si>
  <si>
    <t>SOCIETA' AGRICOLA ECCE POMO DI GUERRA MARCO E SERRAZANETTI DIANA-ISABE</t>
  </si>
  <si>
    <t>LULANI LUCA</t>
  </si>
  <si>
    <t>GIATTINI ETTORE</t>
  </si>
  <si>
    <t>SOCIETA' AGRICOLA TERRAVIVA S.S</t>
  </si>
  <si>
    <t>TIRANTI GRAZIANO</t>
  </si>
  <si>
    <t>SOLARI MARIA CRISTINA</t>
  </si>
  <si>
    <t>SOCIETA' AGRICOLA GREGORI GIOVANNI E LUIGI</t>
  </si>
  <si>
    <t>GABRIELLI MARIA FRANCESCA</t>
  </si>
  <si>
    <t>MOSCONI GIUSEPPE</t>
  </si>
  <si>
    <t>BACHETTI MARIO</t>
  </si>
  <si>
    <t>PASCALI GIACOMO</t>
  </si>
  <si>
    <t>PONZI TERESA</t>
  </si>
  <si>
    <t>SALTAMARTINI CATERINA</t>
  </si>
  <si>
    <t>ROSA MAURO</t>
  </si>
  <si>
    <t>GOBBI BRUNO</t>
  </si>
  <si>
    <t>DELLA MORA DAVID</t>
  </si>
  <si>
    <t>SOCIETA' AGRICOLA LA CASA ROSA DI CESARONI MARCO &amp; C. S.S.</t>
  </si>
  <si>
    <t>GALLI ANDREA</t>
  </si>
  <si>
    <t>CONOCCHIARI MARCO</t>
  </si>
  <si>
    <t>SOCIETA AGRICOLA AGRIBAU S.S.</t>
  </si>
  <si>
    <t>VITALI LUISELLA</t>
  </si>
  <si>
    <t>REBEZ LAUREATI PAOLO</t>
  </si>
  <si>
    <t>DOTTORI EDOARDO</t>
  </si>
  <si>
    <t>TULLI MATTEO</t>
  </si>
  <si>
    <t>MAGNA MATER SRL SOCIETA' AGRICOLA UNIPER</t>
  </si>
  <si>
    <t>MARIANI FRANCESCO</t>
  </si>
  <si>
    <t>SARGENTI GIORDANO</t>
  </si>
  <si>
    <t>ANTICA GASTRONOMIA DI ANDREOZZI SANDRA &amp; C. - S.N.C.</t>
  </si>
  <si>
    <t>CAA CIA - ANCONA - 001</t>
  </si>
  <si>
    <t>FATTORIA LUCESOLE S.N.C. DI MANINI MASSIMILIANO E MAURO SOCIETA' AGRIC</t>
  </si>
  <si>
    <t>PIERMATTEI JURI</t>
  </si>
  <si>
    <t>AGRIABILITA' COOP. SOCIALE</t>
  </si>
  <si>
    <t>ERCOLI CRISTIAN</t>
  </si>
  <si>
    <t>FILIPPOLI DAVIDE</t>
  </si>
  <si>
    <t>HORBATA MARIIA</t>
  </si>
  <si>
    <t>MASSI EUGENIO</t>
  </si>
  <si>
    <t>CASE ROSSE SOC. COOP. A R.L.</t>
  </si>
  <si>
    <t>SAVINI GIORGIO</t>
  </si>
  <si>
    <t>TOGNI GIORGIO</t>
  </si>
  <si>
    <t>PELLICCIA GIUSEPPE</t>
  </si>
  <si>
    <t>SOCIETA' AGRICOLA LA COLLINA DEGLI ULIVI S.S.</t>
  </si>
  <si>
    <t>SCUPPA GABRIELE</t>
  </si>
  <si>
    <t>AZIENDA AGRICOLA SAN BENEDETTO SOCIETA' SEMPLICE</t>
  </si>
  <si>
    <t>SENZACQUA GIACOMO</t>
  </si>
  <si>
    <t>GMG AGROFORESTALE SAS DI MARINOZZI GINO &amp; C.</t>
  </si>
  <si>
    <t>ROSSI VALENTINA</t>
  </si>
  <si>
    <t>SOCIETA' AGRICOLA LE CANTINE DEL CARDINALE DI CARDINALI GISELLE E C.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</si>
</sst>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on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4280"/>
  <sheetViews>
    <sheetView showGridLines="0" tabSelected="1" topLeftCell="J1" workbookViewId="0">
      <selection activeCell="P4" sqref="P4"/>
    </sheetView>
  </sheetViews>
  <sheetFormatPr defaultRowHeight="15" x14ac:dyDescent="0.25"/>
  <cols>
    <col min="1" max="1" width="15.5703125" style="1" bestFit="1" customWidth="1"/>
    <col min="2" max="2" width="17.7109375" style="1" bestFit="1" customWidth="1"/>
    <col min="3" max="3" width="7.28515625" style="1" bestFit="1" customWidth="1"/>
    <col min="4" max="4" width="32.42578125" style="1" bestFit="1" customWidth="1"/>
    <col min="5" max="5" width="36.42578125" style="1" bestFit="1" customWidth="1"/>
    <col min="6" max="6" width="36.5703125" style="1" bestFit="1" customWidth="1"/>
    <col min="7" max="7" width="36.42578125" style="1" bestFit="1" customWidth="1"/>
    <col min="8" max="8" width="36.5703125" style="1" bestFit="1" customWidth="1"/>
    <col min="9" max="9" width="8.42578125" style="1" bestFit="1" customWidth="1"/>
    <col min="10" max="10" width="12.85546875" style="1" bestFit="1" customWidth="1"/>
    <col min="11" max="11" width="25.5703125" style="1" bestFit="1" customWidth="1"/>
    <col min="12" max="12" width="17" style="1" bestFit="1" customWidth="1"/>
    <col min="13" max="13" width="8.28515625" style="1" bestFit="1" customWidth="1"/>
    <col min="14" max="14" width="4.42578125" style="1" bestFit="1" customWidth="1"/>
    <col min="15" max="15" width="36.5703125" style="1" bestFit="1" customWidth="1"/>
    <col min="16" max="16" width="18.42578125" style="1" bestFit="1" customWidth="1"/>
    <col min="17" max="17" width="18.85546875" style="1" bestFit="1" customWidth="1"/>
    <col min="18" max="18" width="23" style="1" bestFit="1" customWidth="1"/>
    <col min="19" max="19" width="16.28515625" style="1" bestFit="1" customWidth="1"/>
    <col min="20" max="20" width="17.85546875" style="1" bestFit="1" customWidth="1"/>
    <col min="21" max="21" width="20.28515625" style="1" bestFit="1" customWidth="1"/>
    <col min="22" max="22" width="18.42578125" style="1" bestFit="1" customWidth="1"/>
    <col min="23" max="23" width="24.5703125" style="1" bestFit="1" customWidth="1"/>
    <col min="24" max="25" width="27.140625" style="1" bestFit="1" customWidth="1"/>
    <col min="26" max="16384" width="9.140625" style="1"/>
  </cols>
  <sheetData>
    <row r="1" spans="1:25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8"/>
    </row>
    <row r="2" spans="1:25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</row>
    <row r="3" spans="1:25" ht="24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</row>
    <row r="4" spans="1:25" x14ac:dyDescent="0.25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30</v>
      </c>
      <c r="H4" s="3" t="s">
        <v>32</v>
      </c>
      <c r="I4" s="3">
        <v>2025</v>
      </c>
      <c r="J4" s="3" t="str">
        <f>CONCATENATE("54811149837")</f>
        <v>54811149837</v>
      </c>
      <c r="K4" s="3" t="s">
        <v>33</v>
      </c>
      <c r="L4" s="3"/>
      <c r="M4" s="3" t="s">
        <v>34</v>
      </c>
      <c r="N4" s="3" t="str">
        <f>CONCATENATE("02054690439")</f>
        <v>02054690439</v>
      </c>
      <c r="O4" s="3" t="s">
        <v>35</v>
      </c>
      <c r="P4" s="3" t="s">
        <v>36</v>
      </c>
      <c r="Q4" s="3"/>
      <c r="R4" s="4">
        <v>46000</v>
      </c>
      <c r="S4" s="3" t="s">
        <v>37</v>
      </c>
      <c r="T4" s="3" t="s">
        <v>38</v>
      </c>
      <c r="U4" s="3" t="s">
        <v>39</v>
      </c>
      <c r="V4" s="5">
        <v>2280</v>
      </c>
      <c r="W4" s="3">
        <v>969</v>
      </c>
      <c r="X4" s="3">
        <v>917.7</v>
      </c>
      <c r="Y4" s="3">
        <v>393.3</v>
      </c>
    </row>
    <row r="5" spans="1:25" x14ac:dyDescent="0.25">
      <c r="A5" s="3" t="s">
        <v>26</v>
      </c>
      <c r="B5" s="3" t="s">
        <v>27</v>
      </c>
      <c r="C5" s="3" t="s">
        <v>28</v>
      </c>
      <c r="D5" s="3" t="s">
        <v>40</v>
      </c>
      <c r="E5" s="3" t="s">
        <v>41</v>
      </c>
      <c r="F5" s="3" t="s">
        <v>42</v>
      </c>
      <c r="G5" s="3" t="s">
        <v>41</v>
      </c>
      <c r="H5" s="3" t="s">
        <v>32</v>
      </c>
      <c r="I5" s="3">
        <v>2025</v>
      </c>
      <c r="J5" s="3" t="str">
        <f>CONCATENATE("54810268331")</f>
        <v>54810268331</v>
      </c>
      <c r="K5" s="3" t="s">
        <v>33</v>
      </c>
      <c r="L5" s="3"/>
      <c r="M5" s="3" t="s">
        <v>34</v>
      </c>
      <c r="N5" s="3" t="str">
        <f>CONCATENATE("PRSMHL86S54I156V")</f>
        <v>PRSMHL86S54I156V</v>
      </c>
      <c r="O5" s="3" t="s">
        <v>43</v>
      </c>
      <c r="P5" s="3" t="s">
        <v>36</v>
      </c>
      <c r="Q5" s="3"/>
      <c r="R5" s="4">
        <v>46000</v>
      </c>
      <c r="S5" s="3" t="s">
        <v>37</v>
      </c>
      <c r="T5" s="3" t="s">
        <v>38</v>
      </c>
      <c r="U5" s="3" t="s">
        <v>39</v>
      </c>
      <c r="V5" s="3">
        <v>540</v>
      </c>
      <c r="W5" s="3">
        <v>229.5</v>
      </c>
      <c r="X5" s="3">
        <v>217.35</v>
      </c>
      <c r="Y5" s="3">
        <v>93.15</v>
      </c>
    </row>
    <row r="6" spans="1:25" ht="24.75" x14ac:dyDescent="0.25">
      <c r="A6" s="3" t="s">
        <v>26</v>
      </c>
      <c r="B6" s="3" t="s">
        <v>27</v>
      </c>
      <c r="C6" s="3" t="s">
        <v>28</v>
      </c>
      <c r="D6" s="3" t="s">
        <v>40</v>
      </c>
      <c r="E6" s="3" t="s">
        <v>44</v>
      </c>
      <c r="F6" s="3" t="s">
        <v>42</v>
      </c>
      <c r="G6" s="3" t="s">
        <v>44</v>
      </c>
      <c r="H6" s="3" t="s">
        <v>45</v>
      </c>
      <c r="I6" s="3">
        <v>2025</v>
      </c>
      <c r="J6" s="3" t="str">
        <f>CONCATENATE("54810429107")</f>
        <v>54810429107</v>
      </c>
      <c r="K6" s="3" t="s">
        <v>33</v>
      </c>
      <c r="L6" s="3"/>
      <c r="M6" s="3" t="s">
        <v>34</v>
      </c>
      <c r="N6" s="3" t="str">
        <f>CONCATENATE("02629240413")</f>
        <v>02629240413</v>
      </c>
      <c r="O6" s="3" t="s">
        <v>46</v>
      </c>
      <c r="P6" s="3" t="s">
        <v>36</v>
      </c>
      <c r="Q6" s="3"/>
      <c r="R6" s="4">
        <v>46000</v>
      </c>
      <c r="S6" s="3" t="s">
        <v>37</v>
      </c>
      <c r="T6" s="3" t="s">
        <v>38</v>
      </c>
      <c r="U6" s="3" t="s">
        <v>39</v>
      </c>
      <c r="V6" s="3">
        <v>180</v>
      </c>
      <c r="W6" s="3">
        <v>76.5</v>
      </c>
      <c r="X6" s="3">
        <v>72.45</v>
      </c>
      <c r="Y6" s="3">
        <v>31.05</v>
      </c>
    </row>
    <row r="7" spans="1:25" ht="24.7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47</v>
      </c>
      <c r="F7" s="3" t="s">
        <v>31</v>
      </c>
      <c r="G7" s="3" t="s">
        <v>47</v>
      </c>
      <c r="H7" s="3" t="s">
        <v>48</v>
      </c>
      <c r="I7" s="3">
        <v>2025</v>
      </c>
      <c r="J7" s="3" t="str">
        <f>CONCATENATE("54810657152")</f>
        <v>54810657152</v>
      </c>
      <c r="K7" s="3" t="s">
        <v>33</v>
      </c>
      <c r="L7" s="3"/>
      <c r="M7" s="3" t="s">
        <v>34</v>
      </c>
      <c r="N7" s="3" t="str">
        <f>CONCATENATE("81002710424")</f>
        <v>81002710424</v>
      </c>
      <c r="O7" s="3" t="s">
        <v>49</v>
      </c>
      <c r="P7" s="3" t="s">
        <v>36</v>
      </c>
      <c r="Q7" s="3"/>
      <c r="R7" s="4">
        <v>46000</v>
      </c>
      <c r="S7" s="3" t="s">
        <v>37</v>
      </c>
      <c r="T7" s="3" t="s">
        <v>38</v>
      </c>
      <c r="U7" s="3" t="s">
        <v>39</v>
      </c>
      <c r="V7" s="3">
        <v>135</v>
      </c>
      <c r="W7" s="3">
        <v>57.38</v>
      </c>
      <c r="X7" s="3">
        <v>54.34</v>
      </c>
      <c r="Y7" s="3">
        <v>23.28</v>
      </c>
    </row>
    <row r="8" spans="1:25" ht="24.75" x14ac:dyDescent="0.25">
      <c r="A8" s="3" t="s">
        <v>26</v>
      </c>
      <c r="B8" s="3" t="s">
        <v>27</v>
      </c>
      <c r="C8" s="3" t="s">
        <v>28</v>
      </c>
      <c r="D8" s="3" t="s">
        <v>50</v>
      </c>
      <c r="E8" s="3" t="s">
        <v>51</v>
      </c>
      <c r="F8" s="3" t="s">
        <v>52</v>
      </c>
      <c r="G8" s="3" t="s">
        <v>51</v>
      </c>
      <c r="H8" s="3" t="s">
        <v>48</v>
      </c>
      <c r="I8" s="3">
        <v>2025</v>
      </c>
      <c r="J8" s="3" t="str">
        <f>CONCATENATE("54810904232")</f>
        <v>54810904232</v>
      </c>
      <c r="K8" s="3" t="s">
        <v>33</v>
      </c>
      <c r="L8" s="3"/>
      <c r="M8" s="3" t="s">
        <v>34</v>
      </c>
      <c r="N8" s="3" t="str">
        <f>CONCATENATE("00973030422")</f>
        <v>00973030422</v>
      </c>
      <c r="O8" s="3" t="s">
        <v>53</v>
      </c>
      <c r="P8" s="3" t="s">
        <v>36</v>
      </c>
      <c r="Q8" s="3"/>
      <c r="R8" s="4">
        <v>46000</v>
      </c>
      <c r="S8" s="3" t="s">
        <v>37</v>
      </c>
      <c r="T8" s="3" t="s">
        <v>38</v>
      </c>
      <c r="U8" s="3" t="s">
        <v>39</v>
      </c>
      <c r="V8" s="5">
        <v>2400</v>
      </c>
      <c r="W8" s="5">
        <v>1020</v>
      </c>
      <c r="X8" s="3">
        <v>966</v>
      </c>
      <c r="Y8" s="3">
        <v>414</v>
      </c>
    </row>
    <row r="9" spans="1:25" ht="24.75" x14ac:dyDescent="0.25">
      <c r="A9" s="3" t="s">
        <v>26</v>
      </c>
      <c r="B9" s="3" t="s">
        <v>27</v>
      </c>
      <c r="C9" s="3" t="s">
        <v>28</v>
      </c>
      <c r="D9" s="3" t="s">
        <v>40</v>
      </c>
      <c r="E9" s="3" t="s">
        <v>54</v>
      </c>
      <c r="F9" s="3" t="s">
        <v>42</v>
      </c>
      <c r="G9" s="3" t="s">
        <v>54</v>
      </c>
      <c r="H9" s="3" t="s">
        <v>45</v>
      </c>
      <c r="I9" s="3">
        <v>2025</v>
      </c>
      <c r="J9" s="3" t="str">
        <f>CONCATENATE("54810220217")</f>
        <v>54810220217</v>
      </c>
      <c r="K9" s="3" t="s">
        <v>33</v>
      </c>
      <c r="L9" s="3"/>
      <c r="M9" s="3" t="s">
        <v>34</v>
      </c>
      <c r="N9" s="3" t="str">
        <f>CONCATENATE("02099510410")</f>
        <v>02099510410</v>
      </c>
      <c r="O9" s="3" t="s">
        <v>55</v>
      </c>
      <c r="P9" s="3" t="s">
        <v>36</v>
      </c>
      <c r="Q9" s="3"/>
      <c r="R9" s="4">
        <v>46000</v>
      </c>
      <c r="S9" s="3" t="s">
        <v>37</v>
      </c>
      <c r="T9" s="3" t="s">
        <v>38</v>
      </c>
      <c r="U9" s="3" t="s">
        <v>39</v>
      </c>
      <c r="V9" s="3">
        <v>720</v>
      </c>
      <c r="W9" s="3">
        <v>306</v>
      </c>
      <c r="X9" s="3">
        <v>289.8</v>
      </c>
      <c r="Y9" s="3">
        <v>124.2</v>
      </c>
    </row>
    <row r="10" spans="1:25" x14ac:dyDescent="0.25">
      <c r="A10" s="3" t="s">
        <v>26</v>
      </c>
      <c r="B10" s="3" t="s">
        <v>27</v>
      </c>
      <c r="C10" s="3" t="s">
        <v>28</v>
      </c>
      <c r="D10" s="3" t="s">
        <v>29</v>
      </c>
      <c r="E10" s="3" t="s">
        <v>56</v>
      </c>
      <c r="F10" s="3" t="s">
        <v>31</v>
      </c>
      <c r="G10" s="3" t="s">
        <v>56</v>
      </c>
      <c r="H10" s="3" t="s">
        <v>32</v>
      </c>
      <c r="I10" s="3">
        <v>2025</v>
      </c>
      <c r="J10" s="3" t="str">
        <f>CONCATENATE("54811184503")</f>
        <v>54811184503</v>
      </c>
      <c r="K10" s="3" t="s">
        <v>33</v>
      </c>
      <c r="L10" s="3"/>
      <c r="M10" s="3" t="s">
        <v>34</v>
      </c>
      <c r="N10" s="3" t="str">
        <f>CONCATENATE("LRNLDA58R01F051V")</f>
        <v>LRNLDA58R01F051V</v>
      </c>
      <c r="O10" s="3" t="s">
        <v>57</v>
      </c>
      <c r="P10" s="3" t="s">
        <v>36</v>
      </c>
      <c r="Q10" s="3"/>
      <c r="R10" s="4">
        <v>46000</v>
      </c>
      <c r="S10" s="3" t="s">
        <v>37</v>
      </c>
      <c r="T10" s="3" t="s">
        <v>38</v>
      </c>
      <c r="U10" s="3" t="s">
        <v>39</v>
      </c>
      <c r="V10" s="3">
        <v>210</v>
      </c>
      <c r="W10" s="3">
        <v>89.25</v>
      </c>
      <c r="X10" s="3">
        <v>84.53</v>
      </c>
      <c r="Y10" s="3">
        <v>36.22</v>
      </c>
    </row>
    <row r="11" spans="1:25" ht="24.75" x14ac:dyDescent="0.25">
      <c r="A11" s="3" t="s">
        <v>26</v>
      </c>
      <c r="B11" s="3" t="s">
        <v>27</v>
      </c>
      <c r="C11" s="3" t="s">
        <v>28</v>
      </c>
      <c r="D11" s="3" t="s">
        <v>50</v>
      </c>
      <c r="E11" s="3" t="s">
        <v>51</v>
      </c>
      <c r="F11" s="3" t="s">
        <v>52</v>
      </c>
      <c r="G11" s="3" t="s">
        <v>51</v>
      </c>
      <c r="H11" s="3" t="s">
        <v>48</v>
      </c>
      <c r="I11" s="3">
        <v>2025</v>
      </c>
      <c r="J11" s="3" t="str">
        <f>CONCATENATE("54810946142")</f>
        <v>54810946142</v>
      </c>
      <c r="K11" s="3" t="s">
        <v>33</v>
      </c>
      <c r="L11" s="3"/>
      <c r="M11" s="3" t="s">
        <v>34</v>
      </c>
      <c r="N11" s="3" t="str">
        <f>CONCATENATE("GMBCLD82L53D451M")</f>
        <v>GMBCLD82L53D451M</v>
      </c>
      <c r="O11" s="3" t="s">
        <v>58</v>
      </c>
      <c r="P11" s="3" t="s">
        <v>36</v>
      </c>
      <c r="Q11" s="3"/>
      <c r="R11" s="4">
        <v>46000</v>
      </c>
      <c r="S11" s="3" t="s">
        <v>37</v>
      </c>
      <c r="T11" s="3" t="s">
        <v>38</v>
      </c>
      <c r="U11" s="3" t="s">
        <v>39</v>
      </c>
      <c r="V11" s="3">
        <v>60</v>
      </c>
      <c r="W11" s="3">
        <v>25.5</v>
      </c>
      <c r="X11" s="3">
        <v>24.15</v>
      </c>
      <c r="Y11" s="3">
        <v>10.35</v>
      </c>
    </row>
    <row r="12" spans="1:25" x14ac:dyDescent="0.25">
      <c r="A12" s="3" t="s">
        <v>26</v>
      </c>
      <c r="B12" s="3" t="s">
        <v>27</v>
      </c>
      <c r="C12" s="3" t="s">
        <v>28</v>
      </c>
      <c r="D12" s="3" t="s">
        <v>29</v>
      </c>
      <c r="E12" s="3" t="s">
        <v>56</v>
      </c>
      <c r="F12" s="3" t="s">
        <v>31</v>
      </c>
      <c r="G12" s="3" t="s">
        <v>56</v>
      </c>
      <c r="H12" s="3" t="s">
        <v>32</v>
      </c>
      <c r="I12" s="3">
        <v>2025</v>
      </c>
      <c r="J12" s="3" t="str">
        <f>CONCATENATE("54811185310")</f>
        <v>54811185310</v>
      </c>
      <c r="K12" s="3" t="s">
        <v>33</v>
      </c>
      <c r="L12" s="3"/>
      <c r="M12" s="3" t="s">
        <v>34</v>
      </c>
      <c r="N12" s="3" t="str">
        <f>CONCATENATE("01917330431")</f>
        <v>01917330431</v>
      </c>
      <c r="O12" s="3" t="s">
        <v>59</v>
      </c>
      <c r="P12" s="3" t="s">
        <v>36</v>
      </c>
      <c r="Q12" s="3"/>
      <c r="R12" s="4">
        <v>46000</v>
      </c>
      <c r="S12" s="3" t="s">
        <v>37</v>
      </c>
      <c r="T12" s="3" t="s">
        <v>38</v>
      </c>
      <c r="U12" s="3" t="s">
        <v>39</v>
      </c>
      <c r="V12" s="3">
        <v>180</v>
      </c>
      <c r="W12" s="3">
        <v>76.5</v>
      </c>
      <c r="X12" s="3">
        <v>72.45</v>
      </c>
      <c r="Y12" s="3">
        <v>31.05</v>
      </c>
    </row>
    <row r="13" spans="1:25" ht="24.75" x14ac:dyDescent="0.25">
      <c r="A13" s="3" t="s">
        <v>26</v>
      </c>
      <c r="B13" s="3" t="s">
        <v>27</v>
      </c>
      <c r="C13" s="3" t="s">
        <v>28</v>
      </c>
      <c r="D13" s="3" t="s">
        <v>50</v>
      </c>
      <c r="E13" s="3" t="s">
        <v>60</v>
      </c>
      <c r="F13" s="3" t="s">
        <v>52</v>
      </c>
      <c r="G13" s="3" t="s">
        <v>60</v>
      </c>
      <c r="H13" s="3" t="s">
        <v>45</v>
      </c>
      <c r="I13" s="3">
        <v>2025</v>
      </c>
      <c r="J13" s="3" t="str">
        <f>CONCATENATE("54810906799")</f>
        <v>54810906799</v>
      </c>
      <c r="K13" s="3" t="s">
        <v>33</v>
      </c>
      <c r="L13" s="3"/>
      <c r="M13" s="3" t="s">
        <v>34</v>
      </c>
      <c r="N13" s="3" t="str">
        <f>CONCATENATE("LCRGCM79M16B352L")</f>
        <v>LCRGCM79M16B352L</v>
      </c>
      <c r="O13" s="3" t="s">
        <v>61</v>
      </c>
      <c r="P13" s="3" t="s">
        <v>36</v>
      </c>
      <c r="Q13" s="3"/>
      <c r="R13" s="4">
        <v>46000</v>
      </c>
      <c r="S13" s="3" t="s">
        <v>37</v>
      </c>
      <c r="T13" s="3" t="s">
        <v>38</v>
      </c>
      <c r="U13" s="3" t="s">
        <v>39</v>
      </c>
      <c r="V13" s="3">
        <v>480</v>
      </c>
      <c r="W13" s="3">
        <v>204</v>
      </c>
      <c r="X13" s="3">
        <v>193.2</v>
      </c>
      <c r="Y13" s="3">
        <v>82.8</v>
      </c>
    </row>
    <row r="14" spans="1:25" ht="24.75" x14ac:dyDescent="0.25">
      <c r="A14" s="3" t="s">
        <v>26</v>
      </c>
      <c r="B14" s="3" t="s">
        <v>27</v>
      </c>
      <c r="C14" s="3" t="s">
        <v>28</v>
      </c>
      <c r="D14" s="3" t="s">
        <v>50</v>
      </c>
      <c r="E14" s="3" t="s">
        <v>60</v>
      </c>
      <c r="F14" s="3" t="s">
        <v>52</v>
      </c>
      <c r="G14" s="3" t="s">
        <v>60</v>
      </c>
      <c r="H14" s="3" t="s">
        <v>45</v>
      </c>
      <c r="I14" s="3">
        <v>2025</v>
      </c>
      <c r="J14" s="3" t="str">
        <f>CONCATENATE("54810991841")</f>
        <v>54810991841</v>
      </c>
      <c r="K14" s="3" t="s">
        <v>33</v>
      </c>
      <c r="L14" s="3"/>
      <c r="M14" s="3" t="s">
        <v>34</v>
      </c>
      <c r="N14" s="3" t="str">
        <f>CONCATENATE("GNTGPP55P25B636G")</f>
        <v>GNTGPP55P25B636G</v>
      </c>
      <c r="O14" s="3" t="s">
        <v>62</v>
      </c>
      <c r="P14" s="3" t="s">
        <v>36</v>
      </c>
      <c r="Q14" s="3"/>
      <c r="R14" s="4">
        <v>46000</v>
      </c>
      <c r="S14" s="3" t="s">
        <v>37</v>
      </c>
      <c r="T14" s="3" t="s">
        <v>38</v>
      </c>
      <c r="U14" s="3" t="s">
        <v>39</v>
      </c>
      <c r="V14" s="5">
        <v>1200</v>
      </c>
      <c r="W14" s="3">
        <v>510</v>
      </c>
      <c r="X14" s="3">
        <v>483</v>
      </c>
      <c r="Y14" s="3">
        <v>207</v>
      </c>
    </row>
    <row r="15" spans="1:25" ht="24.75" x14ac:dyDescent="0.25">
      <c r="A15" s="3" t="s">
        <v>26</v>
      </c>
      <c r="B15" s="3" t="s">
        <v>27</v>
      </c>
      <c r="C15" s="3" t="s">
        <v>28</v>
      </c>
      <c r="D15" s="3" t="s">
        <v>29</v>
      </c>
      <c r="E15" s="3" t="s">
        <v>47</v>
      </c>
      <c r="F15" s="3" t="s">
        <v>31</v>
      </c>
      <c r="G15" s="3" t="s">
        <v>47</v>
      </c>
      <c r="H15" s="3" t="s">
        <v>48</v>
      </c>
      <c r="I15" s="3">
        <v>2025</v>
      </c>
      <c r="J15" s="3" t="str">
        <f>CONCATENATE("54810898921")</f>
        <v>54810898921</v>
      </c>
      <c r="K15" s="3" t="s">
        <v>33</v>
      </c>
      <c r="L15" s="3"/>
      <c r="M15" s="3" t="s">
        <v>34</v>
      </c>
      <c r="N15" s="3" t="str">
        <f>CONCATENATE("NGLMNL88E02D451B")</f>
        <v>NGLMNL88E02D451B</v>
      </c>
      <c r="O15" s="3" t="s">
        <v>63</v>
      </c>
      <c r="P15" s="3" t="s">
        <v>36</v>
      </c>
      <c r="Q15" s="3"/>
      <c r="R15" s="4">
        <v>46000</v>
      </c>
      <c r="S15" s="3" t="s">
        <v>37</v>
      </c>
      <c r="T15" s="3" t="s">
        <v>38</v>
      </c>
      <c r="U15" s="3" t="s">
        <v>39</v>
      </c>
      <c r="V15" s="3">
        <v>240</v>
      </c>
      <c r="W15" s="3">
        <v>102</v>
      </c>
      <c r="X15" s="3">
        <v>96.6</v>
      </c>
      <c r="Y15" s="3">
        <v>41.4</v>
      </c>
    </row>
    <row r="16" spans="1:25" x14ac:dyDescent="0.25">
      <c r="A16" s="3" t="s">
        <v>26</v>
      </c>
      <c r="B16" s="3" t="s">
        <v>27</v>
      </c>
      <c r="C16" s="3" t="s">
        <v>28</v>
      </c>
      <c r="D16" s="3" t="s">
        <v>29</v>
      </c>
      <c r="E16" s="3" t="s">
        <v>30</v>
      </c>
      <c r="F16" s="3" t="s">
        <v>31</v>
      </c>
      <c r="G16" s="3" t="s">
        <v>30</v>
      </c>
      <c r="H16" s="3" t="s">
        <v>32</v>
      </c>
      <c r="I16" s="3">
        <v>2025</v>
      </c>
      <c r="J16" s="3" t="str">
        <f>CONCATENATE("54811443636")</f>
        <v>54811443636</v>
      </c>
      <c r="K16" s="3" t="s">
        <v>33</v>
      </c>
      <c r="L16" s="3"/>
      <c r="M16" s="3" t="s">
        <v>34</v>
      </c>
      <c r="N16" s="3" t="str">
        <f>CONCATENATE("SCLRND93L22D024E")</f>
        <v>SCLRND93L22D024E</v>
      </c>
      <c r="O16" s="3" t="s">
        <v>64</v>
      </c>
      <c r="P16" s="3" t="s">
        <v>36</v>
      </c>
      <c r="Q16" s="3"/>
      <c r="R16" s="4">
        <v>46000</v>
      </c>
      <c r="S16" s="3" t="s">
        <v>37</v>
      </c>
      <c r="T16" s="3" t="s">
        <v>38</v>
      </c>
      <c r="U16" s="3" t="s">
        <v>39</v>
      </c>
      <c r="V16" s="3">
        <v>780</v>
      </c>
      <c r="W16" s="3">
        <v>331.5</v>
      </c>
      <c r="X16" s="3">
        <v>313.95</v>
      </c>
      <c r="Y16" s="3">
        <v>134.55000000000001</v>
      </c>
    </row>
    <row r="17" spans="1:25" ht="24.75" x14ac:dyDescent="0.25">
      <c r="A17" s="3" t="s">
        <v>26</v>
      </c>
      <c r="B17" s="3" t="s">
        <v>27</v>
      </c>
      <c r="C17" s="3" t="s">
        <v>28</v>
      </c>
      <c r="D17" s="3" t="s">
        <v>29</v>
      </c>
      <c r="E17" s="3" t="s">
        <v>65</v>
      </c>
      <c r="F17" s="3" t="s">
        <v>31</v>
      </c>
      <c r="G17" s="3" t="s">
        <v>65</v>
      </c>
      <c r="H17" s="3" t="s">
        <v>45</v>
      </c>
      <c r="I17" s="3">
        <v>2025</v>
      </c>
      <c r="J17" s="3" t="str">
        <f>CONCATENATE("54810895075")</f>
        <v>54810895075</v>
      </c>
      <c r="K17" s="3" t="s">
        <v>33</v>
      </c>
      <c r="L17" s="3"/>
      <c r="M17" s="3" t="s">
        <v>34</v>
      </c>
      <c r="N17" s="3" t="str">
        <f>CONCATENATE("03783410545")</f>
        <v>03783410545</v>
      </c>
      <c r="O17" s="3" t="s">
        <v>66</v>
      </c>
      <c r="P17" s="3" t="s">
        <v>36</v>
      </c>
      <c r="Q17" s="3"/>
      <c r="R17" s="4">
        <v>46000</v>
      </c>
      <c r="S17" s="3" t="s">
        <v>37</v>
      </c>
      <c r="T17" s="3" t="s">
        <v>38</v>
      </c>
      <c r="U17" s="3" t="s">
        <v>39</v>
      </c>
      <c r="V17" s="5">
        <v>3600</v>
      </c>
      <c r="W17" s="5">
        <v>1530</v>
      </c>
      <c r="X17" s="5">
        <v>1449</v>
      </c>
      <c r="Y17" s="3">
        <v>621</v>
      </c>
    </row>
    <row r="18" spans="1:25" x14ac:dyDescent="0.25">
      <c r="A18" s="3" t="s">
        <v>26</v>
      </c>
      <c r="B18" s="3" t="s">
        <v>27</v>
      </c>
      <c r="C18" s="3" t="s">
        <v>28</v>
      </c>
      <c r="D18" s="3" t="s">
        <v>40</v>
      </c>
      <c r="E18" s="3" t="s">
        <v>41</v>
      </c>
      <c r="F18" s="3" t="s">
        <v>42</v>
      </c>
      <c r="G18" s="3" t="s">
        <v>41</v>
      </c>
      <c r="H18" s="3" t="s">
        <v>32</v>
      </c>
      <c r="I18" s="3">
        <v>2025</v>
      </c>
      <c r="J18" s="3" t="str">
        <f>CONCATENATE("54810916269")</f>
        <v>54810916269</v>
      </c>
      <c r="K18" s="3" t="s">
        <v>33</v>
      </c>
      <c r="L18" s="3"/>
      <c r="M18" s="3" t="s">
        <v>34</v>
      </c>
      <c r="N18" s="3" t="str">
        <f>CONCATENATE("BNDRCR90C02B474M")</f>
        <v>BNDRCR90C02B474M</v>
      </c>
      <c r="O18" s="3" t="s">
        <v>67</v>
      </c>
      <c r="P18" s="3" t="s">
        <v>36</v>
      </c>
      <c r="Q18" s="3"/>
      <c r="R18" s="4">
        <v>46000</v>
      </c>
      <c r="S18" s="3" t="s">
        <v>37</v>
      </c>
      <c r="T18" s="3" t="s">
        <v>38</v>
      </c>
      <c r="U18" s="3" t="s">
        <v>39</v>
      </c>
      <c r="V18" s="3">
        <v>445.5</v>
      </c>
      <c r="W18" s="3">
        <v>189.34</v>
      </c>
      <c r="X18" s="3">
        <v>179.31</v>
      </c>
      <c r="Y18" s="3">
        <v>76.849999999999994</v>
      </c>
    </row>
    <row r="19" spans="1:25" x14ac:dyDescent="0.25">
      <c r="A19" s="3" t="s">
        <v>26</v>
      </c>
      <c r="B19" s="3" t="s">
        <v>27</v>
      </c>
      <c r="C19" s="3" t="s">
        <v>28</v>
      </c>
      <c r="D19" s="3" t="s">
        <v>29</v>
      </c>
      <c r="E19" s="3" t="s">
        <v>68</v>
      </c>
      <c r="F19" s="3" t="s">
        <v>31</v>
      </c>
      <c r="G19" s="3" t="s">
        <v>68</v>
      </c>
      <c r="H19" s="3" t="s">
        <v>32</v>
      </c>
      <c r="I19" s="3">
        <v>2025</v>
      </c>
      <c r="J19" s="3" t="str">
        <f>CONCATENATE("54810870508")</f>
        <v>54810870508</v>
      </c>
      <c r="K19" s="3" t="s">
        <v>33</v>
      </c>
      <c r="L19" s="3"/>
      <c r="M19" s="3" t="s">
        <v>34</v>
      </c>
      <c r="N19" s="3" t="str">
        <f>CONCATENATE("CNCLRT54D19B474D")</f>
        <v>CNCLRT54D19B474D</v>
      </c>
      <c r="O19" s="3" t="s">
        <v>69</v>
      </c>
      <c r="P19" s="3" t="s">
        <v>36</v>
      </c>
      <c r="Q19" s="3"/>
      <c r="R19" s="4">
        <v>46000</v>
      </c>
      <c r="S19" s="3" t="s">
        <v>37</v>
      </c>
      <c r="T19" s="3" t="s">
        <v>38</v>
      </c>
      <c r="U19" s="3" t="s">
        <v>39</v>
      </c>
      <c r="V19" s="3">
        <v>480</v>
      </c>
      <c r="W19" s="3">
        <v>204</v>
      </c>
      <c r="X19" s="3">
        <v>193.2</v>
      </c>
      <c r="Y19" s="3">
        <v>82.8</v>
      </c>
    </row>
    <row r="20" spans="1:25" ht="24.75" x14ac:dyDescent="0.25">
      <c r="A20" s="3" t="s">
        <v>26</v>
      </c>
      <c r="B20" s="3" t="s">
        <v>27</v>
      </c>
      <c r="C20" s="3" t="s">
        <v>28</v>
      </c>
      <c r="D20" s="3" t="s">
        <v>50</v>
      </c>
      <c r="E20" s="3" t="s">
        <v>60</v>
      </c>
      <c r="F20" s="3" t="s">
        <v>52</v>
      </c>
      <c r="G20" s="3" t="s">
        <v>60</v>
      </c>
      <c r="H20" s="3" t="s">
        <v>45</v>
      </c>
      <c r="I20" s="3">
        <v>2025</v>
      </c>
      <c r="J20" s="3" t="str">
        <f>CONCATENATE("54810576451")</f>
        <v>54810576451</v>
      </c>
      <c r="K20" s="3" t="s">
        <v>33</v>
      </c>
      <c r="L20" s="3"/>
      <c r="M20" s="3" t="s">
        <v>34</v>
      </c>
      <c r="N20" s="3" t="str">
        <f>CONCATENATE("RVLMRC75A17G453T")</f>
        <v>RVLMRC75A17G453T</v>
      </c>
      <c r="O20" s="3" t="s">
        <v>70</v>
      </c>
      <c r="P20" s="3" t="s">
        <v>36</v>
      </c>
      <c r="Q20" s="3"/>
      <c r="R20" s="4">
        <v>46000</v>
      </c>
      <c r="S20" s="3" t="s">
        <v>37</v>
      </c>
      <c r="T20" s="3" t="s">
        <v>38</v>
      </c>
      <c r="U20" s="3" t="s">
        <v>39</v>
      </c>
      <c r="V20" s="3">
        <v>480</v>
      </c>
      <c r="W20" s="3">
        <v>204</v>
      </c>
      <c r="X20" s="3">
        <v>193.2</v>
      </c>
      <c r="Y20" s="3">
        <v>82.8</v>
      </c>
    </row>
    <row r="21" spans="1:25" ht="24.75" x14ac:dyDescent="0.25">
      <c r="A21" s="3" t="s">
        <v>26</v>
      </c>
      <c r="B21" s="3" t="s">
        <v>27</v>
      </c>
      <c r="C21" s="3" t="s">
        <v>28</v>
      </c>
      <c r="D21" s="3" t="s">
        <v>50</v>
      </c>
      <c r="E21" s="3" t="s">
        <v>60</v>
      </c>
      <c r="F21" s="3" t="s">
        <v>52</v>
      </c>
      <c r="G21" s="3" t="s">
        <v>60</v>
      </c>
      <c r="H21" s="3" t="s">
        <v>45</v>
      </c>
      <c r="I21" s="3">
        <v>2025</v>
      </c>
      <c r="J21" s="3" t="str">
        <f>CONCATENATE("54811029708")</f>
        <v>54811029708</v>
      </c>
      <c r="K21" s="3" t="s">
        <v>33</v>
      </c>
      <c r="L21" s="3"/>
      <c r="M21" s="3" t="s">
        <v>34</v>
      </c>
      <c r="N21" s="3" t="str">
        <f>CONCATENATE("CMBMRT77M60B352T")</f>
        <v>CMBMRT77M60B352T</v>
      </c>
      <c r="O21" s="3" t="s">
        <v>71</v>
      </c>
      <c r="P21" s="3" t="s">
        <v>36</v>
      </c>
      <c r="Q21" s="3"/>
      <c r="R21" s="4">
        <v>46000</v>
      </c>
      <c r="S21" s="3" t="s">
        <v>37</v>
      </c>
      <c r="T21" s="3" t="s">
        <v>38</v>
      </c>
      <c r="U21" s="3" t="s">
        <v>39</v>
      </c>
      <c r="V21" s="5">
        <v>1320</v>
      </c>
      <c r="W21" s="3">
        <v>561</v>
      </c>
      <c r="X21" s="3">
        <v>531.29999999999995</v>
      </c>
      <c r="Y21" s="3">
        <v>227.7</v>
      </c>
    </row>
    <row r="22" spans="1:25" ht="24.75" x14ac:dyDescent="0.25">
      <c r="A22" s="3" t="s">
        <v>26</v>
      </c>
      <c r="B22" s="3" t="s">
        <v>27</v>
      </c>
      <c r="C22" s="3" t="s">
        <v>28</v>
      </c>
      <c r="D22" s="3" t="s">
        <v>29</v>
      </c>
      <c r="E22" s="3" t="s">
        <v>72</v>
      </c>
      <c r="F22" s="3" t="s">
        <v>31</v>
      </c>
      <c r="G22" s="3" t="s">
        <v>72</v>
      </c>
      <c r="H22" s="3" t="s">
        <v>45</v>
      </c>
      <c r="I22" s="3">
        <v>2025</v>
      </c>
      <c r="J22" s="3" t="str">
        <f>CONCATENATE("54810918612")</f>
        <v>54810918612</v>
      </c>
      <c r="K22" s="3" t="s">
        <v>33</v>
      </c>
      <c r="L22" s="3"/>
      <c r="M22" s="3" t="s">
        <v>34</v>
      </c>
      <c r="N22" s="3" t="str">
        <f>CONCATENATE("DRUFNC63C69B636V")</f>
        <v>DRUFNC63C69B636V</v>
      </c>
      <c r="O22" s="3" t="s">
        <v>73</v>
      </c>
      <c r="P22" s="3" t="s">
        <v>36</v>
      </c>
      <c r="Q22" s="3"/>
      <c r="R22" s="4">
        <v>46000</v>
      </c>
      <c r="S22" s="3" t="s">
        <v>37</v>
      </c>
      <c r="T22" s="3" t="s">
        <v>38</v>
      </c>
      <c r="U22" s="3" t="s">
        <v>39</v>
      </c>
      <c r="V22" s="5">
        <v>1920</v>
      </c>
      <c r="W22" s="3">
        <v>816</v>
      </c>
      <c r="X22" s="3">
        <v>772.8</v>
      </c>
      <c r="Y22" s="3">
        <v>331.2</v>
      </c>
    </row>
    <row r="23" spans="1:25" ht="24.75" x14ac:dyDescent="0.25">
      <c r="A23" s="3" t="s">
        <v>26</v>
      </c>
      <c r="B23" s="3" t="s">
        <v>27</v>
      </c>
      <c r="C23" s="3" t="s">
        <v>28</v>
      </c>
      <c r="D23" s="3" t="s">
        <v>29</v>
      </c>
      <c r="E23" s="3" t="s">
        <v>72</v>
      </c>
      <c r="F23" s="3" t="s">
        <v>31</v>
      </c>
      <c r="G23" s="3" t="s">
        <v>72</v>
      </c>
      <c r="H23" s="3" t="s">
        <v>45</v>
      </c>
      <c r="I23" s="3">
        <v>2025</v>
      </c>
      <c r="J23" s="3" t="str">
        <f>CONCATENATE("54811162475")</f>
        <v>54811162475</v>
      </c>
      <c r="K23" s="3" t="s">
        <v>33</v>
      </c>
      <c r="L23" s="3"/>
      <c r="M23" s="3" t="s">
        <v>34</v>
      </c>
      <c r="N23" s="3" t="str">
        <f>CONCATENATE("TRVRRT68E23B636E")</f>
        <v>TRVRRT68E23B636E</v>
      </c>
      <c r="O23" s="3" t="s">
        <v>74</v>
      </c>
      <c r="P23" s="3" t="s">
        <v>36</v>
      </c>
      <c r="Q23" s="3"/>
      <c r="R23" s="4">
        <v>46000</v>
      </c>
      <c r="S23" s="3" t="s">
        <v>37</v>
      </c>
      <c r="T23" s="3" t="s">
        <v>38</v>
      </c>
      <c r="U23" s="3" t="s">
        <v>39</v>
      </c>
      <c r="V23" s="3">
        <v>360</v>
      </c>
      <c r="W23" s="3">
        <v>153</v>
      </c>
      <c r="X23" s="3">
        <v>144.9</v>
      </c>
      <c r="Y23" s="3">
        <v>62.1</v>
      </c>
    </row>
    <row r="24" spans="1:25" x14ac:dyDescent="0.25">
      <c r="A24" s="3" t="s">
        <v>26</v>
      </c>
      <c r="B24" s="3" t="s">
        <v>27</v>
      </c>
      <c r="C24" s="3" t="s">
        <v>28</v>
      </c>
      <c r="D24" s="3" t="s">
        <v>40</v>
      </c>
      <c r="E24" s="3" t="s">
        <v>41</v>
      </c>
      <c r="F24" s="3" t="s">
        <v>42</v>
      </c>
      <c r="G24" s="3" t="s">
        <v>41</v>
      </c>
      <c r="H24" s="3" t="s">
        <v>32</v>
      </c>
      <c r="I24" s="3">
        <v>2025</v>
      </c>
      <c r="J24" s="3" t="str">
        <f>CONCATENATE("54810223732")</f>
        <v>54810223732</v>
      </c>
      <c r="K24" s="3" t="s">
        <v>33</v>
      </c>
      <c r="L24" s="3"/>
      <c r="M24" s="3" t="s">
        <v>34</v>
      </c>
      <c r="N24" s="3" t="str">
        <f>CONCATENATE("LTTGNB95T03B474H")</f>
        <v>LTTGNB95T03B474H</v>
      </c>
      <c r="O24" s="3" t="s">
        <v>75</v>
      </c>
      <c r="P24" s="3" t="s">
        <v>36</v>
      </c>
      <c r="Q24" s="3"/>
      <c r="R24" s="4">
        <v>46000</v>
      </c>
      <c r="S24" s="3" t="s">
        <v>37</v>
      </c>
      <c r="T24" s="3" t="s">
        <v>38</v>
      </c>
      <c r="U24" s="3" t="s">
        <v>39</v>
      </c>
      <c r="V24" s="3">
        <v>660</v>
      </c>
      <c r="W24" s="3">
        <v>280.5</v>
      </c>
      <c r="X24" s="3">
        <v>265.64999999999998</v>
      </c>
      <c r="Y24" s="3">
        <v>113.85</v>
      </c>
    </row>
    <row r="25" spans="1:25" ht="24.75" x14ac:dyDescent="0.25">
      <c r="A25" s="3" t="s">
        <v>26</v>
      </c>
      <c r="B25" s="3" t="s">
        <v>27</v>
      </c>
      <c r="C25" s="3" t="s">
        <v>28</v>
      </c>
      <c r="D25" s="3" t="s">
        <v>29</v>
      </c>
      <c r="E25" s="3" t="s">
        <v>72</v>
      </c>
      <c r="F25" s="3" t="s">
        <v>31</v>
      </c>
      <c r="G25" s="3" t="s">
        <v>72</v>
      </c>
      <c r="H25" s="3" t="s">
        <v>45</v>
      </c>
      <c r="I25" s="3">
        <v>2025</v>
      </c>
      <c r="J25" s="3" t="str">
        <f>CONCATENATE("54811078853")</f>
        <v>54811078853</v>
      </c>
      <c r="K25" s="3" t="s">
        <v>33</v>
      </c>
      <c r="L25" s="3"/>
      <c r="M25" s="3" t="s">
        <v>34</v>
      </c>
      <c r="N25" s="3" t="str">
        <f>CONCATENATE("SBSMSM74B16E256X")</f>
        <v>SBSMSM74B16E256X</v>
      </c>
      <c r="O25" s="3" t="s">
        <v>76</v>
      </c>
      <c r="P25" s="3" t="s">
        <v>36</v>
      </c>
      <c r="Q25" s="3"/>
      <c r="R25" s="4">
        <v>46000</v>
      </c>
      <c r="S25" s="3" t="s">
        <v>37</v>
      </c>
      <c r="T25" s="3" t="s">
        <v>38</v>
      </c>
      <c r="U25" s="3" t="s">
        <v>39</v>
      </c>
      <c r="V25" s="3">
        <v>480</v>
      </c>
      <c r="W25" s="3">
        <v>204</v>
      </c>
      <c r="X25" s="3">
        <v>193.2</v>
      </c>
      <c r="Y25" s="3">
        <v>82.8</v>
      </c>
    </row>
    <row r="26" spans="1:25" ht="24.75" x14ac:dyDescent="0.25">
      <c r="A26" s="3" t="s">
        <v>26</v>
      </c>
      <c r="B26" s="3" t="s">
        <v>27</v>
      </c>
      <c r="C26" s="3" t="s">
        <v>28</v>
      </c>
      <c r="D26" s="3" t="s">
        <v>29</v>
      </c>
      <c r="E26" s="3" t="s">
        <v>72</v>
      </c>
      <c r="F26" s="3" t="s">
        <v>31</v>
      </c>
      <c r="G26" s="3" t="s">
        <v>72</v>
      </c>
      <c r="H26" s="3" t="s">
        <v>45</v>
      </c>
      <c r="I26" s="3">
        <v>2025</v>
      </c>
      <c r="J26" s="3" t="str">
        <f>CONCATENATE("54810929718")</f>
        <v>54810929718</v>
      </c>
      <c r="K26" s="3" t="s">
        <v>33</v>
      </c>
      <c r="L26" s="3"/>
      <c r="M26" s="3" t="s">
        <v>34</v>
      </c>
      <c r="N26" s="3" t="str">
        <f>CONCATENATE("02212780411")</f>
        <v>02212780411</v>
      </c>
      <c r="O26" s="3" t="s">
        <v>77</v>
      </c>
      <c r="P26" s="3" t="s">
        <v>36</v>
      </c>
      <c r="Q26" s="3"/>
      <c r="R26" s="4">
        <v>46000</v>
      </c>
      <c r="S26" s="3" t="s">
        <v>37</v>
      </c>
      <c r="T26" s="3" t="s">
        <v>38</v>
      </c>
      <c r="U26" s="3" t="s">
        <v>39</v>
      </c>
      <c r="V26" s="5">
        <v>2400</v>
      </c>
      <c r="W26" s="5">
        <v>1020</v>
      </c>
      <c r="X26" s="3">
        <v>966</v>
      </c>
      <c r="Y26" s="3">
        <v>414</v>
      </c>
    </row>
    <row r="27" spans="1:25" ht="24.75" x14ac:dyDescent="0.25">
      <c r="A27" s="3" t="s">
        <v>26</v>
      </c>
      <c r="B27" s="3" t="s">
        <v>27</v>
      </c>
      <c r="C27" s="3" t="s">
        <v>28</v>
      </c>
      <c r="D27" s="3" t="s">
        <v>29</v>
      </c>
      <c r="E27" s="3" t="s">
        <v>72</v>
      </c>
      <c r="F27" s="3" t="s">
        <v>31</v>
      </c>
      <c r="G27" s="3" t="s">
        <v>72</v>
      </c>
      <c r="H27" s="3" t="s">
        <v>45</v>
      </c>
      <c r="I27" s="3">
        <v>2025</v>
      </c>
      <c r="J27" s="3" t="str">
        <f>CONCATENATE("54810686201")</f>
        <v>54810686201</v>
      </c>
      <c r="K27" s="3" t="s">
        <v>33</v>
      </c>
      <c r="L27" s="3"/>
      <c r="M27" s="3" t="s">
        <v>34</v>
      </c>
      <c r="N27" s="3" t="str">
        <f>CONCATENATE("TRVGPP74L22E256W")</f>
        <v>TRVGPP74L22E256W</v>
      </c>
      <c r="O27" s="3" t="s">
        <v>78</v>
      </c>
      <c r="P27" s="3" t="s">
        <v>36</v>
      </c>
      <c r="Q27" s="3"/>
      <c r="R27" s="4">
        <v>46000</v>
      </c>
      <c r="S27" s="3" t="s">
        <v>37</v>
      </c>
      <c r="T27" s="3" t="s">
        <v>38</v>
      </c>
      <c r="U27" s="3" t="s">
        <v>39</v>
      </c>
      <c r="V27" s="5">
        <v>1320</v>
      </c>
      <c r="W27" s="3">
        <v>561</v>
      </c>
      <c r="X27" s="3">
        <v>531.29999999999995</v>
      </c>
      <c r="Y27" s="3">
        <v>227.7</v>
      </c>
    </row>
    <row r="28" spans="1:25" ht="24.75" x14ac:dyDescent="0.25">
      <c r="A28" s="3" t="s">
        <v>26</v>
      </c>
      <c r="B28" s="3" t="s">
        <v>27</v>
      </c>
      <c r="C28" s="3" t="s">
        <v>28</v>
      </c>
      <c r="D28" s="3" t="s">
        <v>29</v>
      </c>
      <c r="E28" s="3" t="s">
        <v>72</v>
      </c>
      <c r="F28" s="3" t="s">
        <v>31</v>
      </c>
      <c r="G28" s="3" t="s">
        <v>72</v>
      </c>
      <c r="H28" s="3" t="s">
        <v>45</v>
      </c>
      <c r="I28" s="3">
        <v>2025</v>
      </c>
      <c r="J28" s="3" t="str">
        <f>CONCATENATE("54810924255")</f>
        <v>54810924255</v>
      </c>
      <c r="K28" s="3" t="s">
        <v>33</v>
      </c>
      <c r="L28" s="3"/>
      <c r="M28" s="3" t="s">
        <v>34</v>
      </c>
      <c r="N28" s="3" t="str">
        <f>CONCATENATE("RMTGCM91B05G535X")</f>
        <v>RMTGCM91B05G535X</v>
      </c>
      <c r="O28" s="3" t="s">
        <v>79</v>
      </c>
      <c r="P28" s="3" t="s">
        <v>36</v>
      </c>
      <c r="Q28" s="3"/>
      <c r="R28" s="4">
        <v>46000</v>
      </c>
      <c r="S28" s="3" t="s">
        <v>37</v>
      </c>
      <c r="T28" s="3" t="s">
        <v>38</v>
      </c>
      <c r="U28" s="3" t="s">
        <v>39</v>
      </c>
      <c r="V28" s="5">
        <v>11400</v>
      </c>
      <c r="W28" s="5">
        <v>4845</v>
      </c>
      <c r="X28" s="5">
        <v>4588.5</v>
      </c>
      <c r="Y28" s="5">
        <v>1966.5</v>
      </c>
    </row>
    <row r="29" spans="1:25" ht="24.75" x14ac:dyDescent="0.25">
      <c r="A29" s="3" t="s">
        <v>26</v>
      </c>
      <c r="B29" s="3" t="s">
        <v>27</v>
      </c>
      <c r="C29" s="3" t="s">
        <v>28</v>
      </c>
      <c r="D29" s="3" t="s">
        <v>29</v>
      </c>
      <c r="E29" s="3" t="s">
        <v>80</v>
      </c>
      <c r="F29" s="3" t="s">
        <v>31</v>
      </c>
      <c r="G29" s="3" t="s">
        <v>80</v>
      </c>
      <c r="H29" s="3" t="s">
        <v>45</v>
      </c>
      <c r="I29" s="3">
        <v>2025</v>
      </c>
      <c r="J29" s="3" t="str">
        <f>CONCATENATE("54810658838")</f>
        <v>54810658838</v>
      </c>
      <c r="K29" s="3" t="s">
        <v>33</v>
      </c>
      <c r="L29" s="3"/>
      <c r="M29" s="3" t="s">
        <v>34</v>
      </c>
      <c r="N29" s="3" t="str">
        <f>CONCATENATE("02528080415")</f>
        <v>02528080415</v>
      </c>
      <c r="O29" s="3" t="s">
        <v>81</v>
      </c>
      <c r="P29" s="3" t="s">
        <v>36</v>
      </c>
      <c r="Q29" s="3"/>
      <c r="R29" s="4">
        <v>46000</v>
      </c>
      <c r="S29" s="3" t="s">
        <v>37</v>
      </c>
      <c r="T29" s="3" t="s">
        <v>38</v>
      </c>
      <c r="U29" s="3" t="s">
        <v>39</v>
      </c>
      <c r="V29" s="3">
        <v>120</v>
      </c>
      <c r="W29" s="3">
        <v>51</v>
      </c>
      <c r="X29" s="3">
        <v>48.3</v>
      </c>
      <c r="Y29" s="3">
        <v>20.7</v>
      </c>
    </row>
    <row r="30" spans="1:25" ht="60.75" hidden="1" x14ac:dyDescent="0.25">
      <c r="A30" s="3" t="s">
        <v>26</v>
      </c>
      <c r="B30" s="3" t="s">
        <v>27</v>
      </c>
      <c r="C30" s="3" t="s">
        <v>28</v>
      </c>
      <c r="D30" s="3" t="s">
        <v>40</v>
      </c>
      <c r="E30" s="3" t="s">
        <v>41</v>
      </c>
      <c r="F30" s="3" t="s">
        <v>42</v>
      </c>
      <c r="G30" s="3" t="s">
        <v>41</v>
      </c>
      <c r="H30" s="3" t="s">
        <v>32</v>
      </c>
      <c r="I30" s="3">
        <v>2024</v>
      </c>
      <c r="J30" s="3" t="str">
        <f>CONCATENATE("44810987337")</f>
        <v>44810987337</v>
      </c>
      <c r="K30" s="3" t="s">
        <v>33</v>
      </c>
      <c r="L30" s="3"/>
      <c r="M30" s="3" t="s">
        <v>34</v>
      </c>
      <c r="N30" s="3" t="str">
        <f>CONCATENATE("SBSMRC95P04I156J")</f>
        <v>SBSMRC95P04I156J</v>
      </c>
      <c r="O30" s="3" t="s">
        <v>82</v>
      </c>
      <c r="P30" s="3" t="s">
        <v>83</v>
      </c>
      <c r="Q30" s="3" t="s">
        <v>84</v>
      </c>
      <c r="R30" s="4">
        <v>45992</v>
      </c>
      <c r="S30" s="3" t="s">
        <v>37</v>
      </c>
      <c r="T30" s="3" t="s">
        <v>38</v>
      </c>
      <c r="U30" s="3" t="s">
        <v>39</v>
      </c>
      <c r="V30" s="3">
        <v>250</v>
      </c>
      <c r="W30" s="3">
        <v>106.25</v>
      </c>
      <c r="X30" s="3">
        <v>100.63</v>
      </c>
      <c r="Y30" s="3">
        <v>43.12</v>
      </c>
    </row>
    <row r="31" spans="1:25" ht="72.75" hidden="1" x14ac:dyDescent="0.25">
      <c r="A31" s="3" t="s">
        <v>26</v>
      </c>
      <c r="B31" s="3" t="s">
        <v>27</v>
      </c>
      <c r="C31" s="3" t="s">
        <v>28</v>
      </c>
      <c r="D31" s="3" t="s">
        <v>29</v>
      </c>
      <c r="E31" s="3" t="s">
        <v>85</v>
      </c>
      <c r="F31" s="3" t="s">
        <v>31</v>
      </c>
      <c r="G31" s="3" t="s">
        <v>85</v>
      </c>
      <c r="H31" s="3" t="s">
        <v>48</v>
      </c>
      <c r="I31" s="3">
        <v>2024</v>
      </c>
      <c r="J31" s="3" t="str">
        <f>CONCATENATE("44810858165")</f>
        <v>44810858165</v>
      </c>
      <c r="K31" s="3" t="s">
        <v>33</v>
      </c>
      <c r="L31" s="3"/>
      <c r="M31" s="3" t="s">
        <v>86</v>
      </c>
      <c r="N31" s="3" t="str">
        <f>CONCATENATE("SLVMRN63R07E388R")</f>
        <v>SLVMRN63R07E388R</v>
      </c>
      <c r="O31" s="3" t="s">
        <v>87</v>
      </c>
      <c r="P31" s="3" t="s">
        <v>83</v>
      </c>
      <c r="Q31" s="3" t="s">
        <v>88</v>
      </c>
      <c r="R31" s="4">
        <v>45992</v>
      </c>
      <c r="S31" s="3" t="s">
        <v>37</v>
      </c>
      <c r="T31" s="3" t="s">
        <v>38</v>
      </c>
      <c r="U31" s="3" t="s">
        <v>39</v>
      </c>
      <c r="V31" s="3">
        <v>831.75</v>
      </c>
      <c r="W31" s="3">
        <v>353.49</v>
      </c>
      <c r="X31" s="3">
        <v>334.78</v>
      </c>
      <c r="Y31" s="3">
        <v>143.47999999999999</v>
      </c>
    </row>
    <row r="32" spans="1:25" ht="24.75" hidden="1" x14ac:dyDescent="0.25">
      <c r="A32" s="3" t="s">
        <v>26</v>
      </c>
      <c r="B32" s="3" t="s">
        <v>27</v>
      </c>
      <c r="C32" s="3" t="s">
        <v>28</v>
      </c>
      <c r="D32" s="3" t="s">
        <v>29</v>
      </c>
      <c r="E32" s="3" t="s">
        <v>85</v>
      </c>
      <c r="F32" s="3" t="s">
        <v>31</v>
      </c>
      <c r="G32" s="3" t="s">
        <v>85</v>
      </c>
      <c r="H32" s="3" t="s">
        <v>48</v>
      </c>
      <c r="I32" s="3">
        <v>2024</v>
      </c>
      <c r="J32" s="3" t="str">
        <f>CONCATENATE("44810858314")</f>
        <v>44810858314</v>
      </c>
      <c r="K32" s="3" t="s">
        <v>33</v>
      </c>
      <c r="L32" s="3"/>
      <c r="M32" s="3" t="s">
        <v>86</v>
      </c>
      <c r="N32" s="3" t="str">
        <f>CONCATENATE("STFGLI01P50A271H")</f>
        <v>STFGLI01P50A271H</v>
      </c>
      <c r="O32" s="3" t="s">
        <v>89</v>
      </c>
      <c r="P32" s="3" t="s">
        <v>83</v>
      </c>
      <c r="Q32" s="3" t="s">
        <v>88</v>
      </c>
      <c r="R32" s="4">
        <v>45992</v>
      </c>
      <c r="S32" s="3" t="s">
        <v>37</v>
      </c>
      <c r="T32" s="3" t="s">
        <v>38</v>
      </c>
      <c r="U32" s="3" t="s">
        <v>39</v>
      </c>
      <c r="V32" s="5">
        <v>1577.43</v>
      </c>
      <c r="W32" s="3">
        <v>670.41</v>
      </c>
      <c r="X32" s="3">
        <v>634.91999999999996</v>
      </c>
      <c r="Y32" s="3">
        <v>272.10000000000002</v>
      </c>
    </row>
    <row r="33" spans="1:25" ht="72.75" hidden="1" x14ac:dyDescent="0.25">
      <c r="A33" s="3" t="s">
        <v>26</v>
      </c>
      <c r="B33" s="3" t="s">
        <v>27</v>
      </c>
      <c r="C33" s="3" t="s">
        <v>28</v>
      </c>
      <c r="D33" s="3" t="s">
        <v>29</v>
      </c>
      <c r="E33" s="3" t="s">
        <v>85</v>
      </c>
      <c r="F33" s="3" t="s">
        <v>31</v>
      </c>
      <c r="G33" s="3" t="s">
        <v>85</v>
      </c>
      <c r="H33" s="3" t="s">
        <v>48</v>
      </c>
      <c r="I33" s="3">
        <v>2024</v>
      </c>
      <c r="J33" s="3" t="str">
        <f>CONCATENATE("44810857977")</f>
        <v>44810857977</v>
      </c>
      <c r="K33" s="3" t="s">
        <v>33</v>
      </c>
      <c r="L33" s="3"/>
      <c r="M33" s="3" t="s">
        <v>86</v>
      </c>
      <c r="N33" s="3" t="str">
        <f>CONCATENATE("BRTPRN50M23H979H")</f>
        <v>BRTPRN50M23H979H</v>
      </c>
      <c r="O33" s="3" t="s">
        <v>90</v>
      </c>
      <c r="P33" s="3" t="s">
        <v>83</v>
      </c>
      <c r="Q33" s="3" t="s">
        <v>88</v>
      </c>
      <c r="R33" s="4">
        <v>45992</v>
      </c>
      <c r="S33" s="3" t="s">
        <v>37</v>
      </c>
      <c r="T33" s="3" t="s">
        <v>38</v>
      </c>
      <c r="U33" s="3" t="s">
        <v>39</v>
      </c>
      <c r="V33" s="3">
        <v>512.89</v>
      </c>
      <c r="W33" s="3">
        <v>217.98</v>
      </c>
      <c r="X33" s="3">
        <v>206.44</v>
      </c>
      <c r="Y33" s="3">
        <v>88.47</v>
      </c>
    </row>
    <row r="34" spans="1:25" ht="60.75" hidden="1" x14ac:dyDescent="0.25">
      <c r="A34" s="3" t="s">
        <v>26</v>
      </c>
      <c r="B34" s="3" t="s">
        <v>27</v>
      </c>
      <c r="C34" s="3" t="s">
        <v>28</v>
      </c>
      <c r="D34" s="3" t="s">
        <v>91</v>
      </c>
      <c r="E34" s="3" t="s">
        <v>92</v>
      </c>
      <c r="F34" s="3" t="s">
        <v>93</v>
      </c>
      <c r="G34" s="3" t="s">
        <v>92</v>
      </c>
      <c r="H34" s="3" t="s">
        <v>48</v>
      </c>
      <c r="I34" s="3">
        <v>2024</v>
      </c>
      <c r="J34" s="3" t="str">
        <f>CONCATENATE("44810802510")</f>
        <v>44810802510</v>
      </c>
      <c r="K34" s="3" t="s">
        <v>33</v>
      </c>
      <c r="L34" s="3"/>
      <c r="M34" s="3" t="s">
        <v>86</v>
      </c>
      <c r="N34" s="3" t="str">
        <f>CONCATENATE("GBRLNZ93C07D451N")</f>
        <v>GBRLNZ93C07D451N</v>
      </c>
      <c r="O34" s="3" t="s">
        <v>94</v>
      </c>
      <c r="P34" s="3" t="s">
        <v>83</v>
      </c>
      <c r="Q34" s="3" t="s">
        <v>88</v>
      </c>
      <c r="R34" s="4">
        <v>45992</v>
      </c>
      <c r="S34" s="3" t="s">
        <v>37</v>
      </c>
      <c r="T34" s="3" t="s">
        <v>38</v>
      </c>
      <c r="U34" s="3" t="s">
        <v>39</v>
      </c>
      <c r="V34" s="5">
        <v>1789.29</v>
      </c>
      <c r="W34" s="3">
        <v>760.45</v>
      </c>
      <c r="X34" s="3">
        <v>720.19</v>
      </c>
      <c r="Y34" s="3">
        <v>308.64999999999998</v>
      </c>
    </row>
    <row r="35" spans="1:25" ht="36.75" hidden="1" x14ac:dyDescent="0.25">
      <c r="A35" s="3" t="s">
        <v>26</v>
      </c>
      <c r="B35" s="3" t="s">
        <v>27</v>
      </c>
      <c r="C35" s="3" t="s">
        <v>28</v>
      </c>
      <c r="D35" s="3" t="s">
        <v>91</v>
      </c>
      <c r="E35" s="3" t="s">
        <v>95</v>
      </c>
      <c r="F35" s="3" t="s">
        <v>93</v>
      </c>
      <c r="G35" s="3" t="s">
        <v>95</v>
      </c>
      <c r="H35" s="3" t="s">
        <v>96</v>
      </c>
      <c r="I35" s="3">
        <v>2024</v>
      </c>
      <c r="J35" s="3" t="str">
        <f>CONCATENATE("44810891786")</f>
        <v>44810891786</v>
      </c>
      <c r="K35" s="3" t="s">
        <v>33</v>
      </c>
      <c r="L35" s="3"/>
      <c r="M35" s="3" t="s">
        <v>86</v>
      </c>
      <c r="N35" s="3" t="str">
        <f>CONCATENATE("01977060449")</f>
        <v>01977060449</v>
      </c>
      <c r="O35" s="3" t="s">
        <v>97</v>
      </c>
      <c r="P35" s="3" t="s">
        <v>83</v>
      </c>
      <c r="Q35" s="3" t="s">
        <v>88</v>
      </c>
      <c r="R35" s="4">
        <v>45992</v>
      </c>
      <c r="S35" s="3" t="s">
        <v>37</v>
      </c>
      <c r="T35" s="3" t="s">
        <v>38</v>
      </c>
      <c r="U35" s="3" t="s">
        <v>39</v>
      </c>
      <c r="V35" s="5">
        <v>1686.69</v>
      </c>
      <c r="W35" s="3">
        <v>716.84</v>
      </c>
      <c r="X35" s="3">
        <v>678.89</v>
      </c>
      <c r="Y35" s="3">
        <v>290.95999999999998</v>
      </c>
    </row>
    <row r="36" spans="1:25" ht="60.75" hidden="1" x14ac:dyDescent="0.25">
      <c r="A36" s="3" t="s">
        <v>26</v>
      </c>
      <c r="B36" s="3" t="s">
        <v>27</v>
      </c>
      <c r="C36" s="3" t="s">
        <v>28</v>
      </c>
      <c r="D36" s="3" t="s">
        <v>29</v>
      </c>
      <c r="E36" s="3" t="s">
        <v>85</v>
      </c>
      <c r="F36" s="3" t="s">
        <v>31</v>
      </c>
      <c r="G36" s="3" t="s">
        <v>85</v>
      </c>
      <c r="H36" s="3" t="s">
        <v>48</v>
      </c>
      <c r="I36" s="3">
        <v>2024</v>
      </c>
      <c r="J36" s="3" t="str">
        <f>CONCATENATE("44810726271")</f>
        <v>44810726271</v>
      </c>
      <c r="K36" s="3" t="s">
        <v>33</v>
      </c>
      <c r="L36" s="3"/>
      <c r="M36" s="3" t="s">
        <v>86</v>
      </c>
      <c r="N36" s="3" t="str">
        <f>CONCATENATE("CTTGRG88T09E388C")</f>
        <v>CTTGRG88T09E388C</v>
      </c>
      <c r="O36" s="3" t="s">
        <v>98</v>
      </c>
      <c r="P36" s="3" t="s">
        <v>83</v>
      </c>
      <c r="Q36" s="3" t="s">
        <v>88</v>
      </c>
      <c r="R36" s="4">
        <v>45992</v>
      </c>
      <c r="S36" s="3" t="s">
        <v>37</v>
      </c>
      <c r="T36" s="3" t="s">
        <v>38</v>
      </c>
      <c r="U36" s="3" t="s">
        <v>39</v>
      </c>
      <c r="V36" s="3">
        <v>264.29000000000002</v>
      </c>
      <c r="W36" s="3">
        <v>112.32</v>
      </c>
      <c r="X36" s="3">
        <v>106.38</v>
      </c>
      <c r="Y36" s="3">
        <v>45.59</v>
      </c>
    </row>
    <row r="37" spans="1:25" ht="36.75" hidden="1" x14ac:dyDescent="0.25">
      <c r="A37" s="3" t="s">
        <v>26</v>
      </c>
      <c r="B37" s="3" t="s">
        <v>27</v>
      </c>
      <c r="C37" s="3" t="s">
        <v>28</v>
      </c>
      <c r="D37" s="3" t="s">
        <v>40</v>
      </c>
      <c r="E37" s="3" t="s">
        <v>99</v>
      </c>
      <c r="F37" s="3" t="s">
        <v>42</v>
      </c>
      <c r="G37" s="3" t="s">
        <v>99</v>
      </c>
      <c r="H37" s="3" t="s">
        <v>32</v>
      </c>
      <c r="I37" s="3">
        <v>2024</v>
      </c>
      <c r="J37" s="3" t="str">
        <f>CONCATENATE("44811312667")</f>
        <v>44811312667</v>
      </c>
      <c r="K37" s="3" t="s">
        <v>33</v>
      </c>
      <c r="L37" s="3"/>
      <c r="M37" s="3" t="s">
        <v>86</v>
      </c>
      <c r="N37" s="3" t="str">
        <f>CONCATENATE("01914050438")</f>
        <v>01914050438</v>
      </c>
      <c r="O37" s="3" t="s">
        <v>100</v>
      </c>
      <c r="P37" s="3" t="s">
        <v>83</v>
      </c>
      <c r="Q37" s="3" t="s">
        <v>88</v>
      </c>
      <c r="R37" s="4">
        <v>45992</v>
      </c>
      <c r="S37" s="3" t="s">
        <v>37</v>
      </c>
      <c r="T37" s="3" t="s">
        <v>38</v>
      </c>
      <c r="U37" s="3" t="s">
        <v>39</v>
      </c>
      <c r="V37" s="3">
        <v>291.14999999999998</v>
      </c>
      <c r="W37" s="3">
        <v>123.74</v>
      </c>
      <c r="X37" s="3">
        <v>117.19</v>
      </c>
      <c r="Y37" s="3">
        <v>50.22</v>
      </c>
    </row>
    <row r="38" spans="1:25" ht="36.75" hidden="1" x14ac:dyDescent="0.25">
      <c r="A38" s="3" t="s">
        <v>26</v>
      </c>
      <c r="B38" s="3" t="s">
        <v>27</v>
      </c>
      <c r="C38" s="3" t="s">
        <v>28</v>
      </c>
      <c r="D38" s="3" t="s">
        <v>29</v>
      </c>
      <c r="E38" s="3" t="s">
        <v>101</v>
      </c>
      <c r="F38" s="3" t="s">
        <v>31</v>
      </c>
      <c r="G38" s="3" t="s">
        <v>101</v>
      </c>
      <c r="H38" s="3" t="s">
        <v>32</v>
      </c>
      <c r="I38" s="3">
        <v>2024</v>
      </c>
      <c r="J38" s="3" t="str">
        <f>CONCATENATE("44810406254")</f>
        <v>44810406254</v>
      </c>
      <c r="K38" s="3" t="s">
        <v>33</v>
      </c>
      <c r="L38" s="3"/>
      <c r="M38" s="3" t="s">
        <v>86</v>
      </c>
      <c r="N38" s="3" t="str">
        <f>CONCATENATE("02070830431")</f>
        <v>02070830431</v>
      </c>
      <c r="O38" s="3" t="s">
        <v>102</v>
      </c>
      <c r="P38" s="3" t="s">
        <v>83</v>
      </c>
      <c r="Q38" s="3" t="s">
        <v>88</v>
      </c>
      <c r="R38" s="4">
        <v>45992</v>
      </c>
      <c r="S38" s="3" t="s">
        <v>37</v>
      </c>
      <c r="T38" s="3" t="s">
        <v>38</v>
      </c>
      <c r="U38" s="3" t="s">
        <v>39</v>
      </c>
      <c r="V38" s="3">
        <v>471.88</v>
      </c>
      <c r="W38" s="3">
        <v>200.55</v>
      </c>
      <c r="X38" s="3">
        <v>189.93</v>
      </c>
      <c r="Y38" s="3">
        <v>81.400000000000006</v>
      </c>
    </row>
    <row r="39" spans="1:25" ht="48.75" hidden="1" x14ac:dyDescent="0.25">
      <c r="A39" s="3" t="s">
        <v>26</v>
      </c>
      <c r="B39" s="3" t="s">
        <v>27</v>
      </c>
      <c r="C39" s="3" t="s">
        <v>28</v>
      </c>
      <c r="D39" s="3" t="s">
        <v>40</v>
      </c>
      <c r="E39" s="3" t="s">
        <v>99</v>
      </c>
      <c r="F39" s="3" t="s">
        <v>42</v>
      </c>
      <c r="G39" s="3" t="s">
        <v>99</v>
      </c>
      <c r="H39" s="3" t="s">
        <v>32</v>
      </c>
      <c r="I39" s="3">
        <v>2024</v>
      </c>
      <c r="J39" s="3" t="str">
        <f>CONCATENATE("44810634004")</f>
        <v>44810634004</v>
      </c>
      <c r="K39" s="3" t="s">
        <v>33</v>
      </c>
      <c r="L39" s="3"/>
      <c r="M39" s="3" t="s">
        <v>86</v>
      </c>
      <c r="N39" s="3" t="str">
        <f>CONCATENATE("NCLLSS89A26I156L")</f>
        <v>NCLLSS89A26I156L</v>
      </c>
      <c r="O39" s="3" t="s">
        <v>103</v>
      </c>
      <c r="P39" s="3" t="s">
        <v>83</v>
      </c>
      <c r="Q39" s="3" t="s">
        <v>88</v>
      </c>
      <c r="R39" s="4">
        <v>45992</v>
      </c>
      <c r="S39" s="3" t="s">
        <v>37</v>
      </c>
      <c r="T39" s="3" t="s">
        <v>38</v>
      </c>
      <c r="U39" s="3" t="s">
        <v>39</v>
      </c>
      <c r="V39" s="3">
        <v>355.58</v>
      </c>
      <c r="W39" s="3">
        <v>151.12</v>
      </c>
      <c r="X39" s="3">
        <v>143.12</v>
      </c>
      <c r="Y39" s="3">
        <v>61.34</v>
      </c>
    </row>
    <row r="40" spans="1:25" ht="60.75" hidden="1" x14ac:dyDescent="0.25">
      <c r="A40" s="3" t="s">
        <v>26</v>
      </c>
      <c r="B40" s="3" t="s">
        <v>27</v>
      </c>
      <c r="C40" s="3" t="s">
        <v>28</v>
      </c>
      <c r="D40" s="3" t="s">
        <v>104</v>
      </c>
      <c r="E40" s="3" t="s">
        <v>105</v>
      </c>
      <c r="F40" s="3" t="s">
        <v>104</v>
      </c>
      <c r="G40" s="3" t="s">
        <v>105</v>
      </c>
      <c r="H40" s="3" t="s">
        <v>48</v>
      </c>
      <c r="I40" s="3">
        <v>2024</v>
      </c>
      <c r="J40" s="3" t="str">
        <f>CONCATENATE("44811082526")</f>
        <v>44811082526</v>
      </c>
      <c r="K40" s="3" t="s">
        <v>33</v>
      </c>
      <c r="L40" s="3"/>
      <c r="M40" s="3" t="s">
        <v>86</v>
      </c>
      <c r="N40" s="3" t="str">
        <f>CONCATENATE("BROFNC84B10C615H")</f>
        <v>BROFNC84B10C615H</v>
      </c>
      <c r="O40" s="3" t="s">
        <v>106</v>
      </c>
      <c r="P40" s="3" t="s">
        <v>83</v>
      </c>
      <c r="Q40" s="3" t="s">
        <v>88</v>
      </c>
      <c r="R40" s="4">
        <v>45992</v>
      </c>
      <c r="S40" s="3" t="s">
        <v>37</v>
      </c>
      <c r="T40" s="3" t="s">
        <v>38</v>
      </c>
      <c r="U40" s="3" t="s">
        <v>39</v>
      </c>
      <c r="V40" s="5">
        <v>1034.22</v>
      </c>
      <c r="W40" s="3">
        <v>439.54</v>
      </c>
      <c r="X40" s="3">
        <v>416.27</v>
      </c>
      <c r="Y40" s="3">
        <v>178.41</v>
      </c>
    </row>
    <row r="41" spans="1:25" ht="60.75" hidden="1" x14ac:dyDescent="0.25">
      <c r="A41" s="3" t="s">
        <v>26</v>
      </c>
      <c r="B41" s="3" t="s">
        <v>27</v>
      </c>
      <c r="C41" s="3" t="s">
        <v>28</v>
      </c>
      <c r="D41" s="3" t="s">
        <v>50</v>
      </c>
      <c r="E41" s="3" t="s">
        <v>107</v>
      </c>
      <c r="F41" s="3" t="s">
        <v>52</v>
      </c>
      <c r="G41" s="3" t="s">
        <v>107</v>
      </c>
      <c r="H41" s="3" t="s">
        <v>48</v>
      </c>
      <c r="I41" s="3">
        <v>2024</v>
      </c>
      <c r="J41" s="3" t="str">
        <f>CONCATENATE("44810366599")</f>
        <v>44810366599</v>
      </c>
      <c r="K41" s="3" t="s">
        <v>33</v>
      </c>
      <c r="L41" s="3"/>
      <c r="M41" s="3" t="s">
        <v>86</v>
      </c>
      <c r="N41" s="3" t="str">
        <f>CONCATENATE("BRNLCU75E05A271Z")</f>
        <v>BRNLCU75E05A271Z</v>
      </c>
      <c r="O41" s="3" t="s">
        <v>108</v>
      </c>
      <c r="P41" s="3" t="s">
        <v>83</v>
      </c>
      <c r="Q41" s="3" t="s">
        <v>88</v>
      </c>
      <c r="R41" s="4">
        <v>45992</v>
      </c>
      <c r="S41" s="3" t="s">
        <v>37</v>
      </c>
      <c r="T41" s="3" t="s">
        <v>38</v>
      </c>
      <c r="U41" s="3" t="s">
        <v>39</v>
      </c>
      <c r="V41" s="3">
        <v>248.64</v>
      </c>
      <c r="W41" s="3">
        <v>105.67</v>
      </c>
      <c r="X41" s="3">
        <v>100.08</v>
      </c>
      <c r="Y41" s="3">
        <v>42.89</v>
      </c>
    </row>
    <row r="42" spans="1:25" ht="60.75" hidden="1" x14ac:dyDescent="0.25">
      <c r="A42" s="3" t="s">
        <v>26</v>
      </c>
      <c r="B42" s="3" t="s">
        <v>27</v>
      </c>
      <c r="C42" s="3" t="s">
        <v>28</v>
      </c>
      <c r="D42" s="3" t="s">
        <v>104</v>
      </c>
      <c r="E42" s="3" t="s">
        <v>105</v>
      </c>
      <c r="F42" s="3" t="s">
        <v>104</v>
      </c>
      <c r="G42" s="3" t="s">
        <v>105</v>
      </c>
      <c r="H42" s="3" t="s">
        <v>48</v>
      </c>
      <c r="I42" s="3">
        <v>2024</v>
      </c>
      <c r="J42" s="3" t="str">
        <f>CONCATENATE("44810379287")</f>
        <v>44810379287</v>
      </c>
      <c r="K42" s="3" t="s">
        <v>33</v>
      </c>
      <c r="L42" s="3"/>
      <c r="M42" s="3" t="s">
        <v>86</v>
      </c>
      <c r="N42" s="3" t="str">
        <f>CONCATENATE("GLLGLI02H46A944R")</f>
        <v>GLLGLI02H46A944R</v>
      </c>
      <c r="O42" s="3" t="s">
        <v>109</v>
      </c>
      <c r="P42" s="3" t="s">
        <v>83</v>
      </c>
      <c r="Q42" s="3" t="s">
        <v>88</v>
      </c>
      <c r="R42" s="4">
        <v>45992</v>
      </c>
      <c r="S42" s="3" t="s">
        <v>37</v>
      </c>
      <c r="T42" s="3" t="s">
        <v>38</v>
      </c>
      <c r="U42" s="3" t="s">
        <v>39</v>
      </c>
      <c r="V42" s="3">
        <v>545.52</v>
      </c>
      <c r="W42" s="3">
        <v>231.85</v>
      </c>
      <c r="X42" s="3">
        <v>219.57</v>
      </c>
      <c r="Y42" s="3">
        <v>94.1</v>
      </c>
    </row>
    <row r="43" spans="1:25" ht="60.75" hidden="1" x14ac:dyDescent="0.25">
      <c r="A43" s="3" t="s">
        <v>26</v>
      </c>
      <c r="B43" s="3" t="s">
        <v>27</v>
      </c>
      <c r="C43" s="3" t="s">
        <v>28</v>
      </c>
      <c r="D43" s="3" t="s">
        <v>40</v>
      </c>
      <c r="E43" s="3" t="s">
        <v>99</v>
      </c>
      <c r="F43" s="3" t="s">
        <v>42</v>
      </c>
      <c r="G43" s="3" t="s">
        <v>99</v>
      </c>
      <c r="H43" s="3" t="s">
        <v>32</v>
      </c>
      <c r="I43" s="3">
        <v>2024</v>
      </c>
      <c r="J43" s="3" t="str">
        <f>CONCATENATE("44811041332")</f>
        <v>44811041332</v>
      </c>
      <c r="K43" s="3" t="s">
        <v>33</v>
      </c>
      <c r="L43" s="3"/>
      <c r="M43" s="3" t="s">
        <v>86</v>
      </c>
      <c r="N43" s="3" t="str">
        <f>CONCATENATE("LPPCRL71M01E783L")</f>
        <v>LPPCRL71M01E783L</v>
      </c>
      <c r="O43" s="3" t="s">
        <v>110</v>
      </c>
      <c r="P43" s="3" t="s">
        <v>83</v>
      </c>
      <c r="Q43" s="3" t="s">
        <v>88</v>
      </c>
      <c r="R43" s="4">
        <v>45992</v>
      </c>
      <c r="S43" s="3" t="s">
        <v>37</v>
      </c>
      <c r="T43" s="3" t="s">
        <v>38</v>
      </c>
      <c r="U43" s="3" t="s">
        <v>39</v>
      </c>
      <c r="V43" s="3">
        <v>330.35</v>
      </c>
      <c r="W43" s="3">
        <v>140.4</v>
      </c>
      <c r="X43" s="3">
        <v>132.97</v>
      </c>
      <c r="Y43" s="3">
        <v>56.98</v>
      </c>
    </row>
    <row r="44" spans="1:25" ht="72.75" hidden="1" x14ac:dyDescent="0.25">
      <c r="A44" s="3" t="s">
        <v>26</v>
      </c>
      <c r="B44" s="3" t="s">
        <v>27</v>
      </c>
      <c r="C44" s="3" t="s">
        <v>28</v>
      </c>
      <c r="D44" s="3" t="s">
        <v>29</v>
      </c>
      <c r="E44" s="3" t="s">
        <v>111</v>
      </c>
      <c r="F44" s="3" t="s">
        <v>31</v>
      </c>
      <c r="G44" s="3" t="s">
        <v>111</v>
      </c>
      <c r="H44" s="3" t="s">
        <v>96</v>
      </c>
      <c r="I44" s="3">
        <v>2024</v>
      </c>
      <c r="J44" s="3" t="str">
        <f>CONCATENATE("44810570745")</f>
        <v>44810570745</v>
      </c>
      <c r="K44" s="3" t="s">
        <v>33</v>
      </c>
      <c r="L44" s="3"/>
      <c r="M44" s="3" t="s">
        <v>86</v>
      </c>
      <c r="N44" s="3" t="str">
        <f>CONCATENATE("MZZGNN67R10D542G")</f>
        <v>MZZGNN67R10D542G</v>
      </c>
      <c r="O44" s="3" t="s">
        <v>112</v>
      </c>
      <c r="P44" s="3" t="s">
        <v>83</v>
      </c>
      <c r="Q44" s="3" t="s">
        <v>88</v>
      </c>
      <c r="R44" s="4">
        <v>45992</v>
      </c>
      <c r="S44" s="3" t="s">
        <v>37</v>
      </c>
      <c r="T44" s="3" t="s">
        <v>38</v>
      </c>
      <c r="U44" s="3" t="s">
        <v>39</v>
      </c>
      <c r="V44" s="5">
        <v>2060.94</v>
      </c>
      <c r="W44" s="3">
        <v>875.9</v>
      </c>
      <c r="X44" s="3">
        <v>829.53</v>
      </c>
      <c r="Y44" s="3">
        <v>355.51</v>
      </c>
    </row>
    <row r="45" spans="1:25" ht="60.75" hidden="1" x14ac:dyDescent="0.25">
      <c r="A45" s="3" t="s">
        <v>26</v>
      </c>
      <c r="B45" s="3" t="s">
        <v>27</v>
      </c>
      <c r="C45" s="3" t="s">
        <v>28</v>
      </c>
      <c r="D45" s="3" t="s">
        <v>29</v>
      </c>
      <c r="E45" s="3" t="s">
        <v>101</v>
      </c>
      <c r="F45" s="3" t="s">
        <v>31</v>
      </c>
      <c r="G45" s="3" t="s">
        <v>101</v>
      </c>
      <c r="H45" s="3" t="s">
        <v>32</v>
      </c>
      <c r="I45" s="3">
        <v>2024</v>
      </c>
      <c r="J45" s="3" t="str">
        <f>CONCATENATE("44810016061")</f>
        <v>44810016061</v>
      </c>
      <c r="K45" s="3" t="s">
        <v>33</v>
      </c>
      <c r="L45" s="3"/>
      <c r="M45" s="3" t="s">
        <v>86</v>
      </c>
      <c r="N45" s="3" t="str">
        <f>CONCATENATE("MRCMNT50S48D042W")</f>
        <v>MRCMNT50S48D042W</v>
      </c>
      <c r="O45" s="3" t="s">
        <v>113</v>
      </c>
      <c r="P45" s="3" t="s">
        <v>83</v>
      </c>
      <c r="Q45" s="3" t="s">
        <v>88</v>
      </c>
      <c r="R45" s="4">
        <v>45992</v>
      </c>
      <c r="S45" s="3" t="s">
        <v>37</v>
      </c>
      <c r="T45" s="3" t="s">
        <v>38</v>
      </c>
      <c r="U45" s="3" t="s">
        <v>39</v>
      </c>
      <c r="V45" s="3">
        <v>204.66</v>
      </c>
      <c r="W45" s="3">
        <v>86.98</v>
      </c>
      <c r="X45" s="3">
        <v>82.38</v>
      </c>
      <c r="Y45" s="3">
        <v>35.299999999999997</v>
      </c>
    </row>
    <row r="46" spans="1:25" ht="72.75" hidden="1" x14ac:dyDescent="0.25">
      <c r="A46" s="3" t="s">
        <v>26</v>
      </c>
      <c r="B46" s="3" t="s">
        <v>27</v>
      </c>
      <c r="C46" s="3" t="s">
        <v>28</v>
      </c>
      <c r="D46" s="3" t="s">
        <v>29</v>
      </c>
      <c r="E46" s="3" t="s">
        <v>101</v>
      </c>
      <c r="F46" s="3" t="s">
        <v>31</v>
      </c>
      <c r="G46" s="3" t="s">
        <v>101</v>
      </c>
      <c r="H46" s="3" t="s">
        <v>32</v>
      </c>
      <c r="I46" s="3">
        <v>2024</v>
      </c>
      <c r="J46" s="3" t="str">
        <f>CONCATENATE("44811871712")</f>
        <v>44811871712</v>
      </c>
      <c r="K46" s="3" t="s">
        <v>33</v>
      </c>
      <c r="L46" s="3"/>
      <c r="M46" s="3" t="s">
        <v>86</v>
      </c>
      <c r="N46" s="3" t="str">
        <f>CONCATENATE("CLOGNN66R25B474G")</f>
        <v>CLOGNN66R25B474G</v>
      </c>
      <c r="O46" s="3" t="s">
        <v>114</v>
      </c>
      <c r="P46" s="3" t="s">
        <v>83</v>
      </c>
      <c r="Q46" s="3" t="s">
        <v>88</v>
      </c>
      <c r="R46" s="4">
        <v>45992</v>
      </c>
      <c r="S46" s="3" t="s">
        <v>37</v>
      </c>
      <c r="T46" s="3" t="s">
        <v>38</v>
      </c>
      <c r="U46" s="3" t="s">
        <v>39</v>
      </c>
      <c r="V46" s="5">
        <v>1113.46</v>
      </c>
      <c r="W46" s="3">
        <v>473.22</v>
      </c>
      <c r="X46" s="3">
        <v>448.17</v>
      </c>
      <c r="Y46" s="3">
        <v>192.07</v>
      </c>
    </row>
    <row r="47" spans="1:25" ht="60.75" hidden="1" x14ac:dyDescent="0.25">
      <c r="A47" s="3" t="s">
        <v>26</v>
      </c>
      <c r="B47" s="3" t="s">
        <v>27</v>
      </c>
      <c r="C47" s="3" t="s">
        <v>28</v>
      </c>
      <c r="D47" s="3" t="s">
        <v>91</v>
      </c>
      <c r="E47" s="3" t="s">
        <v>92</v>
      </c>
      <c r="F47" s="3" t="s">
        <v>93</v>
      </c>
      <c r="G47" s="3" t="s">
        <v>92</v>
      </c>
      <c r="H47" s="3" t="s">
        <v>48</v>
      </c>
      <c r="I47" s="3">
        <v>2024</v>
      </c>
      <c r="J47" s="3" t="str">
        <f>CONCATENATE("44810397024")</f>
        <v>44810397024</v>
      </c>
      <c r="K47" s="3" t="s">
        <v>33</v>
      </c>
      <c r="L47" s="3"/>
      <c r="M47" s="3" t="s">
        <v>86</v>
      </c>
      <c r="N47" s="3" t="str">
        <f>CONCATENATE("MZZDIA59T69H211I")</f>
        <v>MZZDIA59T69H211I</v>
      </c>
      <c r="O47" s="3" t="s">
        <v>115</v>
      </c>
      <c r="P47" s="3" t="s">
        <v>83</v>
      </c>
      <c r="Q47" s="3" t="s">
        <v>88</v>
      </c>
      <c r="R47" s="4">
        <v>45992</v>
      </c>
      <c r="S47" s="3" t="s">
        <v>37</v>
      </c>
      <c r="T47" s="3" t="s">
        <v>38</v>
      </c>
      <c r="U47" s="3" t="s">
        <v>39</v>
      </c>
      <c r="V47" s="3">
        <v>337.13</v>
      </c>
      <c r="W47" s="3">
        <v>143.28</v>
      </c>
      <c r="X47" s="3">
        <v>135.69</v>
      </c>
      <c r="Y47" s="3">
        <v>58.16</v>
      </c>
    </row>
    <row r="48" spans="1:25" ht="36.75" hidden="1" x14ac:dyDescent="0.25">
      <c r="A48" s="3" t="s">
        <v>26</v>
      </c>
      <c r="B48" s="3" t="s">
        <v>27</v>
      </c>
      <c r="C48" s="3" t="s">
        <v>28</v>
      </c>
      <c r="D48" s="3" t="s">
        <v>91</v>
      </c>
      <c r="E48" s="3" t="s">
        <v>92</v>
      </c>
      <c r="F48" s="3" t="s">
        <v>93</v>
      </c>
      <c r="G48" s="3" t="s">
        <v>92</v>
      </c>
      <c r="H48" s="3" t="s">
        <v>48</v>
      </c>
      <c r="I48" s="3">
        <v>2024</v>
      </c>
      <c r="J48" s="3" t="str">
        <f>CONCATENATE("44811423100")</f>
        <v>44811423100</v>
      </c>
      <c r="K48" s="3" t="s">
        <v>33</v>
      </c>
      <c r="L48" s="3"/>
      <c r="M48" s="3" t="s">
        <v>86</v>
      </c>
      <c r="N48" s="3" t="str">
        <f>CONCATENATE("02957610427")</f>
        <v>02957610427</v>
      </c>
      <c r="O48" s="3" t="s">
        <v>116</v>
      </c>
      <c r="P48" s="3" t="s">
        <v>83</v>
      </c>
      <c r="Q48" s="3" t="s">
        <v>88</v>
      </c>
      <c r="R48" s="4">
        <v>45992</v>
      </c>
      <c r="S48" s="3" t="s">
        <v>37</v>
      </c>
      <c r="T48" s="3" t="s">
        <v>38</v>
      </c>
      <c r="U48" s="3" t="s">
        <v>39</v>
      </c>
      <c r="V48" s="3">
        <v>539.32000000000005</v>
      </c>
      <c r="W48" s="3">
        <v>229.21</v>
      </c>
      <c r="X48" s="3">
        <v>217.08</v>
      </c>
      <c r="Y48" s="3">
        <v>93.03</v>
      </c>
    </row>
    <row r="49" spans="1:25" ht="36.75" hidden="1" x14ac:dyDescent="0.25">
      <c r="A49" s="3" t="s">
        <v>26</v>
      </c>
      <c r="B49" s="3" t="s">
        <v>27</v>
      </c>
      <c r="C49" s="3" t="s">
        <v>28</v>
      </c>
      <c r="D49" s="3" t="s">
        <v>29</v>
      </c>
      <c r="E49" s="3" t="s">
        <v>85</v>
      </c>
      <c r="F49" s="3" t="s">
        <v>31</v>
      </c>
      <c r="G49" s="3" t="s">
        <v>85</v>
      </c>
      <c r="H49" s="3" t="s">
        <v>48</v>
      </c>
      <c r="I49" s="3">
        <v>2024</v>
      </c>
      <c r="J49" s="3" t="str">
        <f>CONCATENATE("44811098068")</f>
        <v>44811098068</v>
      </c>
      <c r="K49" s="3" t="s">
        <v>33</v>
      </c>
      <c r="L49" s="3"/>
      <c r="M49" s="3" t="s">
        <v>86</v>
      </c>
      <c r="N49" s="3" t="str">
        <f>CONCATENATE("01474980420")</f>
        <v>01474980420</v>
      </c>
      <c r="O49" s="3" t="s">
        <v>117</v>
      </c>
      <c r="P49" s="3" t="s">
        <v>83</v>
      </c>
      <c r="Q49" s="3" t="s">
        <v>88</v>
      </c>
      <c r="R49" s="4">
        <v>45992</v>
      </c>
      <c r="S49" s="3" t="s">
        <v>37</v>
      </c>
      <c r="T49" s="3" t="s">
        <v>38</v>
      </c>
      <c r="U49" s="3" t="s">
        <v>39</v>
      </c>
      <c r="V49" s="3">
        <v>643.39</v>
      </c>
      <c r="W49" s="3">
        <v>273.44</v>
      </c>
      <c r="X49" s="3">
        <v>258.95999999999998</v>
      </c>
      <c r="Y49" s="3">
        <v>110.99</v>
      </c>
    </row>
    <row r="50" spans="1:25" ht="36.75" hidden="1" x14ac:dyDescent="0.25">
      <c r="A50" s="3" t="s">
        <v>26</v>
      </c>
      <c r="B50" s="3" t="s">
        <v>27</v>
      </c>
      <c r="C50" s="3" t="s">
        <v>28</v>
      </c>
      <c r="D50" s="3" t="s">
        <v>29</v>
      </c>
      <c r="E50" s="3" t="s">
        <v>85</v>
      </c>
      <c r="F50" s="3" t="s">
        <v>31</v>
      </c>
      <c r="G50" s="3" t="s">
        <v>85</v>
      </c>
      <c r="H50" s="3" t="s">
        <v>48</v>
      </c>
      <c r="I50" s="3">
        <v>2024</v>
      </c>
      <c r="J50" s="3" t="str">
        <f>CONCATENATE("44810151538")</f>
        <v>44810151538</v>
      </c>
      <c r="K50" s="3" t="s">
        <v>33</v>
      </c>
      <c r="L50" s="3"/>
      <c r="M50" s="3" t="s">
        <v>86</v>
      </c>
      <c r="N50" s="3" t="str">
        <f>CONCATENATE("02875530426")</f>
        <v>02875530426</v>
      </c>
      <c r="O50" s="3" t="s">
        <v>118</v>
      </c>
      <c r="P50" s="3" t="s">
        <v>83</v>
      </c>
      <c r="Q50" s="3" t="s">
        <v>88</v>
      </c>
      <c r="R50" s="4">
        <v>45992</v>
      </c>
      <c r="S50" s="3" t="s">
        <v>37</v>
      </c>
      <c r="T50" s="3" t="s">
        <v>38</v>
      </c>
      <c r="U50" s="3" t="s">
        <v>39</v>
      </c>
      <c r="V50" s="3">
        <v>276.87</v>
      </c>
      <c r="W50" s="3">
        <v>117.67</v>
      </c>
      <c r="X50" s="3">
        <v>111.44</v>
      </c>
      <c r="Y50" s="3">
        <v>47.76</v>
      </c>
    </row>
    <row r="51" spans="1:25" ht="60.75" x14ac:dyDescent="0.25">
      <c r="A51" s="3" t="s">
        <v>26</v>
      </c>
      <c r="B51" s="3" t="s">
        <v>27</v>
      </c>
      <c r="C51" s="3" t="s">
        <v>28</v>
      </c>
      <c r="D51" s="3" t="s">
        <v>29</v>
      </c>
      <c r="E51" s="3" t="s">
        <v>119</v>
      </c>
      <c r="F51" s="3" t="s">
        <v>31</v>
      </c>
      <c r="G51" s="3" t="s">
        <v>119</v>
      </c>
      <c r="H51" s="3" t="s">
        <v>96</v>
      </c>
      <c r="I51" s="3">
        <v>2025</v>
      </c>
      <c r="J51" s="3" t="str">
        <f>CONCATENATE("54810146370")</f>
        <v>54810146370</v>
      </c>
      <c r="K51" s="3" t="s">
        <v>33</v>
      </c>
      <c r="L51" s="3"/>
      <c r="M51" s="3" t="s">
        <v>120</v>
      </c>
      <c r="N51" s="3" t="str">
        <f>CONCATENATE("RCCDVD98R14I324A")</f>
        <v>RCCDVD98R14I324A</v>
      </c>
      <c r="O51" s="3" t="s">
        <v>121</v>
      </c>
      <c r="P51" s="3" t="s">
        <v>36</v>
      </c>
      <c r="Q51" s="3"/>
      <c r="R51" s="4">
        <v>45995</v>
      </c>
      <c r="S51" s="3" t="s">
        <v>37</v>
      </c>
      <c r="T51" s="3" t="s">
        <v>38</v>
      </c>
      <c r="U51" s="3" t="s">
        <v>39</v>
      </c>
      <c r="V51" s="3">
        <v>247.64</v>
      </c>
      <c r="W51" s="3">
        <v>105.25</v>
      </c>
      <c r="X51" s="3">
        <v>99.68</v>
      </c>
      <c r="Y51" s="3">
        <v>42.71</v>
      </c>
    </row>
    <row r="52" spans="1:25" ht="60.75" x14ac:dyDescent="0.25">
      <c r="A52" s="3" t="s">
        <v>26</v>
      </c>
      <c r="B52" s="3" t="s">
        <v>27</v>
      </c>
      <c r="C52" s="3" t="s">
        <v>28</v>
      </c>
      <c r="D52" s="3" t="s">
        <v>40</v>
      </c>
      <c r="E52" s="3" t="s">
        <v>122</v>
      </c>
      <c r="F52" s="3" t="s">
        <v>42</v>
      </c>
      <c r="G52" s="3" t="s">
        <v>122</v>
      </c>
      <c r="H52" s="3" t="s">
        <v>32</v>
      </c>
      <c r="I52" s="3">
        <v>2025</v>
      </c>
      <c r="J52" s="3" t="str">
        <f>CONCATENATE("54811108205")</f>
        <v>54811108205</v>
      </c>
      <c r="K52" s="3" t="s">
        <v>33</v>
      </c>
      <c r="L52" s="3"/>
      <c r="M52" s="3" t="s">
        <v>120</v>
      </c>
      <c r="N52" s="3" t="str">
        <f>CONCATENATE("SPRPLA84M22I156A")</f>
        <v>SPRPLA84M22I156A</v>
      </c>
      <c r="O52" s="3" t="s">
        <v>123</v>
      </c>
      <c r="P52" s="3" t="s">
        <v>36</v>
      </c>
      <c r="Q52" s="3"/>
      <c r="R52" s="4">
        <v>45995</v>
      </c>
      <c r="S52" s="3" t="s">
        <v>37</v>
      </c>
      <c r="T52" s="3" t="s">
        <v>38</v>
      </c>
      <c r="U52" s="3" t="s">
        <v>39</v>
      </c>
      <c r="V52" s="3">
        <v>293.31</v>
      </c>
      <c r="W52" s="3">
        <v>124.66</v>
      </c>
      <c r="X52" s="3">
        <v>118.06</v>
      </c>
      <c r="Y52" s="3">
        <v>50.59</v>
      </c>
    </row>
    <row r="53" spans="1:25" ht="36.75" x14ac:dyDescent="0.25">
      <c r="A53" s="3" t="s">
        <v>26</v>
      </c>
      <c r="B53" s="3" t="s">
        <v>27</v>
      </c>
      <c r="C53" s="3" t="s">
        <v>28</v>
      </c>
      <c r="D53" s="3" t="s">
        <v>29</v>
      </c>
      <c r="E53" s="3" t="s">
        <v>119</v>
      </c>
      <c r="F53" s="3" t="s">
        <v>31</v>
      </c>
      <c r="G53" s="3" t="s">
        <v>119</v>
      </c>
      <c r="H53" s="3" t="s">
        <v>96</v>
      </c>
      <c r="I53" s="3">
        <v>2025</v>
      </c>
      <c r="J53" s="3" t="str">
        <f>CONCATENATE("54810323599")</f>
        <v>54810323599</v>
      </c>
      <c r="K53" s="3" t="s">
        <v>33</v>
      </c>
      <c r="L53" s="3"/>
      <c r="M53" s="3" t="s">
        <v>120</v>
      </c>
      <c r="N53" s="3" t="str">
        <f>CONCATENATE("02275340442")</f>
        <v>02275340442</v>
      </c>
      <c r="O53" s="3" t="s">
        <v>124</v>
      </c>
      <c r="P53" s="3" t="s">
        <v>36</v>
      </c>
      <c r="Q53" s="3"/>
      <c r="R53" s="4">
        <v>45995</v>
      </c>
      <c r="S53" s="3" t="s">
        <v>37</v>
      </c>
      <c r="T53" s="3" t="s">
        <v>38</v>
      </c>
      <c r="U53" s="3" t="s">
        <v>39</v>
      </c>
      <c r="V53" s="3">
        <v>728.01</v>
      </c>
      <c r="W53" s="3">
        <v>309.39999999999998</v>
      </c>
      <c r="X53" s="3">
        <v>293.02</v>
      </c>
      <c r="Y53" s="3">
        <v>125.59</v>
      </c>
    </row>
    <row r="54" spans="1:25" ht="60.75" hidden="1" x14ac:dyDescent="0.25">
      <c r="A54" s="3" t="s">
        <v>26</v>
      </c>
      <c r="B54" s="3" t="s">
        <v>27</v>
      </c>
      <c r="C54" s="3" t="s">
        <v>28</v>
      </c>
      <c r="D54" s="3" t="s">
        <v>29</v>
      </c>
      <c r="E54" s="3" t="s">
        <v>125</v>
      </c>
      <c r="F54" s="3" t="s">
        <v>31</v>
      </c>
      <c r="G54" s="3" t="s">
        <v>125</v>
      </c>
      <c r="H54" s="3" t="s">
        <v>32</v>
      </c>
      <c r="I54" s="3">
        <v>2024</v>
      </c>
      <c r="J54" s="3" t="str">
        <f>CONCATENATE("44811916988")</f>
        <v>44811916988</v>
      </c>
      <c r="K54" s="3" t="s">
        <v>33</v>
      </c>
      <c r="L54" s="3"/>
      <c r="M54" s="3" t="s">
        <v>120</v>
      </c>
      <c r="N54" s="3" t="str">
        <f>CONCATENATE("GZZFNC68P12H211F")</f>
        <v>GZZFNC68P12H211F</v>
      </c>
      <c r="O54" s="3" t="s">
        <v>126</v>
      </c>
      <c r="P54" s="3" t="s">
        <v>83</v>
      </c>
      <c r="Q54" s="3" t="s">
        <v>127</v>
      </c>
      <c r="R54" s="4">
        <v>45992</v>
      </c>
      <c r="S54" s="3" t="s">
        <v>37</v>
      </c>
      <c r="T54" s="3" t="s">
        <v>38</v>
      </c>
      <c r="U54" s="3" t="s">
        <v>39</v>
      </c>
      <c r="V54" s="5">
        <v>13071.64</v>
      </c>
      <c r="W54" s="5">
        <v>5555.45</v>
      </c>
      <c r="X54" s="5">
        <v>5261.34</v>
      </c>
      <c r="Y54" s="5">
        <v>2254.85</v>
      </c>
    </row>
    <row r="55" spans="1:25" ht="72.75" hidden="1" x14ac:dyDescent="0.25">
      <c r="A55" s="3" t="s">
        <v>26</v>
      </c>
      <c r="B55" s="3" t="s">
        <v>27</v>
      </c>
      <c r="C55" s="3" t="s">
        <v>28</v>
      </c>
      <c r="D55" s="3" t="s">
        <v>29</v>
      </c>
      <c r="E55" s="3" t="s">
        <v>128</v>
      </c>
      <c r="F55" s="3" t="s">
        <v>31</v>
      </c>
      <c r="G55" s="3" t="s">
        <v>128</v>
      </c>
      <c r="H55" s="3" t="s">
        <v>48</v>
      </c>
      <c r="I55" s="3">
        <v>2024</v>
      </c>
      <c r="J55" s="3" t="str">
        <f>CONCATENATE("44810160638")</f>
        <v>44810160638</v>
      </c>
      <c r="K55" s="3" t="s">
        <v>33</v>
      </c>
      <c r="L55" s="3"/>
      <c r="M55" s="3" t="s">
        <v>120</v>
      </c>
      <c r="N55" s="3" t="str">
        <f>CONCATENATE("MRTMSM64P15G157T")</f>
        <v>MRTMSM64P15G157T</v>
      </c>
      <c r="O55" s="3" t="s">
        <v>129</v>
      </c>
      <c r="P55" s="3" t="s">
        <v>83</v>
      </c>
      <c r="Q55" s="3" t="s">
        <v>127</v>
      </c>
      <c r="R55" s="4">
        <v>45992</v>
      </c>
      <c r="S55" s="3" t="s">
        <v>37</v>
      </c>
      <c r="T55" s="3" t="s">
        <v>38</v>
      </c>
      <c r="U55" s="3" t="s">
        <v>39</v>
      </c>
      <c r="V55" s="5">
        <v>16139.29</v>
      </c>
      <c r="W55" s="5">
        <v>6859.2</v>
      </c>
      <c r="X55" s="5">
        <v>6496.06</v>
      </c>
      <c r="Y55" s="5">
        <v>2784.03</v>
      </c>
    </row>
    <row r="56" spans="1:25" ht="36.75" hidden="1" x14ac:dyDescent="0.25">
      <c r="A56" s="3" t="s">
        <v>26</v>
      </c>
      <c r="B56" s="3" t="s">
        <v>27</v>
      </c>
      <c r="C56" s="3" t="s">
        <v>28</v>
      </c>
      <c r="D56" s="3" t="s">
        <v>29</v>
      </c>
      <c r="E56" s="3" t="s">
        <v>128</v>
      </c>
      <c r="F56" s="3" t="s">
        <v>31</v>
      </c>
      <c r="G56" s="3" t="s">
        <v>128</v>
      </c>
      <c r="H56" s="3" t="s">
        <v>48</v>
      </c>
      <c r="I56" s="3">
        <v>2024</v>
      </c>
      <c r="J56" s="3" t="str">
        <f>CONCATENATE("44811050887")</f>
        <v>44811050887</v>
      </c>
      <c r="K56" s="3" t="s">
        <v>33</v>
      </c>
      <c r="L56" s="3"/>
      <c r="M56" s="3" t="s">
        <v>120</v>
      </c>
      <c r="N56" s="3" t="str">
        <f>CONCATENATE("01334510425")</f>
        <v>01334510425</v>
      </c>
      <c r="O56" s="3" t="s">
        <v>130</v>
      </c>
      <c r="P56" s="3" t="s">
        <v>83</v>
      </c>
      <c r="Q56" s="3" t="s">
        <v>127</v>
      </c>
      <c r="R56" s="4">
        <v>45992</v>
      </c>
      <c r="S56" s="3" t="s">
        <v>37</v>
      </c>
      <c r="T56" s="3" t="s">
        <v>38</v>
      </c>
      <c r="U56" s="3" t="s">
        <v>39</v>
      </c>
      <c r="V56" s="5">
        <v>16901.73</v>
      </c>
      <c r="W56" s="5">
        <v>7183.24</v>
      </c>
      <c r="X56" s="5">
        <v>6802.95</v>
      </c>
      <c r="Y56" s="5">
        <v>2915.54</v>
      </c>
    </row>
    <row r="57" spans="1:25" ht="72.75" x14ac:dyDescent="0.25">
      <c r="A57" s="3" t="s">
        <v>26</v>
      </c>
      <c r="B57" s="3" t="s">
        <v>27</v>
      </c>
      <c r="C57" s="3" t="s">
        <v>28</v>
      </c>
      <c r="D57" s="3" t="s">
        <v>50</v>
      </c>
      <c r="E57" s="3" t="s">
        <v>51</v>
      </c>
      <c r="F57" s="3" t="s">
        <v>52</v>
      </c>
      <c r="G57" s="3" t="s">
        <v>51</v>
      </c>
      <c r="H57" s="3" t="s">
        <v>48</v>
      </c>
      <c r="I57" s="3">
        <v>2025</v>
      </c>
      <c r="J57" s="3" t="str">
        <f>CONCATENATE("54820116108")</f>
        <v>54820116108</v>
      </c>
      <c r="K57" s="3" t="s">
        <v>33</v>
      </c>
      <c r="L57" s="3"/>
      <c r="M57" s="3" t="s">
        <v>131</v>
      </c>
      <c r="N57" s="3" t="str">
        <f>CONCATENATE("MRNSDR74P29D451F")</f>
        <v>MRNSDR74P29D451F</v>
      </c>
      <c r="O57" s="3" t="s">
        <v>132</v>
      </c>
      <c r="P57" s="3" t="s">
        <v>36</v>
      </c>
      <c r="Q57" s="3"/>
      <c r="R57" s="4">
        <v>45996</v>
      </c>
      <c r="S57" s="3" t="s">
        <v>37</v>
      </c>
      <c r="T57" s="3" t="s">
        <v>38</v>
      </c>
      <c r="U57" s="3" t="s">
        <v>39</v>
      </c>
      <c r="V57" s="3">
        <v>102.96</v>
      </c>
      <c r="W57" s="3">
        <v>43.76</v>
      </c>
      <c r="X57" s="3">
        <v>41.44</v>
      </c>
      <c r="Y57" s="3">
        <v>17.760000000000002</v>
      </c>
    </row>
    <row r="58" spans="1:25" ht="60.75" x14ac:dyDescent="0.25">
      <c r="A58" s="3" t="s">
        <v>26</v>
      </c>
      <c r="B58" s="3" t="s">
        <v>27</v>
      </c>
      <c r="C58" s="3" t="s">
        <v>28</v>
      </c>
      <c r="D58" s="3" t="s">
        <v>29</v>
      </c>
      <c r="E58" s="3" t="s">
        <v>72</v>
      </c>
      <c r="F58" s="3" t="s">
        <v>31</v>
      </c>
      <c r="G58" s="3" t="s">
        <v>72</v>
      </c>
      <c r="H58" s="3" t="s">
        <v>45</v>
      </c>
      <c r="I58" s="3">
        <v>2025</v>
      </c>
      <c r="J58" s="3" t="str">
        <f>CONCATENATE("54820073226")</f>
        <v>54820073226</v>
      </c>
      <c r="K58" s="3" t="s">
        <v>33</v>
      </c>
      <c r="L58" s="3"/>
      <c r="M58" s="3" t="s">
        <v>131</v>
      </c>
      <c r="N58" s="3" t="str">
        <f>CONCATENATE("PSSPPL46S02D808F")</f>
        <v>PSSPPL46S02D808F</v>
      </c>
      <c r="O58" s="3" t="s">
        <v>133</v>
      </c>
      <c r="P58" s="3" t="s">
        <v>36</v>
      </c>
      <c r="Q58" s="3"/>
      <c r="R58" s="4">
        <v>45996</v>
      </c>
      <c r="S58" s="3" t="s">
        <v>37</v>
      </c>
      <c r="T58" s="3" t="s">
        <v>38</v>
      </c>
      <c r="U58" s="3" t="s">
        <v>39</v>
      </c>
      <c r="V58" s="3">
        <v>752.3</v>
      </c>
      <c r="W58" s="3">
        <v>319.73</v>
      </c>
      <c r="X58" s="3">
        <v>302.8</v>
      </c>
      <c r="Y58" s="3">
        <v>129.77000000000001</v>
      </c>
    </row>
    <row r="59" spans="1:25" ht="72.75" x14ac:dyDescent="0.25">
      <c r="A59" s="3" t="s">
        <v>26</v>
      </c>
      <c r="B59" s="3" t="s">
        <v>27</v>
      </c>
      <c r="C59" s="3" t="s">
        <v>28</v>
      </c>
      <c r="D59" s="3" t="s">
        <v>29</v>
      </c>
      <c r="E59" s="3" t="s">
        <v>72</v>
      </c>
      <c r="F59" s="3" t="s">
        <v>31</v>
      </c>
      <c r="G59" s="3" t="s">
        <v>72</v>
      </c>
      <c r="H59" s="3" t="s">
        <v>45</v>
      </c>
      <c r="I59" s="3">
        <v>2025</v>
      </c>
      <c r="J59" s="3" t="str">
        <f>CONCATENATE("54820012695")</f>
        <v>54820012695</v>
      </c>
      <c r="K59" s="3" t="s">
        <v>33</v>
      </c>
      <c r="L59" s="3"/>
      <c r="M59" s="3" t="s">
        <v>131</v>
      </c>
      <c r="N59" s="3" t="str">
        <f>CONCATENATE("MGRRND49E09D786H")</f>
        <v>MGRRND49E09D786H</v>
      </c>
      <c r="O59" s="3" t="s">
        <v>134</v>
      </c>
      <c r="P59" s="3" t="s">
        <v>36</v>
      </c>
      <c r="Q59" s="3"/>
      <c r="R59" s="4">
        <v>45996</v>
      </c>
      <c r="S59" s="3" t="s">
        <v>37</v>
      </c>
      <c r="T59" s="3" t="s">
        <v>38</v>
      </c>
      <c r="U59" s="3" t="s">
        <v>39</v>
      </c>
      <c r="V59" s="3">
        <v>82.33</v>
      </c>
      <c r="W59" s="3">
        <v>34.99</v>
      </c>
      <c r="X59" s="3">
        <v>33.14</v>
      </c>
      <c r="Y59" s="3">
        <v>14.2</v>
      </c>
    </row>
    <row r="60" spans="1:25" ht="60.75" x14ac:dyDescent="0.25">
      <c r="A60" s="3" t="s">
        <v>26</v>
      </c>
      <c r="B60" s="3" t="s">
        <v>27</v>
      </c>
      <c r="C60" s="3" t="s">
        <v>28</v>
      </c>
      <c r="D60" s="3" t="s">
        <v>50</v>
      </c>
      <c r="E60" s="3" t="s">
        <v>51</v>
      </c>
      <c r="F60" s="3" t="s">
        <v>52</v>
      </c>
      <c r="G60" s="3" t="s">
        <v>51</v>
      </c>
      <c r="H60" s="3" t="s">
        <v>48</v>
      </c>
      <c r="I60" s="3">
        <v>2025</v>
      </c>
      <c r="J60" s="3" t="str">
        <f>CONCATENATE("54820110655")</f>
        <v>54820110655</v>
      </c>
      <c r="K60" s="3" t="s">
        <v>33</v>
      </c>
      <c r="L60" s="3"/>
      <c r="M60" s="3" t="s">
        <v>131</v>
      </c>
      <c r="N60" s="3" t="str">
        <f>CONCATENATE("TNIRST52L22H501K")</f>
        <v>TNIRST52L22H501K</v>
      </c>
      <c r="O60" s="3" t="s">
        <v>135</v>
      </c>
      <c r="P60" s="3" t="s">
        <v>36</v>
      </c>
      <c r="Q60" s="3"/>
      <c r="R60" s="4">
        <v>45996</v>
      </c>
      <c r="S60" s="3" t="s">
        <v>37</v>
      </c>
      <c r="T60" s="3" t="s">
        <v>38</v>
      </c>
      <c r="U60" s="3" t="s">
        <v>39</v>
      </c>
      <c r="V60" s="3">
        <v>78.09</v>
      </c>
      <c r="W60" s="3">
        <v>33.19</v>
      </c>
      <c r="X60" s="3">
        <v>31.43</v>
      </c>
      <c r="Y60" s="3">
        <v>13.47</v>
      </c>
    </row>
    <row r="61" spans="1:25" ht="60.75" x14ac:dyDescent="0.25">
      <c r="A61" s="3" t="s">
        <v>26</v>
      </c>
      <c r="B61" s="3" t="s">
        <v>27</v>
      </c>
      <c r="C61" s="3" t="s">
        <v>28</v>
      </c>
      <c r="D61" s="3" t="s">
        <v>29</v>
      </c>
      <c r="E61" s="3" t="s">
        <v>136</v>
      </c>
      <c r="F61" s="3" t="s">
        <v>31</v>
      </c>
      <c r="G61" s="3" t="s">
        <v>136</v>
      </c>
      <c r="H61" s="3" t="s">
        <v>48</v>
      </c>
      <c r="I61" s="3">
        <v>2025</v>
      </c>
      <c r="J61" s="3" t="str">
        <f>CONCATENATE("54820075841")</f>
        <v>54820075841</v>
      </c>
      <c r="K61" s="3" t="s">
        <v>33</v>
      </c>
      <c r="L61" s="3"/>
      <c r="M61" s="3" t="s">
        <v>131</v>
      </c>
      <c r="N61" s="3" t="str">
        <f>CONCATENATE("FRNFNC47L02I461V")</f>
        <v>FRNFNC47L02I461V</v>
      </c>
      <c r="O61" s="3" t="s">
        <v>137</v>
      </c>
      <c r="P61" s="3" t="s">
        <v>36</v>
      </c>
      <c r="Q61" s="3"/>
      <c r="R61" s="4">
        <v>45996</v>
      </c>
      <c r="S61" s="3" t="s">
        <v>37</v>
      </c>
      <c r="T61" s="3" t="s">
        <v>38</v>
      </c>
      <c r="U61" s="3" t="s">
        <v>39</v>
      </c>
      <c r="V61" s="3">
        <v>48.8</v>
      </c>
      <c r="W61" s="3">
        <v>20.74</v>
      </c>
      <c r="X61" s="3">
        <v>19.64</v>
      </c>
      <c r="Y61" s="3">
        <v>8.42</v>
      </c>
    </row>
    <row r="62" spans="1:25" ht="36.75" x14ac:dyDescent="0.25">
      <c r="A62" s="3" t="s">
        <v>26</v>
      </c>
      <c r="B62" s="3" t="s">
        <v>27</v>
      </c>
      <c r="C62" s="3" t="s">
        <v>28</v>
      </c>
      <c r="D62" s="3" t="s">
        <v>40</v>
      </c>
      <c r="E62" s="3" t="s">
        <v>54</v>
      </c>
      <c r="F62" s="3" t="s">
        <v>42</v>
      </c>
      <c r="G62" s="3" t="s">
        <v>54</v>
      </c>
      <c r="H62" s="3" t="s">
        <v>45</v>
      </c>
      <c r="I62" s="3">
        <v>2025</v>
      </c>
      <c r="J62" s="3" t="str">
        <f>CONCATENATE("54820026125")</f>
        <v>54820026125</v>
      </c>
      <c r="K62" s="3" t="s">
        <v>33</v>
      </c>
      <c r="L62" s="3"/>
      <c r="M62" s="3" t="s">
        <v>131</v>
      </c>
      <c r="N62" s="3" t="str">
        <f>CONCATENATE("02745150413")</f>
        <v>02745150413</v>
      </c>
      <c r="O62" s="3" t="s">
        <v>138</v>
      </c>
      <c r="P62" s="3" t="s">
        <v>36</v>
      </c>
      <c r="Q62" s="3"/>
      <c r="R62" s="4">
        <v>45996</v>
      </c>
      <c r="S62" s="3" t="s">
        <v>37</v>
      </c>
      <c r="T62" s="3" t="s">
        <v>38</v>
      </c>
      <c r="U62" s="3" t="s">
        <v>39</v>
      </c>
      <c r="V62" s="3">
        <v>89.82</v>
      </c>
      <c r="W62" s="3">
        <v>38.17</v>
      </c>
      <c r="X62" s="3">
        <v>36.15</v>
      </c>
      <c r="Y62" s="3">
        <v>15.5</v>
      </c>
    </row>
    <row r="63" spans="1:25" ht="36.75" x14ac:dyDescent="0.25">
      <c r="A63" s="3" t="s">
        <v>26</v>
      </c>
      <c r="B63" s="3" t="s">
        <v>27</v>
      </c>
      <c r="C63" s="3" t="s">
        <v>28</v>
      </c>
      <c r="D63" s="3" t="s">
        <v>40</v>
      </c>
      <c r="E63" s="3" t="s">
        <v>54</v>
      </c>
      <c r="F63" s="3" t="s">
        <v>42</v>
      </c>
      <c r="G63" s="3" t="s">
        <v>54</v>
      </c>
      <c r="H63" s="3" t="s">
        <v>45</v>
      </c>
      <c r="I63" s="3">
        <v>2025</v>
      </c>
      <c r="J63" s="3" t="str">
        <f>CONCATENATE("54820058862")</f>
        <v>54820058862</v>
      </c>
      <c r="K63" s="3" t="s">
        <v>33</v>
      </c>
      <c r="L63" s="3"/>
      <c r="M63" s="3" t="s">
        <v>131</v>
      </c>
      <c r="N63" s="3" t="str">
        <f>CONCATENATE("01480720414")</f>
        <v>01480720414</v>
      </c>
      <c r="O63" s="3" t="s">
        <v>139</v>
      </c>
      <c r="P63" s="3" t="s">
        <v>36</v>
      </c>
      <c r="Q63" s="3"/>
      <c r="R63" s="4">
        <v>45996</v>
      </c>
      <c r="S63" s="3" t="s">
        <v>37</v>
      </c>
      <c r="T63" s="3" t="s">
        <v>38</v>
      </c>
      <c r="U63" s="3" t="s">
        <v>39</v>
      </c>
      <c r="V63" s="3">
        <v>557.22</v>
      </c>
      <c r="W63" s="3">
        <v>236.82</v>
      </c>
      <c r="X63" s="3">
        <v>224.28</v>
      </c>
      <c r="Y63" s="3">
        <v>96.12</v>
      </c>
    </row>
    <row r="64" spans="1:25" ht="60.75" x14ac:dyDescent="0.25">
      <c r="A64" s="3" t="s">
        <v>26</v>
      </c>
      <c r="B64" s="3" t="s">
        <v>27</v>
      </c>
      <c r="C64" s="3" t="s">
        <v>28</v>
      </c>
      <c r="D64" s="3" t="s">
        <v>50</v>
      </c>
      <c r="E64" s="3" t="s">
        <v>60</v>
      </c>
      <c r="F64" s="3" t="s">
        <v>52</v>
      </c>
      <c r="G64" s="3" t="s">
        <v>60</v>
      </c>
      <c r="H64" s="3" t="s">
        <v>48</v>
      </c>
      <c r="I64" s="3">
        <v>2025</v>
      </c>
      <c r="J64" s="3" t="str">
        <f>CONCATENATE("54820230826")</f>
        <v>54820230826</v>
      </c>
      <c r="K64" s="3" t="s">
        <v>33</v>
      </c>
      <c r="L64" s="3"/>
      <c r="M64" s="3" t="s">
        <v>131</v>
      </c>
      <c r="N64" s="3" t="str">
        <f>CONCATENATE("MNCBRC71B67Z133T")</f>
        <v>MNCBRC71B67Z133T</v>
      </c>
      <c r="O64" s="3" t="s">
        <v>140</v>
      </c>
      <c r="P64" s="3" t="s">
        <v>36</v>
      </c>
      <c r="Q64" s="3"/>
      <c r="R64" s="4">
        <v>45996</v>
      </c>
      <c r="S64" s="3" t="s">
        <v>37</v>
      </c>
      <c r="T64" s="3" t="s">
        <v>38</v>
      </c>
      <c r="U64" s="3" t="s">
        <v>39</v>
      </c>
      <c r="V64" s="3">
        <v>334.84</v>
      </c>
      <c r="W64" s="3">
        <v>142.31</v>
      </c>
      <c r="X64" s="3">
        <v>134.77000000000001</v>
      </c>
      <c r="Y64" s="3">
        <v>57.76</v>
      </c>
    </row>
    <row r="65" spans="1:25" ht="60.75" x14ac:dyDescent="0.25">
      <c r="A65" s="3" t="s">
        <v>26</v>
      </c>
      <c r="B65" s="3" t="s">
        <v>27</v>
      </c>
      <c r="C65" s="3" t="s">
        <v>28</v>
      </c>
      <c r="D65" s="3" t="s">
        <v>104</v>
      </c>
      <c r="E65" s="3" t="s">
        <v>141</v>
      </c>
      <c r="F65" s="3" t="s">
        <v>104</v>
      </c>
      <c r="G65" s="3" t="s">
        <v>141</v>
      </c>
      <c r="H65" s="3" t="s">
        <v>96</v>
      </c>
      <c r="I65" s="3">
        <v>2025</v>
      </c>
      <c r="J65" s="3" t="str">
        <f>CONCATENATE("54820277587")</f>
        <v>54820277587</v>
      </c>
      <c r="K65" s="3" t="s">
        <v>33</v>
      </c>
      <c r="L65" s="3"/>
      <c r="M65" s="3" t="s">
        <v>131</v>
      </c>
      <c r="N65" s="3" t="str">
        <f>CONCATENATE("CCCSFN60D56A044I")</f>
        <v>CCCSFN60D56A044I</v>
      </c>
      <c r="O65" s="3" t="s">
        <v>142</v>
      </c>
      <c r="P65" s="3" t="s">
        <v>36</v>
      </c>
      <c r="Q65" s="3"/>
      <c r="R65" s="4">
        <v>45996</v>
      </c>
      <c r="S65" s="3" t="s">
        <v>37</v>
      </c>
      <c r="T65" s="3" t="s">
        <v>38</v>
      </c>
      <c r="U65" s="3" t="s">
        <v>39</v>
      </c>
      <c r="V65" s="3">
        <v>125.83</v>
      </c>
      <c r="W65" s="3">
        <v>53.48</v>
      </c>
      <c r="X65" s="3">
        <v>50.65</v>
      </c>
      <c r="Y65" s="3">
        <v>21.7</v>
      </c>
    </row>
    <row r="66" spans="1:25" ht="72.75" x14ac:dyDescent="0.25">
      <c r="A66" s="3" t="s">
        <v>26</v>
      </c>
      <c r="B66" s="3" t="s">
        <v>27</v>
      </c>
      <c r="C66" s="3" t="s">
        <v>28</v>
      </c>
      <c r="D66" s="3" t="s">
        <v>50</v>
      </c>
      <c r="E66" s="3" t="s">
        <v>51</v>
      </c>
      <c r="F66" s="3" t="s">
        <v>52</v>
      </c>
      <c r="G66" s="3" t="s">
        <v>51</v>
      </c>
      <c r="H66" s="3" t="s">
        <v>48</v>
      </c>
      <c r="I66" s="3">
        <v>2025</v>
      </c>
      <c r="J66" s="3" t="str">
        <f>CONCATENATE("54820163225")</f>
        <v>54820163225</v>
      </c>
      <c r="K66" s="3" t="s">
        <v>33</v>
      </c>
      <c r="L66" s="3"/>
      <c r="M66" s="3" t="s">
        <v>131</v>
      </c>
      <c r="N66" s="3" t="str">
        <f>CONCATENATE("BRTMRN62H52I461B")</f>
        <v>BRTMRN62H52I461B</v>
      </c>
      <c r="O66" s="3" t="s">
        <v>143</v>
      </c>
      <c r="P66" s="3" t="s">
        <v>36</v>
      </c>
      <c r="Q66" s="3"/>
      <c r="R66" s="4">
        <v>45996</v>
      </c>
      <c r="S66" s="3" t="s">
        <v>37</v>
      </c>
      <c r="T66" s="3" t="s">
        <v>38</v>
      </c>
      <c r="U66" s="3" t="s">
        <v>39</v>
      </c>
      <c r="V66" s="3">
        <v>57.12</v>
      </c>
      <c r="W66" s="3">
        <v>24.28</v>
      </c>
      <c r="X66" s="3">
        <v>22.99</v>
      </c>
      <c r="Y66" s="3">
        <v>9.85</v>
      </c>
    </row>
    <row r="67" spans="1:25" ht="60.75" x14ac:dyDescent="0.25">
      <c r="A67" s="3" t="s">
        <v>26</v>
      </c>
      <c r="B67" s="3" t="s">
        <v>27</v>
      </c>
      <c r="C67" s="3" t="s">
        <v>28</v>
      </c>
      <c r="D67" s="3" t="s">
        <v>29</v>
      </c>
      <c r="E67" s="3" t="s">
        <v>80</v>
      </c>
      <c r="F67" s="3" t="s">
        <v>31</v>
      </c>
      <c r="G67" s="3" t="s">
        <v>80</v>
      </c>
      <c r="H67" s="3" t="s">
        <v>45</v>
      </c>
      <c r="I67" s="3">
        <v>2025</v>
      </c>
      <c r="J67" s="3" t="str">
        <f>CONCATENATE("54820062708")</f>
        <v>54820062708</v>
      </c>
      <c r="K67" s="3" t="s">
        <v>33</v>
      </c>
      <c r="L67" s="3"/>
      <c r="M67" s="3" t="s">
        <v>131</v>
      </c>
      <c r="N67" s="3" t="str">
        <f>CONCATENATE("PLDLCN48A22D749Q")</f>
        <v>PLDLCN48A22D749Q</v>
      </c>
      <c r="O67" s="3" t="s">
        <v>144</v>
      </c>
      <c r="P67" s="3" t="s">
        <v>36</v>
      </c>
      <c r="Q67" s="3"/>
      <c r="R67" s="4">
        <v>45996</v>
      </c>
      <c r="S67" s="3" t="s">
        <v>37</v>
      </c>
      <c r="T67" s="3" t="s">
        <v>38</v>
      </c>
      <c r="U67" s="3" t="s">
        <v>39</v>
      </c>
      <c r="V67" s="3">
        <v>63.96</v>
      </c>
      <c r="W67" s="3">
        <v>27.18</v>
      </c>
      <c r="X67" s="3">
        <v>25.74</v>
      </c>
      <c r="Y67" s="3">
        <v>11.04</v>
      </c>
    </row>
    <row r="68" spans="1:25" ht="60.75" x14ac:dyDescent="0.25">
      <c r="A68" s="3" t="s">
        <v>26</v>
      </c>
      <c r="B68" s="3" t="s">
        <v>27</v>
      </c>
      <c r="C68" s="3" t="s">
        <v>28</v>
      </c>
      <c r="D68" s="3" t="s">
        <v>50</v>
      </c>
      <c r="E68" s="3" t="s">
        <v>60</v>
      </c>
      <c r="F68" s="3" t="s">
        <v>52</v>
      </c>
      <c r="G68" s="3" t="s">
        <v>60</v>
      </c>
      <c r="H68" s="3" t="s">
        <v>45</v>
      </c>
      <c r="I68" s="3">
        <v>2025</v>
      </c>
      <c r="J68" s="3" t="str">
        <f>CONCATENATE("54820179452")</f>
        <v>54820179452</v>
      </c>
      <c r="K68" s="3" t="s">
        <v>33</v>
      </c>
      <c r="L68" s="3"/>
      <c r="M68" s="3" t="s">
        <v>131</v>
      </c>
      <c r="N68" s="3" t="str">
        <f>CONCATENATE("PRNTTL55B12D791H")</f>
        <v>PRNTTL55B12D791H</v>
      </c>
      <c r="O68" s="3" t="s">
        <v>145</v>
      </c>
      <c r="P68" s="3" t="s">
        <v>36</v>
      </c>
      <c r="Q68" s="3"/>
      <c r="R68" s="4">
        <v>45996</v>
      </c>
      <c r="S68" s="3" t="s">
        <v>37</v>
      </c>
      <c r="T68" s="3" t="s">
        <v>38</v>
      </c>
      <c r="U68" s="3" t="s">
        <v>39</v>
      </c>
      <c r="V68" s="3">
        <v>170.16</v>
      </c>
      <c r="W68" s="3">
        <v>72.319999999999993</v>
      </c>
      <c r="X68" s="3">
        <v>68.489999999999995</v>
      </c>
      <c r="Y68" s="3">
        <v>29.35</v>
      </c>
    </row>
    <row r="69" spans="1:25" ht="60.75" x14ac:dyDescent="0.25">
      <c r="A69" s="3" t="s">
        <v>26</v>
      </c>
      <c r="B69" s="3" t="s">
        <v>27</v>
      </c>
      <c r="C69" s="3" t="s">
        <v>28</v>
      </c>
      <c r="D69" s="3" t="s">
        <v>29</v>
      </c>
      <c r="E69" s="3" t="s">
        <v>136</v>
      </c>
      <c r="F69" s="3" t="s">
        <v>31</v>
      </c>
      <c r="G69" s="3" t="s">
        <v>136</v>
      </c>
      <c r="H69" s="3" t="s">
        <v>48</v>
      </c>
      <c r="I69" s="3">
        <v>2025</v>
      </c>
      <c r="J69" s="3" t="str">
        <f>CONCATENATE("54820201504")</f>
        <v>54820201504</v>
      </c>
      <c r="K69" s="3" t="s">
        <v>33</v>
      </c>
      <c r="L69" s="3"/>
      <c r="M69" s="3" t="s">
        <v>131</v>
      </c>
      <c r="N69" s="3" t="str">
        <f>CONCATENATE("SNTRNT47T16I461I")</f>
        <v>SNTRNT47T16I461I</v>
      </c>
      <c r="O69" s="3" t="s">
        <v>146</v>
      </c>
      <c r="P69" s="3" t="s">
        <v>36</v>
      </c>
      <c r="Q69" s="3"/>
      <c r="R69" s="4">
        <v>45996</v>
      </c>
      <c r="S69" s="3" t="s">
        <v>37</v>
      </c>
      <c r="T69" s="3" t="s">
        <v>38</v>
      </c>
      <c r="U69" s="3" t="s">
        <v>39</v>
      </c>
      <c r="V69" s="3">
        <v>133.32</v>
      </c>
      <c r="W69" s="3">
        <v>56.66</v>
      </c>
      <c r="X69" s="3">
        <v>53.66</v>
      </c>
      <c r="Y69" s="3">
        <v>23</v>
      </c>
    </row>
    <row r="70" spans="1:25" ht="60.75" x14ac:dyDescent="0.25">
      <c r="A70" s="3" t="s">
        <v>26</v>
      </c>
      <c r="B70" s="3" t="s">
        <v>27</v>
      </c>
      <c r="C70" s="3" t="s">
        <v>28</v>
      </c>
      <c r="D70" s="3" t="s">
        <v>50</v>
      </c>
      <c r="E70" s="3" t="s">
        <v>147</v>
      </c>
      <c r="F70" s="3" t="s">
        <v>52</v>
      </c>
      <c r="G70" s="3" t="s">
        <v>147</v>
      </c>
      <c r="H70" s="3" t="s">
        <v>45</v>
      </c>
      <c r="I70" s="3">
        <v>2025</v>
      </c>
      <c r="J70" s="3" t="str">
        <f>CONCATENATE("54820188974")</f>
        <v>54820188974</v>
      </c>
      <c r="K70" s="3" t="s">
        <v>33</v>
      </c>
      <c r="L70" s="3"/>
      <c r="M70" s="3" t="s">
        <v>131</v>
      </c>
      <c r="N70" s="3" t="str">
        <f>CONCATENATE("BRNMRC80R02L500M")</f>
        <v>BRNMRC80R02L500M</v>
      </c>
      <c r="O70" s="3" t="s">
        <v>148</v>
      </c>
      <c r="P70" s="3" t="s">
        <v>36</v>
      </c>
      <c r="Q70" s="3"/>
      <c r="R70" s="4">
        <v>45996</v>
      </c>
      <c r="S70" s="3" t="s">
        <v>37</v>
      </c>
      <c r="T70" s="3" t="s">
        <v>38</v>
      </c>
      <c r="U70" s="3" t="s">
        <v>39</v>
      </c>
      <c r="V70" s="3">
        <v>159.30000000000001</v>
      </c>
      <c r="W70" s="3">
        <v>67.7</v>
      </c>
      <c r="X70" s="3">
        <v>64.12</v>
      </c>
      <c r="Y70" s="3">
        <v>27.48</v>
      </c>
    </row>
    <row r="71" spans="1:25" ht="60.75" x14ac:dyDescent="0.25">
      <c r="A71" s="3" t="s">
        <v>26</v>
      </c>
      <c r="B71" s="3" t="s">
        <v>27</v>
      </c>
      <c r="C71" s="3" t="s">
        <v>28</v>
      </c>
      <c r="D71" s="3" t="s">
        <v>50</v>
      </c>
      <c r="E71" s="3" t="s">
        <v>149</v>
      </c>
      <c r="F71" s="3" t="s">
        <v>52</v>
      </c>
      <c r="G71" s="3" t="s">
        <v>149</v>
      </c>
      <c r="H71" s="3" t="s">
        <v>96</v>
      </c>
      <c r="I71" s="3">
        <v>2025</v>
      </c>
      <c r="J71" s="3" t="str">
        <f>CONCATENATE("54820186366")</f>
        <v>54820186366</v>
      </c>
      <c r="K71" s="3" t="s">
        <v>33</v>
      </c>
      <c r="L71" s="3"/>
      <c r="M71" s="3" t="s">
        <v>131</v>
      </c>
      <c r="N71" s="3" t="str">
        <f>CONCATENATE("TRNVNT87P68A462D")</f>
        <v>TRNVNT87P68A462D</v>
      </c>
      <c r="O71" s="3" t="s">
        <v>150</v>
      </c>
      <c r="P71" s="3" t="s">
        <v>36</v>
      </c>
      <c r="Q71" s="3"/>
      <c r="R71" s="4">
        <v>45996</v>
      </c>
      <c r="S71" s="3" t="s">
        <v>37</v>
      </c>
      <c r="T71" s="3" t="s">
        <v>38</v>
      </c>
      <c r="U71" s="3" t="s">
        <v>39</v>
      </c>
      <c r="V71" s="3">
        <v>820.88</v>
      </c>
      <c r="W71" s="3">
        <v>348.87</v>
      </c>
      <c r="X71" s="3">
        <v>330.4</v>
      </c>
      <c r="Y71" s="3">
        <v>141.61000000000001</v>
      </c>
    </row>
    <row r="72" spans="1:25" ht="36.75" x14ac:dyDescent="0.25">
      <c r="A72" s="3" t="s">
        <v>26</v>
      </c>
      <c r="B72" s="3" t="s">
        <v>27</v>
      </c>
      <c r="C72" s="3" t="s">
        <v>28</v>
      </c>
      <c r="D72" s="3" t="s">
        <v>91</v>
      </c>
      <c r="E72" s="3" t="s">
        <v>151</v>
      </c>
      <c r="F72" s="3" t="s">
        <v>93</v>
      </c>
      <c r="G72" s="3" t="s">
        <v>151</v>
      </c>
      <c r="H72" s="3" t="s">
        <v>45</v>
      </c>
      <c r="I72" s="3">
        <v>2025</v>
      </c>
      <c r="J72" s="3" t="str">
        <f>CONCATENATE("54820213368")</f>
        <v>54820213368</v>
      </c>
      <c r="K72" s="3" t="s">
        <v>33</v>
      </c>
      <c r="L72" s="3"/>
      <c r="M72" s="3" t="s">
        <v>131</v>
      </c>
      <c r="N72" s="3" t="str">
        <f>CONCATENATE("81003070414")</f>
        <v>81003070414</v>
      </c>
      <c r="O72" s="3" t="s">
        <v>152</v>
      </c>
      <c r="P72" s="3" t="s">
        <v>36</v>
      </c>
      <c r="Q72" s="3"/>
      <c r="R72" s="4">
        <v>45996</v>
      </c>
      <c r="S72" s="3" t="s">
        <v>37</v>
      </c>
      <c r="T72" s="3" t="s">
        <v>38</v>
      </c>
      <c r="U72" s="3" t="s">
        <v>39</v>
      </c>
      <c r="V72" s="3">
        <v>528.72</v>
      </c>
      <c r="W72" s="3">
        <v>224.71</v>
      </c>
      <c r="X72" s="3">
        <v>212.81</v>
      </c>
      <c r="Y72" s="3">
        <v>91.2</v>
      </c>
    </row>
    <row r="73" spans="1:25" ht="60.75" x14ac:dyDescent="0.25">
      <c r="A73" s="3" t="s">
        <v>26</v>
      </c>
      <c r="B73" s="3" t="s">
        <v>27</v>
      </c>
      <c r="C73" s="3" t="s">
        <v>28</v>
      </c>
      <c r="D73" s="3" t="s">
        <v>50</v>
      </c>
      <c r="E73" s="3" t="s">
        <v>60</v>
      </c>
      <c r="F73" s="3" t="s">
        <v>52</v>
      </c>
      <c r="G73" s="3" t="s">
        <v>60</v>
      </c>
      <c r="H73" s="3" t="s">
        <v>45</v>
      </c>
      <c r="I73" s="3">
        <v>2025</v>
      </c>
      <c r="J73" s="3" t="str">
        <f>CONCATENATE("54820203369")</f>
        <v>54820203369</v>
      </c>
      <c r="K73" s="3" t="s">
        <v>33</v>
      </c>
      <c r="L73" s="3"/>
      <c r="M73" s="3" t="s">
        <v>131</v>
      </c>
      <c r="N73" s="3" t="str">
        <f>CONCATENATE("PNNCSR70S28D488A")</f>
        <v>PNNCSR70S28D488A</v>
      </c>
      <c r="O73" s="3" t="s">
        <v>153</v>
      </c>
      <c r="P73" s="3" t="s">
        <v>36</v>
      </c>
      <c r="Q73" s="3"/>
      <c r="R73" s="4">
        <v>45996</v>
      </c>
      <c r="S73" s="3" t="s">
        <v>37</v>
      </c>
      <c r="T73" s="3" t="s">
        <v>38</v>
      </c>
      <c r="U73" s="3" t="s">
        <v>39</v>
      </c>
      <c r="V73" s="3">
        <v>119.7</v>
      </c>
      <c r="W73" s="3">
        <v>50.87</v>
      </c>
      <c r="X73" s="3">
        <v>48.18</v>
      </c>
      <c r="Y73" s="3">
        <v>20.65</v>
      </c>
    </row>
    <row r="74" spans="1:25" ht="60.75" x14ac:dyDescent="0.25">
      <c r="A74" s="3" t="s">
        <v>26</v>
      </c>
      <c r="B74" s="3" t="s">
        <v>27</v>
      </c>
      <c r="C74" s="3" t="s">
        <v>28</v>
      </c>
      <c r="D74" s="3" t="s">
        <v>91</v>
      </c>
      <c r="E74" s="3" t="s">
        <v>151</v>
      </c>
      <c r="F74" s="3" t="s">
        <v>93</v>
      </c>
      <c r="G74" s="3" t="s">
        <v>151</v>
      </c>
      <c r="H74" s="3" t="s">
        <v>45</v>
      </c>
      <c r="I74" s="3">
        <v>2025</v>
      </c>
      <c r="J74" s="3" t="str">
        <f>CONCATENATE("54820205786")</f>
        <v>54820205786</v>
      </c>
      <c r="K74" s="3" t="s">
        <v>33</v>
      </c>
      <c r="L74" s="3"/>
      <c r="M74" s="3" t="s">
        <v>131</v>
      </c>
      <c r="N74" s="3" t="str">
        <f>CONCATENATE("CRBSMN92D27L500P")</f>
        <v>CRBSMN92D27L500P</v>
      </c>
      <c r="O74" s="3" t="s">
        <v>154</v>
      </c>
      <c r="P74" s="3" t="s">
        <v>36</v>
      </c>
      <c r="Q74" s="3"/>
      <c r="R74" s="4">
        <v>45996</v>
      </c>
      <c r="S74" s="3" t="s">
        <v>37</v>
      </c>
      <c r="T74" s="3" t="s">
        <v>38</v>
      </c>
      <c r="U74" s="3" t="s">
        <v>39</v>
      </c>
      <c r="V74" s="3">
        <v>108.64</v>
      </c>
      <c r="W74" s="3">
        <v>46.17</v>
      </c>
      <c r="X74" s="3">
        <v>43.73</v>
      </c>
      <c r="Y74" s="3">
        <v>18.739999999999998</v>
      </c>
    </row>
    <row r="75" spans="1:25" ht="60.75" x14ac:dyDescent="0.25">
      <c r="A75" s="3" t="s">
        <v>26</v>
      </c>
      <c r="B75" s="3" t="s">
        <v>27</v>
      </c>
      <c r="C75" s="3" t="s">
        <v>28</v>
      </c>
      <c r="D75" s="3" t="s">
        <v>29</v>
      </c>
      <c r="E75" s="3" t="s">
        <v>136</v>
      </c>
      <c r="F75" s="3" t="s">
        <v>31</v>
      </c>
      <c r="G75" s="3" t="s">
        <v>136</v>
      </c>
      <c r="H75" s="3" t="s">
        <v>48</v>
      </c>
      <c r="I75" s="3">
        <v>2025</v>
      </c>
      <c r="J75" s="3" t="str">
        <f>CONCATENATE("54820203112")</f>
        <v>54820203112</v>
      </c>
      <c r="K75" s="3" t="s">
        <v>33</v>
      </c>
      <c r="L75" s="3"/>
      <c r="M75" s="3" t="s">
        <v>131</v>
      </c>
      <c r="N75" s="3" t="str">
        <f>CONCATENATE("TSSMRA41A63I581N")</f>
        <v>TSSMRA41A63I581N</v>
      </c>
      <c r="O75" s="3" t="s">
        <v>155</v>
      </c>
      <c r="P75" s="3" t="s">
        <v>36</v>
      </c>
      <c r="Q75" s="3"/>
      <c r="R75" s="4">
        <v>45996</v>
      </c>
      <c r="S75" s="3" t="s">
        <v>37</v>
      </c>
      <c r="T75" s="3" t="s">
        <v>38</v>
      </c>
      <c r="U75" s="3" t="s">
        <v>39</v>
      </c>
      <c r="V75" s="3">
        <v>136.69</v>
      </c>
      <c r="W75" s="3">
        <v>58.09</v>
      </c>
      <c r="X75" s="3">
        <v>55.02</v>
      </c>
      <c r="Y75" s="3">
        <v>23.58</v>
      </c>
    </row>
    <row r="76" spans="1:25" ht="60.75" x14ac:dyDescent="0.25">
      <c r="A76" s="3" t="s">
        <v>26</v>
      </c>
      <c r="B76" s="3" t="s">
        <v>27</v>
      </c>
      <c r="C76" s="3" t="s">
        <v>28</v>
      </c>
      <c r="D76" s="3" t="s">
        <v>29</v>
      </c>
      <c r="E76" s="3" t="s">
        <v>136</v>
      </c>
      <c r="F76" s="3" t="s">
        <v>31</v>
      </c>
      <c r="G76" s="3" t="s">
        <v>136</v>
      </c>
      <c r="H76" s="3" t="s">
        <v>48</v>
      </c>
      <c r="I76" s="3">
        <v>2025</v>
      </c>
      <c r="J76" s="3" t="str">
        <f>CONCATENATE("54820174941")</f>
        <v>54820174941</v>
      </c>
      <c r="K76" s="3" t="s">
        <v>33</v>
      </c>
      <c r="L76" s="3"/>
      <c r="M76" s="3" t="s">
        <v>131</v>
      </c>
      <c r="N76" s="3" t="str">
        <f>CONCATENATE("RCCMLL63M46I461Q")</f>
        <v>RCCMLL63M46I461Q</v>
      </c>
      <c r="O76" s="3" t="s">
        <v>156</v>
      </c>
      <c r="P76" s="3" t="s">
        <v>36</v>
      </c>
      <c r="Q76" s="3"/>
      <c r="R76" s="4">
        <v>45996</v>
      </c>
      <c r="S76" s="3" t="s">
        <v>37</v>
      </c>
      <c r="T76" s="3" t="s">
        <v>38</v>
      </c>
      <c r="U76" s="3" t="s">
        <v>39</v>
      </c>
      <c r="V76" s="3">
        <v>224.52</v>
      </c>
      <c r="W76" s="3">
        <v>95.42</v>
      </c>
      <c r="X76" s="3">
        <v>90.37</v>
      </c>
      <c r="Y76" s="3">
        <v>38.729999999999997</v>
      </c>
    </row>
    <row r="77" spans="1:25" ht="72.75" x14ac:dyDescent="0.25">
      <c r="A77" s="3" t="s">
        <v>26</v>
      </c>
      <c r="B77" s="3" t="s">
        <v>27</v>
      </c>
      <c r="C77" s="3" t="s">
        <v>28</v>
      </c>
      <c r="D77" s="3" t="s">
        <v>157</v>
      </c>
      <c r="E77" s="3" t="s">
        <v>158</v>
      </c>
      <c r="F77" s="3" t="s">
        <v>159</v>
      </c>
      <c r="G77" s="3" t="s">
        <v>158</v>
      </c>
      <c r="H77" s="3" t="s">
        <v>45</v>
      </c>
      <c r="I77" s="3">
        <v>2025</v>
      </c>
      <c r="J77" s="3" t="str">
        <f>CONCATENATE("54820256797")</f>
        <v>54820256797</v>
      </c>
      <c r="K77" s="3" t="s">
        <v>33</v>
      </c>
      <c r="L77" s="3"/>
      <c r="M77" s="3" t="s">
        <v>131</v>
      </c>
      <c r="N77" s="3" t="str">
        <f>CONCATENATE("BNZGPT63B19G479R")</f>
        <v>BNZGPT63B19G479R</v>
      </c>
      <c r="O77" s="3" t="s">
        <v>160</v>
      </c>
      <c r="P77" s="3" t="s">
        <v>36</v>
      </c>
      <c r="Q77" s="3"/>
      <c r="R77" s="4">
        <v>45996</v>
      </c>
      <c r="S77" s="3" t="s">
        <v>37</v>
      </c>
      <c r="T77" s="3" t="s">
        <v>38</v>
      </c>
      <c r="U77" s="3" t="s">
        <v>39</v>
      </c>
      <c r="V77" s="3">
        <v>51.44</v>
      </c>
      <c r="W77" s="3">
        <v>21.86</v>
      </c>
      <c r="X77" s="3">
        <v>20.7</v>
      </c>
      <c r="Y77" s="3">
        <v>8.8800000000000008</v>
      </c>
    </row>
    <row r="78" spans="1:25" ht="60.75" x14ac:dyDescent="0.25">
      <c r="A78" s="3" t="s">
        <v>26</v>
      </c>
      <c r="B78" s="3" t="s">
        <v>27</v>
      </c>
      <c r="C78" s="3" t="s">
        <v>28</v>
      </c>
      <c r="D78" s="3" t="s">
        <v>29</v>
      </c>
      <c r="E78" s="3" t="s">
        <v>47</v>
      </c>
      <c r="F78" s="3" t="s">
        <v>31</v>
      </c>
      <c r="G78" s="3" t="s">
        <v>47</v>
      </c>
      <c r="H78" s="3" t="s">
        <v>48</v>
      </c>
      <c r="I78" s="3">
        <v>2025</v>
      </c>
      <c r="J78" s="3" t="str">
        <f>CONCATENATE("54820200464")</f>
        <v>54820200464</v>
      </c>
      <c r="K78" s="3" t="s">
        <v>33</v>
      </c>
      <c r="L78" s="3"/>
      <c r="M78" s="3" t="s">
        <v>131</v>
      </c>
      <c r="N78" s="3" t="str">
        <f>CONCATENATE("BNCRTI60C64I653X")</f>
        <v>BNCRTI60C64I653X</v>
      </c>
      <c r="O78" s="3" t="s">
        <v>161</v>
      </c>
      <c r="P78" s="3" t="s">
        <v>36</v>
      </c>
      <c r="Q78" s="3"/>
      <c r="R78" s="4">
        <v>45996</v>
      </c>
      <c r="S78" s="3" t="s">
        <v>37</v>
      </c>
      <c r="T78" s="3" t="s">
        <v>38</v>
      </c>
      <c r="U78" s="3" t="s">
        <v>39</v>
      </c>
      <c r="V78" s="3">
        <v>248.68</v>
      </c>
      <c r="W78" s="3">
        <v>105.69</v>
      </c>
      <c r="X78" s="3">
        <v>100.09</v>
      </c>
      <c r="Y78" s="3">
        <v>42.9</v>
      </c>
    </row>
    <row r="79" spans="1:25" ht="60.75" x14ac:dyDescent="0.25">
      <c r="A79" s="3" t="s">
        <v>26</v>
      </c>
      <c r="B79" s="3" t="s">
        <v>27</v>
      </c>
      <c r="C79" s="3" t="s">
        <v>28</v>
      </c>
      <c r="D79" s="3" t="s">
        <v>50</v>
      </c>
      <c r="E79" s="3" t="s">
        <v>60</v>
      </c>
      <c r="F79" s="3" t="s">
        <v>52</v>
      </c>
      <c r="G79" s="3" t="s">
        <v>60</v>
      </c>
      <c r="H79" s="3" t="s">
        <v>45</v>
      </c>
      <c r="I79" s="3">
        <v>2025</v>
      </c>
      <c r="J79" s="3" t="str">
        <f>CONCATENATE("54820242946")</f>
        <v>54820242946</v>
      </c>
      <c r="K79" s="3" t="s">
        <v>33</v>
      </c>
      <c r="L79" s="3"/>
      <c r="M79" s="3" t="s">
        <v>131</v>
      </c>
      <c r="N79" s="3" t="str">
        <f>CONCATENATE("BRDVLR97S08L500U")</f>
        <v>BRDVLR97S08L500U</v>
      </c>
      <c r="O79" s="3" t="s">
        <v>162</v>
      </c>
      <c r="P79" s="3" t="s">
        <v>36</v>
      </c>
      <c r="Q79" s="3"/>
      <c r="R79" s="4">
        <v>45996</v>
      </c>
      <c r="S79" s="3" t="s">
        <v>37</v>
      </c>
      <c r="T79" s="3" t="s">
        <v>38</v>
      </c>
      <c r="U79" s="3" t="s">
        <v>39</v>
      </c>
      <c r="V79" s="3">
        <v>787.22</v>
      </c>
      <c r="W79" s="3">
        <v>334.57</v>
      </c>
      <c r="X79" s="3">
        <v>316.86</v>
      </c>
      <c r="Y79" s="3">
        <v>135.79</v>
      </c>
    </row>
    <row r="80" spans="1:25" ht="60.75" x14ac:dyDescent="0.25">
      <c r="A80" s="3" t="s">
        <v>26</v>
      </c>
      <c r="B80" s="3" t="s">
        <v>27</v>
      </c>
      <c r="C80" s="3" t="s">
        <v>28</v>
      </c>
      <c r="D80" s="3" t="s">
        <v>50</v>
      </c>
      <c r="E80" s="3" t="s">
        <v>163</v>
      </c>
      <c r="F80" s="3" t="s">
        <v>52</v>
      </c>
      <c r="G80" s="3" t="s">
        <v>163</v>
      </c>
      <c r="H80" s="3" t="s">
        <v>96</v>
      </c>
      <c r="I80" s="3">
        <v>2025</v>
      </c>
      <c r="J80" s="3" t="str">
        <f>CONCATENATE("54820234604")</f>
        <v>54820234604</v>
      </c>
      <c r="K80" s="3" t="s">
        <v>33</v>
      </c>
      <c r="L80" s="3"/>
      <c r="M80" s="3" t="s">
        <v>131</v>
      </c>
      <c r="N80" s="3" t="str">
        <f>CONCATENATE("FGNLRT87C14D542N")</f>
        <v>FGNLRT87C14D542N</v>
      </c>
      <c r="O80" s="3" t="s">
        <v>164</v>
      </c>
      <c r="P80" s="3" t="s">
        <v>36</v>
      </c>
      <c r="Q80" s="3"/>
      <c r="R80" s="4">
        <v>45996</v>
      </c>
      <c r="S80" s="3" t="s">
        <v>37</v>
      </c>
      <c r="T80" s="3" t="s">
        <v>38</v>
      </c>
      <c r="U80" s="3" t="s">
        <v>39</v>
      </c>
      <c r="V80" s="3">
        <v>95.57</v>
      </c>
      <c r="W80" s="3">
        <v>40.619999999999997</v>
      </c>
      <c r="X80" s="3">
        <v>38.47</v>
      </c>
      <c r="Y80" s="3">
        <v>16.48</v>
      </c>
    </row>
    <row r="81" spans="1:25" ht="72.75" x14ac:dyDescent="0.25">
      <c r="A81" s="3" t="s">
        <v>26</v>
      </c>
      <c r="B81" s="3" t="s">
        <v>27</v>
      </c>
      <c r="C81" s="3" t="s">
        <v>28</v>
      </c>
      <c r="D81" s="3" t="s">
        <v>91</v>
      </c>
      <c r="E81" s="3" t="s">
        <v>151</v>
      </c>
      <c r="F81" s="3" t="s">
        <v>93</v>
      </c>
      <c r="G81" s="3" t="s">
        <v>151</v>
      </c>
      <c r="H81" s="3" t="s">
        <v>45</v>
      </c>
      <c r="I81" s="3">
        <v>2025</v>
      </c>
      <c r="J81" s="3" t="str">
        <f>CONCATENATE("54820240759")</f>
        <v>54820240759</v>
      </c>
      <c r="K81" s="3" t="s">
        <v>33</v>
      </c>
      <c r="L81" s="3"/>
      <c r="M81" s="3" t="s">
        <v>131</v>
      </c>
      <c r="N81" s="3" t="str">
        <f>CONCATENATE("GRGGLN65D69G453V")</f>
        <v>GRGGLN65D69G453V</v>
      </c>
      <c r="O81" s="3" t="s">
        <v>165</v>
      </c>
      <c r="P81" s="3" t="s">
        <v>36</v>
      </c>
      <c r="Q81" s="3"/>
      <c r="R81" s="4">
        <v>45996</v>
      </c>
      <c r="S81" s="3" t="s">
        <v>37</v>
      </c>
      <c r="T81" s="3" t="s">
        <v>38</v>
      </c>
      <c r="U81" s="3" t="s">
        <v>39</v>
      </c>
      <c r="V81" s="5">
        <v>1213.33</v>
      </c>
      <c r="W81" s="3">
        <v>515.66999999999996</v>
      </c>
      <c r="X81" s="3">
        <v>488.37</v>
      </c>
      <c r="Y81" s="3">
        <v>209.29</v>
      </c>
    </row>
    <row r="82" spans="1:25" ht="60.75" x14ac:dyDescent="0.25">
      <c r="A82" s="3" t="s">
        <v>26</v>
      </c>
      <c r="B82" s="3" t="s">
        <v>27</v>
      </c>
      <c r="C82" s="3" t="s">
        <v>28</v>
      </c>
      <c r="D82" s="3" t="s">
        <v>50</v>
      </c>
      <c r="E82" s="3" t="s">
        <v>149</v>
      </c>
      <c r="F82" s="3" t="s">
        <v>52</v>
      </c>
      <c r="G82" s="3" t="s">
        <v>149</v>
      </c>
      <c r="H82" s="3" t="s">
        <v>96</v>
      </c>
      <c r="I82" s="3">
        <v>2025</v>
      </c>
      <c r="J82" s="3" t="str">
        <f>CONCATENATE("54820203161")</f>
        <v>54820203161</v>
      </c>
      <c r="K82" s="3" t="s">
        <v>33</v>
      </c>
      <c r="L82" s="3"/>
      <c r="M82" s="3" t="s">
        <v>131</v>
      </c>
      <c r="N82" s="3" t="str">
        <f>CONCATENATE("SCCGLI91S53D773N")</f>
        <v>SCCGLI91S53D773N</v>
      </c>
      <c r="O82" s="3" t="s">
        <v>166</v>
      </c>
      <c r="P82" s="3" t="s">
        <v>36</v>
      </c>
      <c r="Q82" s="3"/>
      <c r="R82" s="4">
        <v>45996</v>
      </c>
      <c r="S82" s="3" t="s">
        <v>37</v>
      </c>
      <c r="T82" s="3" t="s">
        <v>38</v>
      </c>
      <c r="U82" s="3" t="s">
        <v>39</v>
      </c>
      <c r="V82" s="3">
        <v>630.52</v>
      </c>
      <c r="W82" s="3">
        <v>267.97000000000003</v>
      </c>
      <c r="X82" s="3">
        <v>253.78</v>
      </c>
      <c r="Y82" s="3">
        <v>108.77</v>
      </c>
    </row>
    <row r="83" spans="1:25" ht="60.75" x14ac:dyDescent="0.25">
      <c r="A83" s="3" t="s">
        <v>26</v>
      </c>
      <c r="B83" s="3" t="s">
        <v>27</v>
      </c>
      <c r="C83" s="3" t="s">
        <v>28</v>
      </c>
      <c r="D83" s="3" t="s">
        <v>91</v>
      </c>
      <c r="E83" s="3" t="s">
        <v>151</v>
      </c>
      <c r="F83" s="3" t="s">
        <v>93</v>
      </c>
      <c r="G83" s="3" t="s">
        <v>151</v>
      </c>
      <c r="H83" s="3" t="s">
        <v>45</v>
      </c>
      <c r="I83" s="3">
        <v>2025</v>
      </c>
      <c r="J83" s="3" t="str">
        <f>CONCATENATE("54820214077")</f>
        <v>54820214077</v>
      </c>
      <c r="K83" s="3" t="s">
        <v>33</v>
      </c>
      <c r="L83" s="3"/>
      <c r="M83" s="3" t="s">
        <v>131</v>
      </c>
      <c r="N83" s="3" t="str">
        <f>CONCATENATE("TTLGLC92C05D488Z")</f>
        <v>TTLGLC92C05D488Z</v>
      </c>
      <c r="O83" s="3" t="s">
        <v>167</v>
      </c>
      <c r="P83" s="3" t="s">
        <v>36</v>
      </c>
      <c r="Q83" s="3"/>
      <c r="R83" s="4">
        <v>45996</v>
      </c>
      <c r="S83" s="3" t="s">
        <v>37</v>
      </c>
      <c r="T83" s="3" t="s">
        <v>38</v>
      </c>
      <c r="U83" s="3" t="s">
        <v>39</v>
      </c>
      <c r="V83" s="3">
        <v>254.32</v>
      </c>
      <c r="W83" s="3">
        <v>108.09</v>
      </c>
      <c r="X83" s="3">
        <v>102.36</v>
      </c>
      <c r="Y83" s="3">
        <v>43.87</v>
      </c>
    </row>
    <row r="84" spans="1:25" ht="36.75" x14ac:dyDescent="0.25">
      <c r="A84" s="3" t="s">
        <v>26</v>
      </c>
      <c r="B84" s="3" t="s">
        <v>27</v>
      </c>
      <c r="C84" s="3" t="s">
        <v>28</v>
      </c>
      <c r="D84" s="3" t="s">
        <v>50</v>
      </c>
      <c r="E84" s="3" t="s">
        <v>60</v>
      </c>
      <c r="F84" s="3" t="s">
        <v>52</v>
      </c>
      <c r="G84" s="3" t="s">
        <v>60</v>
      </c>
      <c r="H84" s="3" t="s">
        <v>45</v>
      </c>
      <c r="I84" s="3">
        <v>2025</v>
      </c>
      <c r="J84" s="3" t="str">
        <f>CONCATENATE("54820093828")</f>
        <v>54820093828</v>
      </c>
      <c r="K84" s="3" t="s">
        <v>33</v>
      </c>
      <c r="L84" s="3"/>
      <c r="M84" s="3" t="s">
        <v>131</v>
      </c>
      <c r="N84" s="3" t="str">
        <f>CONCATENATE("02741220418")</f>
        <v>02741220418</v>
      </c>
      <c r="O84" s="3" t="s">
        <v>168</v>
      </c>
      <c r="P84" s="3" t="s">
        <v>36</v>
      </c>
      <c r="Q84" s="3"/>
      <c r="R84" s="4">
        <v>45996</v>
      </c>
      <c r="S84" s="3" t="s">
        <v>37</v>
      </c>
      <c r="T84" s="3" t="s">
        <v>38</v>
      </c>
      <c r="U84" s="3" t="s">
        <v>39</v>
      </c>
      <c r="V84" s="3">
        <v>282.47000000000003</v>
      </c>
      <c r="W84" s="3">
        <v>120.05</v>
      </c>
      <c r="X84" s="3">
        <v>113.69</v>
      </c>
      <c r="Y84" s="3">
        <v>48.73</v>
      </c>
    </row>
    <row r="85" spans="1:25" ht="60.75" x14ac:dyDescent="0.25">
      <c r="A85" s="3" t="s">
        <v>26</v>
      </c>
      <c r="B85" s="3" t="s">
        <v>27</v>
      </c>
      <c r="C85" s="3" t="s">
        <v>28</v>
      </c>
      <c r="D85" s="3" t="s">
        <v>50</v>
      </c>
      <c r="E85" s="3" t="s">
        <v>147</v>
      </c>
      <c r="F85" s="3" t="s">
        <v>52</v>
      </c>
      <c r="G85" s="3" t="s">
        <v>147</v>
      </c>
      <c r="H85" s="3" t="s">
        <v>45</v>
      </c>
      <c r="I85" s="3">
        <v>2025</v>
      </c>
      <c r="J85" s="3" t="str">
        <f>CONCATENATE("54820189576")</f>
        <v>54820189576</v>
      </c>
      <c r="K85" s="3" t="s">
        <v>33</v>
      </c>
      <c r="L85" s="3"/>
      <c r="M85" s="3" t="s">
        <v>131</v>
      </c>
      <c r="N85" s="3" t="str">
        <f>CONCATENATE("BRTGCR56A07L500R")</f>
        <v>BRTGCR56A07L500R</v>
      </c>
      <c r="O85" s="3" t="s">
        <v>169</v>
      </c>
      <c r="P85" s="3" t="s">
        <v>36</v>
      </c>
      <c r="Q85" s="3"/>
      <c r="R85" s="4">
        <v>45996</v>
      </c>
      <c r="S85" s="3" t="s">
        <v>37</v>
      </c>
      <c r="T85" s="3" t="s">
        <v>38</v>
      </c>
      <c r="U85" s="3" t="s">
        <v>39</v>
      </c>
      <c r="V85" s="3">
        <v>158.30000000000001</v>
      </c>
      <c r="W85" s="3">
        <v>67.28</v>
      </c>
      <c r="X85" s="3">
        <v>63.72</v>
      </c>
      <c r="Y85" s="3">
        <v>27.3</v>
      </c>
    </row>
    <row r="86" spans="1:25" ht="72.75" x14ac:dyDescent="0.25">
      <c r="A86" s="3" t="s">
        <v>26</v>
      </c>
      <c r="B86" s="3" t="s">
        <v>27</v>
      </c>
      <c r="C86" s="3" t="s">
        <v>28</v>
      </c>
      <c r="D86" s="3" t="s">
        <v>40</v>
      </c>
      <c r="E86" s="3" t="s">
        <v>99</v>
      </c>
      <c r="F86" s="3" t="s">
        <v>42</v>
      </c>
      <c r="G86" s="3" t="s">
        <v>99</v>
      </c>
      <c r="H86" s="3" t="s">
        <v>32</v>
      </c>
      <c r="I86" s="3">
        <v>2025</v>
      </c>
      <c r="J86" s="3" t="str">
        <f>CONCATENATE("54820272224")</f>
        <v>54820272224</v>
      </c>
      <c r="K86" s="3" t="s">
        <v>33</v>
      </c>
      <c r="L86" s="3"/>
      <c r="M86" s="3" t="s">
        <v>131</v>
      </c>
      <c r="N86" s="3" t="str">
        <f>CONCATENATE("MSCFNC63H10B474B")</f>
        <v>MSCFNC63H10B474B</v>
      </c>
      <c r="O86" s="3" t="s">
        <v>170</v>
      </c>
      <c r="P86" s="3" t="s">
        <v>36</v>
      </c>
      <c r="Q86" s="3"/>
      <c r="R86" s="4">
        <v>45996</v>
      </c>
      <c r="S86" s="3" t="s">
        <v>37</v>
      </c>
      <c r="T86" s="3" t="s">
        <v>38</v>
      </c>
      <c r="U86" s="3" t="s">
        <v>39</v>
      </c>
      <c r="V86" s="3">
        <v>839.06</v>
      </c>
      <c r="W86" s="3">
        <v>356.6</v>
      </c>
      <c r="X86" s="3">
        <v>337.72</v>
      </c>
      <c r="Y86" s="3">
        <v>144.74</v>
      </c>
    </row>
    <row r="87" spans="1:25" ht="72.75" x14ac:dyDescent="0.25">
      <c r="A87" s="3" t="s">
        <v>26</v>
      </c>
      <c r="B87" s="3" t="s">
        <v>27</v>
      </c>
      <c r="C87" s="3" t="s">
        <v>28</v>
      </c>
      <c r="D87" s="3" t="s">
        <v>29</v>
      </c>
      <c r="E87" s="3" t="s">
        <v>101</v>
      </c>
      <c r="F87" s="3" t="s">
        <v>31</v>
      </c>
      <c r="G87" s="3" t="s">
        <v>101</v>
      </c>
      <c r="H87" s="3" t="s">
        <v>32</v>
      </c>
      <c r="I87" s="3">
        <v>2025</v>
      </c>
      <c r="J87" s="3" t="str">
        <f>CONCATENATE("54820262845")</f>
        <v>54820262845</v>
      </c>
      <c r="K87" s="3" t="s">
        <v>33</v>
      </c>
      <c r="L87" s="3"/>
      <c r="M87" s="3" t="s">
        <v>131</v>
      </c>
      <c r="N87" s="3" t="str">
        <f>CONCATENATE("FRCPRN46D67B474M")</f>
        <v>FRCPRN46D67B474M</v>
      </c>
      <c r="O87" s="3" t="s">
        <v>171</v>
      </c>
      <c r="P87" s="3" t="s">
        <v>36</v>
      </c>
      <c r="Q87" s="3"/>
      <c r="R87" s="4">
        <v>45996</v>
      </c>
      <c r="S87" s="3" t="s">
        <v>37</v>
      </c>
      <c r="T87" s="3" t="s">
        <v>38</v>
      </c>
      <c r="U87" s="3" t="s">
        <v>39</v>
      </c>
      <c r="V87" s="3">
        <v>92.94</v>
      </c>
      <c r="W87" s="3">
        <v>39.5</v>
      </c>
      <c r="X87" s="3">
        <v>37.409999999999997</v>
      </c>
      <c r="Y87" s="3">
        <v>16.03</v>
      </c>
    </row>
    <row r="88" spans="1:25" ht="60.75" x14ac:dyDescent="0.25">
      <c r="A88" s="3" t="s">
        <v>26</v>
      </c>
      <c r="B88" s="3" t="s">
        <v>27</v>
      </c>
      <c r="C88" s="3" t="s">
        <v>28</v>
      </c>
      <c r="D88" s="3" t="s">
        <v>104</v>
      </c>
      <c r="E88" s="3" t="s">
        <v>141</v>
      </c>
      <c r="F88" s="3" t="s">
        <v>104</v>
      </c>
      <c r="G88" s="3" t="s">
        <v>141</v>
      </c>
      <c r="H88" s="3" t="s">
        <v>96</v>
      </c>
      <c r="I88" s="3">
        <v>2025</v>
      </c>
      <c r="J88" s="3" t="str">
        <f>CONCATENATE("54820282066")</f>
        <v>54820282066</v>
      </c>
      <c r="K88" s="3" t="s">
        <v>33</v>
      </c>
      <c r="L88" s="3"/>
      <c r="M88" s="3" t="s">
        <v>131</v>
      </c>
      <c r="N88" s="3" t="str">
        <f>CONCATENATE("SRTLCU92A07A252F")</f>
        <v>SRTLCU92A07A252F</v>
      </c>
      <c r="O88" s="3" t="s">
        <v>172</v>
      </c>
      <c r="P88" s="3" t="s">
        <v>36</v>
      </c>
      <c r="Q88" s="3"/>
      <c r="R88" s="4">
        <v>45996</v>
      </c>
      <c r="S88" s="3" t="s">
        <v>37</v>
      </c>
      <c r="T88" s="3" t="s">
        <v>38</v>
      </c>
      <c r="U88" s="3" t="s">
        <v>39</v>
      </c>
      <c r="V88" s="3">
        <v>64.13</v>
      </c>
      <c r="W88" s="3">
        <v>27.26</v>
      </c>
      <c r="X88" s="3">
        <v>25.81</v>
      </c>
      <c r="Y88" s="3">
        <v>11.06</v>
      </c>
    </row>
    <row r="89" spans="1:25" ht="36.75" x14ac:dyDescent="0.25">
      <c r="A89" s="3" t="s">
        <v>26</v>
      </c>
      <c r="B89" s="3" t="s">
        <v>27</v>
      </c>
      <c r="C89" s="3" t="s">
        <v>28</v>
      </c>
      <c r="D89" s="3" t="s">
        <v>50</v>
      </c>
      <c r="E89" s="3" t="s">
        <v>173</v>
      </c>
      <c r="F89" s="3" t="s">
        <v>52</v>
      </c>
      <c r="G89" s="3" t="s">
        <v>173</v>
      </c>
      <c r="H89" s="3" t="s">
        <v>45</v>
      </c>
      <c r="I89" s="3">
        <v>2025</v>
      </c>
      <c r="J89" s="3" t="str">
        <f>CONCATENATE("54820089479")</f>
        <v>54820089479</v>
      </c>
      <c r="K89" s="3" t="s">
        <v>33</v>
      </c>
      <c r="L89" s="3"/>
      <c r="M89" s="3" t="s">
        <v>131</v>
      </c>
      <c r="N89" s="3" t="str">
        <f>CONCATENATE("02679220414")</f>
        <v>02679220414</v>
      </c>
      <c r="O89" s="3" t="s">
        <v>174</v>
      </c>
      <c r="P89" s="3" t="s">
        <v>36</v>
      </c>
      <c r="Q89" s="3"/>
      <c r="R89" s="4">
        <v>45996</v>
      </c>
      <c r="S89" s="3" t="s">
        <v>37</v>
      </c>
      <c r="T89" s="3" t="s">
        <v>38</v>
      </c>
      <c r="U89" s="3" t="s">
        <v>39</v>
      </c>
      <c r="V89" s="3">
        <v>367.04</v>
      </c>
      <c r="W89" s="3">
        <v>155.99</v>
      </c>
      <c r="X89" s="3">
        <v>147.72999999999999</v>
      </c>
      <c r="Y89" s="3">
        <v>63.32</v>
      </c>
    </row>
    <row r="90" spans="1:25" ht="60.75" x14ac:dyDescent="0.25">
      <c r="A90" s="3" t="s">
        <v>26</v>
      </c>
      <c r="B90" s="3" t="s">
        <v>27</v>
      </c>
      <c r="C90" s="3" t="s">
        <v>28</v>
      </c>
      <c r="D90" s="3" t="s">
        <v>50</v>
      </c>
      <c r="E90" s="3" t="s">
        <v>60</v>
      </c>
      <c r="F90" s="3" t="s">
        <v>52</v>
      </c>
      <c r="G90" s="3" t="s">
        <v>60</v>
      </c>
      <c r="H90" s="3" t="s">
        <v>45</v>
      </c>
      <c r="I90" s="3">
        <v>2025</v>
      </c>
      <c r="J90" s="3" t="str">
        <f>CONCATENATE("54820239025")</f>
        <v>54820239025</v>
      </c>
      <c r="K90" s="3" t="s">
        <v>33</v>
      </c>
      <c r="L90" s="3"/>
      <c r="M90" s="3" t="s">
        <v>131</v>
      </c>
      <c r="N90" s="3" t="str">
        <f>CONCATENATE("CNISMN98A14D488J")</f>
        <v>CNISMN98A14D488J</v>
      </c>
      <c r="O90" s="3" t="s">
        <v>175</v>
      </c>
      <c r="P90" s="3" t="s">
        <v>36</v>
      </c>
      <c r="Q90" s="3"/>
      <c r="R90" s="4">
        <v>45996</v>
      </c>
      <c r="S90" s="3" t="s">
        <v>37</v>
      </c>
      <c r="T90" s="3" t="s">
        <v>38</v>
      </c>
      <c r="U90" s="3" t="s">
        <v>39</v>
      </c>
      <c r="V90" s="3">
        <v>215.77</v>
      </c>
      <c r="W90" s="3">
        <v>91.7</v>
      </c>
      <c r="X90" s="3">
        <v>86.85</v>
      </c>
      <c r="Y90" s="3">
        <v>37.22</v>
      </c>
    </row>
    <row r="91" spans="1:25" ht="60.75" x14ac:dyDescent="0.25">
      <c r="A91" s="3" t="s">
        <v>26</v>
      </c>
      <c r="B91" s="3" t="s">
        <v>27</v>
      </c>
      <c r="C91" s="3" t="s">
        <v>28</v>
      </c>
      <c r="D91" s="3" t="s">
        <v>29</v>
      </c>
      <c r="E91" s="3" t="s">
        <v>72</v>
      </c>
      <c r="F91" s="3" t="s">
        <v>31</v>
      </c>
      <c r="G91" s="3" t="s">
        <v>72</v>
      </c>
      <c r="H91" s="3" t="s">
        <v>45</v>
      </c>
      <c r="I91" s="3">
        <v>2025</v>
      </c>
      <c r="J91" s="3" t="str">
        <f>CONCATENATE("54820200423")</f>
        <v>54820200423</v>
      </c>
      <c r="K91" s="3" t="s">
        <v>33</v>
      </c>
      <c r="L91" s="3"/>
      <c r="M91" s="3" t="s">
        <v>131</v>
      </c>
      <c r="N91" s="3" t="str">
        <f>CONCATENATE("MRTLSE82C71D488S")</f>
        <v>MRTLSE82C71D488S</v>
      </c>
      <c r="O91" s="3" t="s">
        <v>176</v>
      </c>
      <c r="P91" s="3" t="s">
        <v>36</v>
      </c>
      <c r="Q91" s="3"/>
      <c r="R91" s="4">
        <v>45996</v>
      </c>
      <c r="S91" s="3" t="s">
        <v>37</v>
      </c>
      <c r="T91" s="3" t="s">
        <v>38</v>
      </c>
      <c r="U91" s="3" t="s">
        <v>39</v>
      </c>
      <c r="V91" s="3">
        <v>455.72</v>
      </c>
      <c r="W91" s="3">
        <v>193.68</v>
      </c>
      <c r="X91" s="3">
        <v>183.43</v>
      </c>
      <c r="Y91" s="3">
        <v>78.61</v>
      </c>
    </row>
    <row r="92" spans="1:25" ht="60.75" x14ac:dyDescent="0.25">
      <c r="A92" s="3" t="s">
        <v>26</v>
      </c>
      <c r="B92" s="3" t="s">
        <v>27</v>
      </c>
      <c r="C92" s="3" t="s">
        <v>28</v>
      </c>
      <c r="D92" s="3" t="s">
        <v>29</v>
      </c>
      <c r="E92" s="3" t="s">
        <v>101</v>
      </c>
      <c r="F92" s="3" t="s">
        <v>31</v>
      </c>
      <c r="G92" s="3" t="s">
        <v>101</v>
      </c>
      <c r="H92" s="3" t="s">
        <v>32</v>
      </c>
      <c r="I92" s="3">
        <v>2025</v>
      </c>
      <c r="J92" s="3" t="str">
        <f>CONCATENATE("54820241229")</f>
        <v>54820241229</v>
      </c>
      <c r="K92" s="3" t="s">
        <v>33</v>
      </c>
      <c r="L92" s="3"/>
      <c r="M92" s="3" t="s">
        <v>131</v>
      </c>
      <c r="N92" s="3" t="str">
        <f>CONCATENATE("SNCMRA82P08L191J")</f>
        <v>SNCMRA82P08L191J</v>
      </c>
      <c r="O92" s="3" t="s">
        <v>177</v>
      </c>
      <c r="P92" s="3" t="s">
        <v>36</v>
      </c>
      <c r="Q92" s="3"/>
      <c r="R92" s="4">
        <v>45996</v>
      </c>
      <c r="S92" s="3" t="s">
        <v>37</v>
      </c>
      <c r="T92" s="3" t="s">
        <v>38</v>
      </c>
      <c r="U92" s="3" t="s">
        <v>39</v>
      </c>
      <c r="V92" s="3">
        <v>98.04</v>
      </c>
      <c r="W92" s="3">
        <v>41.67</v>
      </c>
      <c r="X92" s="3">
        <v>39.46</v>
      </c>
      <c r="Y92" s="3">
        <v>16.91</v>
      </c>
    </row>
    <row r="93" spans="1:25" ht="60.75" x14ac:dyDescent="0.25">
      <c r="A93" s="3" t="s">
        <v>26</v>
      </c>
      <c r="B93" s="3" t="s">
        <v>27</v>
      </c>
      <c r="C93" s="3" t="s">
        <v>28</v>
      </c>
      <c r="D93" s="3" t="s">
        <v>29</v>
      </c>
      <c r="E93" s="3" t="s">
        <v>136</v>
      </c>
      <c r="F93" s="3" t="s">
        <v>31</v>
      </c>
      <c r="G93" s="3" t="s">
        <v>136</v>
      </c>
      <c r="H93" s="3" t="s">
        <v>48</v>
      </c>
      <c r="I93" s="3">
        <v>2025</v>
      </c>
      <c r="J93" s="3" t="str">
        <f>CONCATENATE("54820232145")</f>
        <v>54820232145</v>
      </c>
      <c r="K93" s="3" t="s">
        <v>33</v>
      </c>
      <c r="L93" s="3"/>
      <c r="M93" s="3" t="s">
        <v>131</v>
      </c>
      <c r="N93" s="3" t="str">
        <f>CONCATENATE("VTLNLN37T49I461J")</f>
        <v>VTLNLN37T49I461J</v>
      </c>
      <c r="O93" s="3" t="s">
        <v>178</v>
      </c>
      <c r="P93" s="3" t="s">
        <v>36</v>
      </c>
      <c r="Q93" s="3"/>
      <c r="R93" s="4">
        <v>45996</v>
      </c>
      <c r="S93" s="3" t="s">
        <v>37</v>
      </c>
      <c r="T93" s="3" t="s">
        <v>38</v>
      </c>
      <c r="U93" s="3" t="s">
        <v>39</v>
      </c>
      <c r="V93" s="3">
        <v>211.38</v>
      </c>
      <c r="W93" s="3">
        <v>89.84</v>
      </c>
      <c r="X93" s="3">
        <v>85.08</v>
      </c>
      <c r="Y93" s="3">
        <v>36.46</v>
      </c>
    </row>
    <row r="94" spans="1:25" ht="60.75" x14ac:dyDescent="0.25">
      <c r="A94" s="3" t="s">
        <v>26</v>
      </c>
      <c r="B94" s="3" t="s">
        <v>27</v>
      </c>
      <c r="C94" s="3" t="s">
        <v>28</v>
      </c>
      <c r="D94" s="3" t="s">
        <v>50</v>
      </c>
      <c r="E94" s="3" t="s">
        <v>147</v>
      </c>
      <c r="F94" s="3" t="s">
        <v>52</v>
      </c>
      <c r="G94" s="3" t="s">
        <v>147</v>
      </c>
      <c r="H94" s="3" t="s">
        <v>45</v>
      </c>
      <c r="I94" s="3">
        <v>2025</v>
      </c>
      <c r="J94" s="3" t="str">
        <f>CONCATENATE("54820190954")</f>
        <v>54820190954</v>
      </c>
      <c r="K94" s="3" t="s">
        <v>33</v>
      </c>
      <c r="L94" s="3"/>
      <c r="M94" s="3" t="s">
        <v>131</v>
      </c>
      <c r="N94" s="3" t="str">
        <f>CONCATENATE("MBRGLN41A31L500L")</f>
        <v>MBRGLN41A31L500L</v>
      </c>
      <c r="O94" s="3" t="s">
        <v>179</v>
      </c>
      <c r="P94" s="3" t="s">
        <v>36</v>
      </c>
      <c r="Q94" s="3"/>
      <c r="R94" s="4">
        <v>45996</v>
      </c>
      <c r="S94" s="3" t="s">
        <v>37</v>
      </c>
      <c r="T94" s="3" t="s">
        <v>38</v>
      </c>
      <c r="U94" s="3" t="s">
        <v>39</v>
      </c>
      <c r="V94" s="3">
        <v>390.36</v>
      </c>
      <c r="W94" s="3">
        <v>165.9</v>
      </c>
      <c r="X94" s="3">
        <v>157.12</v>
      </c>
      <c r="Y94" s="3">
        <v>67.34</v>
      </c>
    </row>
    <row r="95" spans="1:25" ht="36.75" x14ac:dyDescent="0.25">
      <c r="A95" s="3" t="s">
        <v>26</v>
      </c>
      <c r="B95" s="3" t="s">
        <v>27</v>
      </c>
      <c r="C95" s="3" t="s">
        <v>28</v>
      </c>
      <c r="D95" s="3" t="s">
        <v>91</v>
      </c>
      <c r="E95" s="3" t="s">
        <v>151</v>
      </c>
      <c r="F95" s="3" t="s">
        <v>93</v>
      </c>
      <c r="G95" s="3" t="s">
        <v>151</v>
      </c>
      <c r="H95" s="3" t="s">
        <v>45</v>
      </c>
      <c r="I95" s="3">
        <v>2025</v>
      </c>
      <c r="J95" s="3" t="str">
        <f>CONCATENATE("54820196324")</f>
        <v>54820196324</v>
      </c>
      <c r="K95" s="3" t="s">
        <v>33</v>
      </c>
      <c r="L95" s="3"/>
      <c r="M95" s="3" t="s">
        <v>131</v>
      </c>
      <c r="N95" s="3" t="str">
        <f>CONCATENATE("02788850416")</f>
        <v>02788850416</v>
      </c>
      <c r="O95" s="3" t="s">
        <v>180</v>
      </c>
      <c r="P95" s="3" t="s">
        <v>36</v>
      </c>
      <c r="Q95" s="3"/>
      <c r="R95" s="4">
        <v>45996</v>
      </c>
      <c r="S95" s="3" t="s">
        <v>37</v>
      </c>
      <c r="T95" s="3" t="s">
        <v>38</v>
      </c>
      <c r="U95" s="3" t="s">
        <v>39</v>
      </c>
      <c r="V95" s="3">
        <v>680.48</v>
      </c>
      <c r="W95" s="3">
        <v>289.2</v>
      </c>
      <c r="X95" s="3">
        <v>273.89</v>
      </c>
      <c r="Y95" s="3">
        <v>117.39</v>
      </c>
    </row>
    <row r="96" spans="1:25" ht="60.75" x14ac:dyDescent="0.25">
      <c r="A96" s="3" t="s">
        <v>26</v>
      </c>
      <c r="B96" s="3" t="s">
        <v>27</v>
      </c>
      <c r="C96" s="3" t="s">
        <v>28</v>
      </c>
      <c r="D96" s="3" t="s">
        <v>29</v>
      </c>
      <c r="E96" s="3" t="s">
        <v>56</v>
      </c>
      <c r="F96" s="3" t="s">
        <v>31</v>
      </c>
      <c r="G96" s="3" t="s">
        <v>56</v>
      </c>
      <c r="H96" s="3" t="s">
        <v>32</v>
      </c>
      <c r="I96" s="3">
        <v>2025</v>
      </c>
      <c r="J96" s="3" t="str">
        <f>CONCATENATE("54820213830")</f>
        <v>54820213830</v>
      </c>
      <c r="K96" s="3" t="s">
        <v>33</v>
      </c>
      <c r="L96" s="3"/>
      <c r="M96" s="3" t="s">
        <v>131</v>
      </c>
      <c r="N96" s="3" t="str">
        <f>CONCATENATE("SBBLCU94S41B474M")</f>
        <v>SBBLCU94S41B474M</v>
      </c>
      <c r="O96" s="3" t="s">
        <v>181</v>
      </c>
      <c r="P96" s="3" t="s">
        <v>36</v>
      </c>
      <c r="Q96" s="3"/>
      <c r="R96" s="4">
        <v>45996</v>
      </c>
      <c r="S96" s="3" t="s">
        <v>37</v>
      </c>
      <c r="T96" s="3" t="s">
        <v>38</v>
      </c>
      <c r="U96" s="3" t="s">
        <v>39</v>
      </c>
      <c r="V96" s="5">
        <v>1265.6199999999999</v>
      </c>
      <c r="W96" s="3">
        <v>537.89</v>
      </c>
      <c r="X96" s="3">
        <v>509.41</v>
      </c>
      <c r="Y96" s="3">
        <v>218.32</v>
      </c>
    </row>
    <row r="97" spans="1:25" ht="60.75" x14ac:dyDescent="0.25">
      <c r="A97" s="3" t="s">
        <v>26</v>
      </c>
      <c r="B97" s="3" t="s">
        <v>27</v>
      </c>
      <c r="C97" s="3" t="s">
        <v>28</v>
      </c>
      <c r="D97" s="3" t="s">
        <v>29</v>
      </c>
      <c r="E97" s="3" t="s">
        <v>182</v>
      </c>
      <c r="F97" s="3" t="s">
        <v>31</v>
      </c>
      <c r="G97" s="3" t="s">
        <v>182</v>
      </c>
      <c r="H97" s="3" t="s">
        <v>45</v>
      </c>
      <c r="I97" s="3">
        <v>2025</v>
      </c>
      <c r="J97" s="3" t="str">
        <f>CONCATENATE("54820211909")</f>
        <v>54820211909</v>
      </c>
      <c r="K97" s="3" t="s">
        <v>33</v>
      </c>
      <c r="L97" s="3"/>
      <c r="M97" s="3" t="s">
        <v>131</v>
      </c>
      <c r="N97" s="3" t="str">
        <f>CONCATENATE("SPZRNO68M21F450I")</f>
        <v>SPZRNO68M21F450I</v>
      </c>
      <c r="O97" s="3" t="s">
        <v>183</v>
      </c>
      <c r="P97" s="3" t="s">
        <v>36</v>
      </c>
      <c r="Q97" s="3"/>
      <c r="R97" s="4">
        <v>45996</v>
      </c>
      <c r="S97" s="3" t="s">
        <v>37</v>
      </c>
      <c r="T97" s="3" t="s">
        <v>38</v>
      </c>
      <c r="U97" s="3" t="s">
        <v>39</v>
      </c>
      <c r="V97" s="3">
        <v>339.39</v>
      </c>
      <c r="W97" s="3">
        <v>144.24</v>
      </c>
      <c r="X97" s="3">
        <v>136.6</v>
      </c>
      <c r="Y97" s="3">
        <v>58.55</v>
      </c>
    </row>
    <row r="98" spans="1:25" ht="36.75" x14ac:dyDescent="0.25">
      <c r="A98" s="3" t="s">
        <v>26</v>
      </c>
      <c r="B98" s="3" t="s">
        <v>27</v>
      </c>
      <c r="C98" s="3" t="s">
        <v>28</v>
      </c>
      <c r="D98" s="3" t="s">
        <v>50</v>
      </c>
      <c r="E98" s="3" t="s">
        <v>147</v>
      </c>
      <c r="F98" s="3" t="s">
        <v>52</v>
      </c>
      <c r="G98" s="3" t="s">
        <v>147</v>
      </c>
      <c r="H98" s="3" t="s">
        <v>45</v>
      </c>
      <c r="I98" s="3">
        <v>2025</v>
      </c>
      <c r="J98" s="3" t="str">
        <f>CONCATENATE("54810487709")</f>
        <v>54810487709</v>
      </c>
      <c r="K98" s="3" t="s">
        <v>33</v>
      </c>
      <c r="L98" s="3"/>
      <c r="M98" s="3" t="s">
        <v>34</v>
      </c>
      <c r="N98" s="3" t="str">
        <f>CONCATENATE("02620580411")</f>
        <v>02620580411</v>
      </c>
      <c r="O98" s="3" t="s">
        <v>184</v>
      </c>
      <c r="P98" s="3" t="s">
        <v>36</v>
      </c>
      <c r="Q98" s="3"/>
      <c r="R98" s="4">
        <v>46000</v>
      </c>
      <c r="S98" s="3" t="s">
        <v>37</v>
      </c>
      <c r="T98" s="3" t="s">
        <v>38</v>
      </c>
      <c r="U98" s="3" t="s">
        <v>39</v>
      </c>
      <c r="V98" s="3">
        <v>300</v>
      </c>
      <c r="W98" s="3">
        <v>127.5</v>
      </c>
      <c r="X98" s="3">
        <v>120.75</v>
      </c>
      <c r="Y98" s="3">
        <v>51.75</v>
      </c>
    </row>
    <row r="99" spans="1:25" ht="60.75" x14ac:dyDescent="0.25">
      <c r="A99" s="3" t="s">
        <v>26</v>
      </c>
      <c r="B99" s="3" t="s">
        <v>27</v>
      </c>
      <c r="C99" s="3" t="s">
        <v>28</v>
      </c>
      <c r="D99" s="3" t="s">
        <v>29</v>
      </c>
      <c r="E99" s="3" t="s">
        <v>56</v>
      </c>
      <c r="F99" s="3" t="s">
        <v>31</v>
      </c>
      <c r="G99" s="3" t="s">
        <v>56</v>
      </c>
      <c r="H99" s="3" t="s">
        <v>32</v>
      </c>
      <c r="I99" s="3">
        <v>2025</v>
      </c>
      <c r="J99" s="3" t="str">
        <f>CONCATENATE("54810840923")</f>
        <v>54810840923</v>
      </c>
      <c r="K99" s="3" t="s">
        <v>33</v>
      </c>
      <c r="L99" s="3"/>
      <c r="M99" s="3" t="s">
        <v>34</v>
      </c>
      <c r="N99" s="3" t="str">
        <f>CONCATENATE("SBBLCU94S41B474M")</f>
        <v>SBBLCU94S41B474M</v>
      </c>
      <c r="O99" s="3" t="s">
        <v>181</v>
      </c>
      <c r="P99" s="3" t="s">
        <v>36</v>
      </c>
      <c r="Q99" s="3"/>
      <c r="R99" s="4">
        <v>46000</v>
      </c>
      <c r="S99" s="3" t="s">
        <v>37</v>
      </c>
      <c r="T99" s="3" t="s">
        <v>38</v>
      </c>
      <c r="U99" s="3" t="s">
        <v>39</v>
      </c>
      <c r="V99" s="3">
        <v>990</v>
      </c>
      <c r="W99" s="3">
        <v>420.75</v>
      </c>
      <c r="X99" s="3">
        <v>398.48</v>
      </c>
      <c r="Y99" s="3">
        <v>170.77</v>
      </c>
    </row>
    <row r="100" spans="1:25" ht="60.75" x14ac:dyDescent="0.25">
      <c r="A100" s="3" t="s">
        <v>26</v>
      </c>
      <c r="B100" s="3" t="s">
        <v>27</v>
      </c>
      <c r="C100" s="3" t="s">
        <v>28</v>
      </c>
      <c r="D100" s="3" t="s">
        <v>29</v>
      </c>
      <c r="E100" s="3" t="s">
        <v>47</v>
      </c>
      <c r="F100" s="3" t="s">
        <v>31</v>
      </c>
      <c r="G100" s="3" t="s">
        <v>47</v>
      </c>
      <c r="H100" s="3" t="s">
        <v>48</v>
      </c>
      <c r="I100" s="3">
        <v>2025</v>
      </c>
      <c r="J100" s="3" t="str">
        <f>CONCATENATE("54810600137")</f>
        <v>54810600137</v>
      </c>
      <c r="K100" s="3" t="s">
        <v>33</v>
      </c>
      <c r="L100" s="3"/>
      <c r="M100" s="3" t="s">
        <v>34</v>
      </c>
      <c r="N100" s="3" t="str">
        <f>CONCATENATE("SBFSLV92S68D451Q")</f>
        <v>SBFSLV92S68D451Q</v>
      </c>
      <c r="O100" s="3" t="s">
        <v>185</v>
      </c>
      <c r="P100" s="3" t="s">
        <v>36</v>
      </c>
      <c r="Q100" s="3"/>
      <c r="R100" s="4">
        <v>46000</v>
      </c>
      <c r="S100" s="3" t="s">
        <v>37</v>
      </c>
      <c r="T100" s="3" t="s">
        <v>38</v>
      </c>
      <c r="U100" s="3" t="s">
        <v>39</v>
      </c>
      <c r="V100" s="3">
        <v>94.5</v>
      </c>
      <c r="W100" s="3">
        <v>40.159999999999997</v>
      </c>
      <c r="X100" s="3">
        <v>38.04</v>
      </c>
      <c r="Y100" s="3">
        <v>16.3</v>
      </c>
    </row>
    <row r="101" spans="1:25" ht="60.75" x14ac:dyDescent="0.25">
      <c r="A101" s="3" t="s">
        <v>26</v>
      </c>
      <c r="B101" s="3" t="s">
        <v>27</v>
      </c>
      <c r="C101" s="3" t="s">
        <v>28</v>
      </c>
      <c r="D101" s="3" t="s">
        <v>29</v>
      </c>
      <c r="E101" s="3" t="s">
        <v>186</v>
      </c>
      <c r="F101" s="3" t="s">
        <v>31</v>
      </c>
      <c r="G101" s="3" t="s">
        <v>186</v>
      </c>
      <c r="H101" s="3" t="s">
        <v>45</v>
      </c>
      <c r="I101" s="3">
        <v>2025</v>
      </c>
      <c r="J101" s="3" t="str">
        <f>CONCATENATE("54810136843")</f>
        <v>54810136843</v>
      </c>
      <c r="K101" s="3" t="s">
        <v>33</v>
      </c>
      <c r="L101" s="3"/>
      <c r="M101" s="3" t="s">
        <v>34</v>
      </c>
      <c r="N101" s="3" t="str">
        <f>CONCATENATE("RGGGPL67E04G551J")</f>
        <v>RGGGPL67E04G551J</v>
      </c>
      <c r="O101" s="3" t="s">
        <v>187</v>
      </c>
      <c r="P101" s="3" t="s">
        <v>36</v>
      </c>
      <c r="Q101" s="3"/>
      <c r="R101" s="4">
        <v>46000</v>
      </c>
      <c r="S101" s="3" t="s">
        <v>37</v>
      </c>
      <c r="T101" s="3" t="s">
        <v>38</v>
      </c>
      <c r="U101" s="3" t="s">
        <v>39</v>
      </c>
      <c r="V101" s="3">
        <v>750</v>
      </c>
      <c r="W101" s="3">
        <v>318.75</v>
      </c>
      <c r="X101" s="3">
        <v>301.88</v>
      </c>
      <c r="Y101" s="3">
        <v>129.37</v>
      </c>
    </row>
    <row r="102" spans="1:25" ht="60.75" x14ac:dyDescent="0.25">
      <c r="A102" s="3" t="s">
        <v>26</v>
      </c>
      <c r="B102" s="3" t="s">
        <v>27</v>
      </c>
      <c r="C102" s="3" t="s">
        <v>28</v>
      </c>
      <c r="D102" s="3" t="s">
        <v>29</v>
      </c>
      <c r="E102" s="3" t="s">
        <v>56</v>
      </c>
      <c r="F102" s="3" t="s">
        <v>31</v>
      </c>
      <c r="G102" s="3" t="s">
        <v>56</v>
      </c>
      <c r="H102" s="3" t="s">
        <v>32</v>
      </c>
      <c r="I102" s="3">
        <v>2025</v>
      </c>
      <c r="J102" s="3" t="str">
        <f>CONCATENATE("54810855616")</f>
        <v>54810855616</v>
      </c>
      <c r="K102" s="3" t="s">
        <v>33</v>
      </c>
      <c r="L102" s="3"/>
      <c r="M102" s="3" t="s">
        <v>34</v>
      </c>
      <c r="N102" s="3" t="str">
        <f>CONCATENATE("RLAMCR50S10G637S")</f>
        <v>RLAMCR50S10G637S</v>
      </c>
      <c r="O102" s="3" t="s">
        <v>188</v>
      </c>
      <c r="P102" s="3" t="s">
        <v>36</v>
      </c>
      <c r="Q102" s="3"/>
      <c r="R102" s="4">
        <v>46000</v>
      </c>
      <c r="S102" s="3" t="s">
        <v>37</v>
      </c>
      <c r="T102" s="3" t="s">
        <v>38</v>
      </c>
      <c r="U102" s="3" t="s">
        <v>39</v>
      </c>
      <c r="V102" s="5">
        <v>1107</v>
      </c>
      <c r="W102" s="3">
        <v>470.48</v>
      </c>
      <c r="X102" s="3">
        <v>445.57</v>
      </c>
      <c r="Y102" s="3">
        <v>190.95</v>
      </c>
    </row>
    <row r="103" spans="1:25" ht="72.75" x14ac:dyDescent="0.25">
      <c r="A103" s="3" t="s">
        <v>26</v>
      </c>
      <c r="B103" s="3" t="s">
        <v>27</v>
      </c>
      <c r="C103" s="3" t="s">
        <v>28</v>
      </c>
      <c r="D103" s="3" t="s">
        <v>29</v>
      </c>
      <c r="E103" s="3" t="s">
        <v>56</v>
      </c>
      <c r="F103" s="3" t="s">
        <v>31</v>
      </c>
      <c r="G103" s="3" t="s">
        <v>56</v>
      </c>
      <c r="H103" s="3" t="s">
        <v>32</v>
      </c>
      <c r="I103" s="3">
        <v>2025</v>
      </c>
      <c r="J103" s="3" t="str">
        <f>CONCATENATE("54811285870")</f>
        <v>54811285870</v>
      </c>
      <c r="K103" s="3" t="s">
        <v>33</v>
      </c>
      <c r="L103" s="3"/>
      <c r="M103" s="3" t="s">
        <v>34</v>
      </c>
      <c r="N103" s="3" t="str">
        <f>CONCATENATE("PLMTNN63D27G637N")</f>
        <v>PLMTNN63D27G637N</v>
      </c>
      <c r="O103" s="3" t="s">
        <v>189</v>
      </c>
      <c r="P103" s="3" t="s">
        <v>36</v>
      </c>
      <c r="Q103" s="3"/>
      <c r="R103" s="4">
        <v>46000</v>
      </c>
      <c r="S103" s="3" t="s">
        <v>37</v>
      </c>
      <c r="T103" s="3" t="s">
        <v>38</v>
      </c>
      <c r="U103" s="3" t="s">
        <v>39</v>
      </c>
      <c r="V103" s="3">
        <v>120</v>
      </c>
      <c r="W103" s="3">
        <v>51</v>
      </c>
      <c r="X103" s="3">
        <v>48.3</v>
      </c>
      <c r="Y103" s="3">
        <v>20.7</v>
      </c>
    </row>
    <row r="104" spans="1:25" ht="72.75" x14ac:dyDescent="0.25">
      <c r="A104" s="3" t="s">
        <v>26</v>
      </c>
      <c r="B104" s="3" t="s">
        <v>27</v>
      </c>
      <c r="C104" s="3" t="s">
        <v>28</v>
      </c>
      <c r="D104" s="3" t="s">
        <v>29</v>
      </c>
      <c r="E104" s="3" t="s">
        <v>47</v>
      </c>
      <c r="F104" s="3" t="s">
        <v>31</v>
      </c>
      <c r="G104" s="3" t="s">
        <v>47</v>
      </c>
      <c r="H104" s="3" t="s">
        <v>48</v>
      </c>
      <c r="I104" s="3">
        <v>2025</v>
      </c>
      <c r="J104" s="3" t="str">
        <f>CONCATENATE("54810591617")</f>
        <v>54810591617</v>
      </c>
      <c r="K104" s="3" t="s">
        <v>33</v>
      </c>
      <c r="L104" s="3"/>
      <c r="M104" s="3" t="s">
        <v>34</v>
      </c>
      <c r="N104" s="3" t="str">
        <f>CONCATENATE("PDCMTR50A63D451U")</f>
        <v>PDCMTR50A63D451U</v>
      </c>
      <c r="O104" s="3" t="s">
        <v>190</v>
      </c>
      <c r="P104" s="3" t="s">
        <v>36</v>
      </c>
      <c r="Q104" s="3"/>
      <c r="R104" s="4">
        <v>46000</v>
      </c>
      <c r="S104" s="3" t="s">
        <v>37</v>
      </c>
      <c r="T104" s="3" t="s">
        <v>38</v>
      </c>
      <c r="U104" s="3" t="s">
        <v>39</v>
      </c>
      <c r="V104" s="3">
        <v>256.5</v>
      </c>
      <c r="W104" s="3">
        <v>109.01</v>
      </c>
      <c r="X104" s="3">
        <v>103.24</v>
      </c>
      <c r="Y104" s="3">
        <v>44.25</v>
      </c>
    </row>
    <row r="105" spans="1:25" ht="60.75" x14ac:dyDescent="0.25">
      <c r="A105" s="3" t="s">
        <v>26</v>
      </c>
      <c r="B105" s="3" t="s">
        <v>27</v>
      </c>
      <c r="C105" s="3" t="s">
        <v>28</v>
      </c>
      <c r="D105" s="3" t="s">
        <v>29</v>
      </c>
      <c r="E105" s="3" t="s">
        <v>47</v>
      </c>
      <c r="F105" s="3" t="s">
        <v>31</v>
      </c>
      <c r="G105" s="3" t="s">
        <v>47</v>
      </c>
      <c r="H105" s="3" t="s">
        <v>48</v>
      </c>
      <c r="I105" s="3">
        <v>2025</v>
      </c>
      <c r="J105" s="3" t="str">
        <f>CONCATENATE("54810607827")</f>
        <v>54810607827</v>
      </c>
      <c r="K105" s="3" t="s">
        <v>33</v>
      </c>
      <c r="L105" s="3"/>
      <c r="M105" s="3" t="s">
        <v>34</v>
      </c>
      <c r="N105" s="3" t="str">
        <f>CONCATENATE("BCCMRA88E66D451X")</f>
        <v>BCCMRA88E66D451X</v>
      </c>
      <c r="O105" s="3" t="s">
        <v>191</v>
      </c>
      <c r="P105" s="3" t="s">
        <v>36</v>
      </c>
      <c r="Q105" s="3"/>
      <c r="R105" s="4">
        <v>46000</v>
      </c>
      <c r="S105" s="3" t="s">
        <v>37</v>
      </c>
      <c r="T105" s="3" t="s">
        <v>38</v>
      </c>
      <c r="U105" s="3" t="s">
        <v>39</v>
      </c>
      <c r="V105" s="3">
        <v>480</v>
      </c>
      <c r="W105" s="3">
        <v>204</v>
      </c>
      <c r="X105" s="3">
        <v>193.2</v>
      </c>
      <c r="Y105" s="3">
        <v>82.8</v>
      </c>
    </row>
    <row r="106" spans="1:25" ht="60.75" x14ac:dyDescent="0.25">
      <c r="A106" s="3" t="s">
        <v>26</v>
      </c>
      <c r="B106" s="3" t="s">
        <v>27</v>
      </c>
      <c r="C106" s="3" t="s">
        <v>28</v>
      </c>
      <c r="D106" s="3" t="s">
        <v>29</v>
      </c>
      <c r="E106" s="3" t="s">
        <v>72</v>
      </c>
      <c r="F106" s="3" t="s">
        <v>31</v>
      </c>
      <c r="G106" s="3" t="s">
        <v>72</v>
      </c>
      <c r="H106" s="3" t="s">
        <v>45</v>
      </c>
      <c r="I106" s="3">
        <v>2025</v>
      </c>
      <c r="J106" s="3" t="str">
        <f>CONCATENATE("54810643426")</f>
        <v>54810643426</v>
      </c>
      <c r="K106" s="3" t="s">
        <v>33</v>
      </c>
      <c r="L106" s="3"/>
      <c r="M106" s="3" t="s">
        <v>34</v>
      </c>
      <c r="N106" s="3" t="str">
        <f>CONCATENATE("PZZRCR69C01Z120R")</f>
        <v>PZZRCR69C01Z120R</v>
      </c>
      <c r="O106" s="3" t="s">
        <v>192</v>
      </c>
      <c r="P106" s="3" t="s">
        <v>36</v>
      </c>
      <c r="Q106" s="3"/>
      <c r="R106" s="4">
        <v>46000</v>
      </c>
      <c r="S106" s="3" t="s">
        <v>37</v>
      </c>
      <c r="T106" s="3" t="s">
        <v>38</v>
      </c>
      <c r="U106" s="3" t="s">
        <v>39</v>
      </c>
      <c r="V106" s="3">
        <v>960</v>
      </c>
      <c r="W106" s="3">
        <v>408</v>
      </c>
      <c r="X106" s="3">
        <v>386.4</v>
      </c>
      <c r="Y106" s="3">
        <v>165.6</v>
      </c>
    </row>
    <row r="107" spans="1:25" ht="60.75" x14ac:dyDescent="0.25">
      <c r="A107" s="3" t="s">
        <v>26</v>
      </c>
      <c r="B107" s="3" t="s">
        <v>27</v>
      </c>
      <c r="C107" s="3" t="s">
        <v>28</v>
      </c>
      <c r="D107" s="3" t="s">
        <v>29</v>
      </c>
      <c r="E107" s="3" t="s">
        <v>72</v>
      </c>
      <c r="F107" s="3" t="s">
        <v>31</v>
      </c>
      <c r="G107" s="3" t="s">
        <v>72</v>
      </c>
      <c r="H107" s="3" t="s">
        <v>45</v>
      </c>
      <c r="I107" s="3">
        <v>2025</v>
      </c>
      <c r="J107" s="3" t="str">
        <f>CONCATENATE("54810761160")</f>
        <v>54810761160</v>
      </c>
      <c r="K107" s="3" t="s">
        <v>33</v>
      </c>
      <c r="L107" s="3"/>
      <c r="M107" s="3" t="s">
        <v>34</v>
      </c>
      <c r="N107" s="3" t="str">
        <f>CONCATENATE("CLNLRA76P47L500X")</f>
        <v>CLNLRA76P47L500X</v>
      </c>
      <c r="O107" s="3" t="s">
        <v>193</v>
      </c>
      <c r="P107" s="3" t="s">
        <v>36</v>
      </c>
      <c r="Q107" s="3"/>
      <c r="R107" s="4">
        <v>46000</v>
      </c>
      <c r="S107" s="3" t="s">
        <v>37</v>
      </c>
      <c r="T107" s="3" t="s">
        <v>38</v>
      </c>
      <c r="U107" s="3" t="s">
        <v>39</v>
      </c>
      <c r="V107" s="3">
        <v>480</v>
      </c>
      <c r="W107" s="3">
        <v>204</v>
      </c>
      <c r="X107" s="3">
        <v>193.2</v>
      </c>
      <c r="Y107" s="3">
        <v>82.8</v>
      </c>
    </row>
    <row r="108" spans="1:25" ht="36.75" x14ac:dyDescent="0.25">
      <c r="A108" s="3" t="s">
        <v>26</v>
      </c>
      <c r="B108" s="3" t="s">
        <v>27</v>
      </c>
      <c r="C108" s="3" t="s">
        <v>28</v>
      </c>
      <c r="D108" s="3" t="s">
        <v>29</v>
      </c>
      <c r="E108" s="3" t="s">
        <v>72</v>
      </c>
      <c r="F108" s="3" t="s">
        <v>31</v>
      </c>
      <c r="G108" s="3" t="s">
        <v>72</v>
      </c>
      <c r="H108" s="3" t="s">
        <v>45</v>
      </c>
      <c r="I108" s="3">
        <v>2025</v>
      </c>
      <c r="J108" s="3" t="str">
        <f>CONCATENATE("54810738820")</f>
        <v>54810738820</v>
      </c>
      <c r="K108" s="3" t="s">
        <v>33</v>
      </c>
      <c r="L108" s="3"/>
      <c r="M108" s="3" t="s">
        <v>34</v>
      </c>
      <c r="N108" s="3" t="str">
        <f>CONCATENATE("02030490417")</f>
        <v>02030490417</v>
      </c>
      <c r="O108" s="3" t="s">
        <v>194</v>
      </c>
      <c r="P108" s="3" t="s">
        <v>36</v>
      </c>
      <c r="Q108" s="3"/>
      <c r="R108" s="4">
        <v>46000</v>
      </c>
      <c r="S108" s="3" t="s">
        <v>37</v>
      </c>
      <c r="T108" s="3" t="s">
        <v>38</v>
      </c>
      <c r="U108" s="3" t="s">
        <v>39</v>
      </c>
      <c r="V108" s="3">
        <v>90</v>
      </c>
      <c r="W108" s="3">
        <v>38.25</v>
      </c>
      <c r="X108" s="3">
        <v>36.229999999999997</v>
      </c>
      <c r="Y108" s="3">
        <v>15.52</v>
      </c>
    </row>
    <row r="109" spans="1:25" ht="36.75" x14ac:dyDescent="0.25">
      <c r="A109" s="3" t="s">
        <v>26</v>
      </c>
      <c r="B109" s="3" t="s">
        <v>27</v>
      </c>
      <c r="C109" s="3" t="s">
        <v>28</v>
      </c>
      <c r="D109" s="3" t="s">
        <v>29</v>
      </c>
      <c r="E109" s="3" t="s">
        <v>80</v>
      </c>
      <c r="F109" s="3" t="s">
        <v>31</v>
      </c>
      <c r="G109" s="3" t="s">
        <v>80</v>
      </c>
      <c r="H109" s="3" t="s">
        <v>45</v>
      </c>
      <c r="I109" s="3">
        <v>2025</v>
      </c>
      <c r="J109" s="3" t="str">
        <f>CONCATENATE("54810589470")</f>
        <v>54810589470</v>
      </c>
      <c r="K109" s="3" t="s">
        <v>33</v>
      </c>
      <c r="L109" s="3"/>
      <c r="M109" s="3" t="s">
        <v>34</v>
      </c>
      <c r="N109" s="3" t="str">
        <f>CONCATENATE("02660670411")</f>
        <v>02660670411</v>
      </c>
      <c r="O109" s="3" t="s">
        <v>195</v>
      </c>
      <c r="P109" s="3" t="s">
        <v>36</v>
      </c>
      <c r="Q109" s="3"/>
      <c r="R109" s="4">
        <v>46000</v>
      </c>
      <c r="S109" s="3" t="s">
        <v>37</v>
      </c>
      <c r="T109" s="3" t="s">
        <v>38</v>
      </c>
      <c r="U109" s="3" t="s">
        <v>39</v>
      </c>
      <c r="V109" s="5">
        <v>1140</v>
      </c>
      <c r="W109" s="3">
        <v>484.5</v>
      </c>
      <c r="X109" s="3">
        <v>458.85</v>
      </c>
      <c r="Y109" s="3">
        <v>196.65</v>
      </c>
    </row>
    <row r="110" spans="1:25" ht="60.75" x14ac:dyDescent="0.25">
      <c r="A110" s="3" t="s">
        <v>26</v>
      </c>
      <c r="B110" s="3" t="s">
        <v>27</v>
      </c>
      <c r="C110" s="3" t="s">
        <v>28</v>
      </c>
      <c r="D110" s="3" t="s">
        <v>29</v>
      </c>
      <c r="E110" s="3" t="s">
        <v>56</v>
      </c>
      <c r="F110" s="3" t="s">
        <v>31</v>
      </c>
      <c r="G110" s="3" t="s">
        <v>56</v>
      </c>
      <c r="H110" s="3" t="s">
        <v>32</v>
      </c>
      <c r="I110" s="3">
        <v>2025</v>
      </c>
      <c r="J110" s="3" t="str">
        <f>CONCATENATE("54811058699")</f>
        <v>54811058699</v>
      </c>
      <c r="K110" s="3" t="s">
        <v>33</v>
      </c>
      <c r="L110" s="3"/>
      <c r="M110" s="3" t="s">
        <v>34</v>
      </c>
      <c r="N110" s="3" t="str">
        <f>CONCATENATE("SLVLCU88H23B474S")</f>
        <v>SLVLCU88H23B474S</v>
      </c>
      <c r="O110" s="3" t="s">
        <v>196</v>
      </c>
      <c r="P110" s="3" t="s">
        <v>36</v>
      </c>
      <c r="Q110" s="3"/>
      <c r="R110" s="4">
        <v>46000</v>
      </c>
      <c r="S110" s="3" t="s">
        <v>37</v>
      </c>
      <c r="T110" s="3" t="s">
        <v>38</v>
      </c>
      <c r="U110" s="3" t="s">
        <v>39</v>
      </c>
      <c r="V110" s="5">
        <v>1903.5</v>
      </c>
      <c r="W110" s="3">
        <v>808.99</v>
      </c>
      <c r="X110" s="3">
        <v>766.16</v>
      </c>
      <c r="Y110" s="3">
        <v>328.35</v>
      </c>
    </row>
    <row r="111" spans="1:25" ht="60.75" x14ac:dyDescent="0.25">
      <c r="A111" s="3" t="s">
        <v>26</v>
      </c>
      <c r="B111" s="3" t="s">
        <v>27</v>
      </c>
      <c r="C111" s="3" t="s">
        <v>28</v>
      </c>
      <c r="D111" s="3" t="s">
        <v>29</v>
      </c>
      <c r="E111" s="3" t="s">
        <v>72</v>
      </c>
      <c r="F111" s="3" t="s">
        <v>31</v>
      </c>
      <c r="G111" s="3" t="s">
        <v>72</v>
      </c>
      <c r="H111" s="3" t="s">
        <v>45</v>
      </c>
      <c r="I111" s="3">
        <v>2025</v>
      </c>
      <c r="J111" s="3" t="str">
        <f>CONCATENATE("54810870649")</f>
        <v>54810870649</v>
      </c>
      <c r="K111" s="3" t="s">
        <v>33</v>
      </c>
      <c r="L111" s="3"/>
      <c r="M111" s="3" t="s">
        <v>34</v>
      </c>
      <c r="N111" s="3" t="str">
        <f>CONCATENATE("RMTFST55R10G478J")</f>
        <v>RMTFST55R10G478J</v>
      </c>
      <c r="O111" s="3" t="s">
        <v>197</v>
      </c>
      <c r="P111" s="3" t="s">
        <v>36</v>
      </c>
      <c r="Q111" s="3"/>
      <c r="R111" s="4">
        <v>46000</v>
      </c>
      <c r="S111" s="3" t="s">
        <v>37</v>
      </c>
      <c r="T111" s="3" t="s">
        <v>38</v>
      </c>
      <c r="U111" s="3" t="s">
        <v>39</v>
      </c>
      <c r="V111" s="5">
        <v>5400</v>
      </c>
      <c r="W111" s="5">
        <v>2295</v>
      </c>
      <c r="X111" s="5">
        <v>2173.5</v>
      </c>
      <c r="Y111" s="3">
        <v>931.5</v>
      </c>
    </row>
    <row r="112" spans="1:25" ht="36.75" x14ac:dyDescent="0.25">
      <c r="A112" s="3" t="s">
        <v>26</v>
      </c>
      <c r="B112" s="3" t="s">
        <v>27</v>
      </c>
      <c r="C112" s="3" t="s">
        <v>28</v>
      </c>
      <c r="D112" s="3" t="s">
        <v>29</v>
      </c>
      <c r="E112" s="3" t="s">
        <v>72</v>
      </c>
      <c r="F112" s="3" t="s">
        <v>31</v>
      </c>
      <c r="G112" s="3" t="s">
        <v>72</v>
      </c>
      <c r="H112" s="3" t="s">
        <v>45</v>
      </c>
      <c r="I112" s="3">
        <v>2025</v>
      </c>
      <c r="J112" s="3" t="str">
        <f>CONCATENATE("54811083150")</f>
        <v>54811083150</v>
      </c>
      <c r="K112" s="3" t="s">
        <v>33</v>
      </c>
      <c r="L112" s="3"/>
      <c r="M112" s="3" t="s">
        <v>34</v>
      </c>
      <c r="N112" s="3" t="str">
        <f>CONCATENATE("02634470419")</f>
        <v>02634470419</v>
      </c>
      <c r="O112" s="3" t="s">
        <v>198</v>
      </c>
      <c r="P112" s="3" t="s">
        <v>36</v>
      </c>
      <c r="Q112" s="3"/>
      <c r="R112" s="4">
        <v>46000</v>
      </c>
      <c r="S112" s="3" t="s">
        <v>37</v>
      </c>
      <c r="T112" s="3" t="s">
        <v>38</v>
      </c>
      <c r="U112" s="3" t="s">
        <v>39</v>
      </c>
      <c r="V112" s="5">
        <v>1260</v>
      </c>
      <c r="W112" s="3">
        <v>535.5</v>
      </c>
      <c r="X112" s="3">
        <v>507.15</v>
      </c>
      <c r="Y112" s="3">
        <v>217.35</v>
      </c>
    </row>
    <row r="113" spans="1:25" ht="60.75" x14ac:dyDescent="0.25">
      <c r="A113" s="3" t="s">
        <v>26</v>
      </c>
      <c r="B113" s="3" t="s">
        <v>27</v>
      </c>
      <c r="C113" s="3" t="s">
        <v>28</v>
      </c>
      <c r="D113" s="3" t="s">
        <v>29</v>
      </c>
      <c r="E113" s="3" t="s">
        <v>47</v>
      </c>
      <c r="F113" s="3" t="s">
        <v>31</v>
      </c>
      <c r="G113" s="3" t="s">
        <v>47</v>
      </c>
      <c r="H113" s="3" t="s">
        <v>48</v>
      </c>
      <c r="I113" s="3">
        <v>2025</v>
      </c>
      <c r="J113" s="3" t="str">
        <f>CONCATENATE("54810517182")</f>
        <v>54810517182</v>
      </c>
      <c r="K113" s="3" t="s">
        <v>33</v>
      </c>
      <c r="L113" s="3"/>
      <c r="M113" s="3" t="s">
        <v>34</v>
      </c>
      <c r="N113" s="3" t="str">
        <f>CONCATENATE("PLCFNC67M25C524X")</f>
        <v>PLCFNC67M25C524X</v>
      </c>
      <c r="O113" s="3" t="s">
        <v>199</v>
      </c>
      <c r="P113" s="3" t="s">
        <v>36</v>
      </c>
      <c r="Q113" s="3"/>
      <c r="R113" s="4">
        <v>46000</v>
      </c>
      <c r="S113" s="3" t="s">
        <v>37</v>
      </c>
      <c r="T113" s="3" t="s">
        <v>38</v>
      </c>
      <c r="U113" s="3" t="s">
        <v>39</v>
      </c>
      <c r="V113" s="3">
        <v>47.25</v>
      </c>
      <c r="W113" s="3">
        <v>20.079999999999998</v>
      </c>
      <c r="X113" s="3">
        <v>19.02</v>
      </c>
      <c r="Y113" s="3">
        <v>8.15</v>
      </c>
    </row>
    <row r="114" spans="1:25" ht="60.75" x14ac:dyDescent="0.25">
      <c r="A114" s="3" t="s">
        <v>26</v>
      </c>
      <c r="B114" s="3" t="s">
        <v>27</v>
      </c>
      <c r="C114" s="3" t="s">
        <v>28</v>
      </c>
      <c r="D114" s="3" t="s">
        <v>29</v>
      </c>
      <c r="E114" s="3" t="s">
        <v>72</v>
      </c>
      <c r="F114" s="3" t="s">
        <v>31</v>
      </c>
      <c r="G114" s="3" t="s">
        <v>72</v>
      </c>
      <c r="H114" s="3" t="s">
        <v>45</v>
      </c>
      <c r="I114" s="3">
        <v>2025</v>
      </c>
      <c r="J114" s="3" t="str">
        <f>CONCATENATE("54810607181")</f>
        <v>54810607181</v>
      </c>
      <c r="K114" s="3" t="s">
        <v>33</v>
      </c>
      <c r="L114" s="3"/>
      <c r="M114" s="3" t="s">
        <v>34</v>
      </c>
      <c r="N114" s="3" t="str">
        <f>CONCATENATE("FCCLSS87R19E256Q")</f>
        <v>FCCLSS87R19E256Q</v>
      </c>
      <c r="O114" s="3" t="s">
        <v>200</v>
      </c>
      <c r="P114" s="3" t="s">
        <v>36</v>
      </c>
      <c r="Q114" s="3"/>
      <c r="R114" s="4">
        <v>46000</v>
      </c>
      <c r="S114" s="3" t="s">
        <v>37</v>
      </c>
      <c r="T114" s="3" t="s">
        <v>38</v>
      </c>
      <c r="U114" s="3" t="s">
        <v>39</v>
      </c>
      <c r="V114" s="3">
        <v>480</v>
      </c>
      <c r="W114" s="3">
        <v>204</v>
      </c>
      <c r="X114" s="3">
        <v>193.2</v>
      </c>
      <c r="Y114" s="3">
        <v>82.8</v>
      </c>
    </row>
    <row r="115" spans="1:25" ht="60.75" x14ac:dyDescent="0.25">
      <c r="A115" s="3" t="s">
        <v>26</v>
      </c>
      <c r="B115" s="3" t="s">
        <v>27</v>
      </c>
      <c r="C115" s="3" t="s">
        <v>28</v>
      </c>
      <c r="D115" s="3" t="s">
        <v>29</v>
      </c>
      <c r="E115" s="3" t="s">
        <v>72</v>
      </c>
      <c r="F115" s="3" t="s">
        <v>31</v>
      </c>
      <c r="G115" s="3" t="s">
        <v>72</v>
      </c>
      <c r="H115" s="3" t="s">
        <v>45</v>
      </c>
      <c r="I115" s="3">
        <v>2025</v>
      </c>
      <c r="J115" s="3" t="str">
        <f>CONCATENATE("54811083283")</f>
        <v>54811083283</v>
      </c>
      <c r="K115" s="3" t="s">
        <v>33</v>
      </c>
      <c r="L115" s="3"/>
      <c r="M115" s="3" t="s">
        <v>34</v>
      </c>
      <c r="N115" s="3" t="str">
        <f>CONCATENATE("CNCGST75M02B352T")</f>
        <v>CNCGST75M02B352T</v>
      </c>
      <c r="O115" s="3" t="s">
        <v>201</v>
      </c>
      <c r="P115" s="3" t="s">
        <v>36</v>
      </c>
      <c r="Q115" s="3"/>
      <c r="R115" s="4">
        <v>46000</v>
      </c>
      <c r="S115" s="3" t="s">
        <v>37</v>
      </c>
      <c r="T115" s="3" t="s">
        <v>38</v>
      </c>
      <c r="U115" s="3" t="s">
        <v>39</v>
      </c>
      <c r="V115" s="3">
        <v>360</v>
      </c>
      <c r="W115" s="3">
        <v>153</v>
      </c>
      <c r="X115" s="3">
        <v>144.9</v>
      </c>
      <c r="Y115" s="3">
        <v>62.1</v>
      </c>
    </row>
    <row r="116" spans="1:25" ht="36.75" x14ac:dyDescent="0.25">
      <c r="A116" s="3" t="s">
        <v>26</v>
      </c>
      <c r="B116" s="3" t="s">
        <v>27</v>
      </c>
      <c r="C116" s="3" t="s">
        <v>28</v>
      </c>
      <c r="D116" s="3" t="s">
        <v>29</v>
      </c>
      <c r="E116" s="3" t="s">
        <v>47</v>
      </c>
      <c r="F116" s="3" t="s">
        <v>31</v>
      </c>
      <c r="G116" s="3" t="s">
        <v>47</v>
      </c>
      <c r="H116" s="3" t="s">
        <v>48</v>
      </c>
      <c r="I116" s="3">
        <v>2025</v>
      </c>
      <c r="J116" s="3" t="str">
        <f>CONCATENATE("54811093506")</f>
        <v>54811093506</v>
      </c>
      <c r="K116" s="3" t="s">
        <v>33</v>
      </c>
      <c r="L116" s="3"/>
      <c r="M116" s="3" t="s">
        <v>34</v>
      </c>
      <c r="N116" s="3" t="str">
        <f>CONCATENATE("02896460421")</f>
        <v>02896460421</v>
      </c>
      <c r="O116" s="3" t="s">
        <v>202</v>
      </c>
      <c r="P116" s="3" t="s">
        <v>36</v>
      </c>
      <c r="Q116" s="3"/>
      <c r="R116" s="4">
        <v>46000</v>
      </c>
      <c r="S116" s="3" t="s">
        <v>37</v>
      </c>
      <c r="T116" s="3" t="s">
        <v>38</v>
      </c>
      <c r="U116" s="3" t="s">
        <v>39</v>
      </c>
      <c r="V116" s="3">
        <v>546.75</v>
      </c>
      <c r="W116" s="3">
        <v>232.37</v>
      </c>
      <c r="X116" s="3">
        <v>220.07</v>
      </c>
      <c r="Y116" s="3">
        <v>94.31</v>
      </c>
    </row>
    <row r="117" spans="1:25" ht="72.75" x14ac:dyDescent="0.25">
      <c r="A117" s="3" t="s">
        <v>26</v>
      </c>
      <c r="B117" s="3" t="s">
        <v>27</v>
      </c>
      <c r="C117" s="3" t="s">
        <v>28</v>
      </c>
      <c r="D117" s="3" t="s">
        <v>40</v>
      </c>
      <c r="E117" s="3" t="s">
        <v>41</v>
      </c>
      <c r="F117" s="3" t="s">
        <v>42</v>
      </c>
      <c r="G117" s="3" t="s">
        <v>41</v>
      </c>
      <c r="H117" s="3" t="s">
        <v>32</v>
      </c>
      <c r="I117" s="3">
        <v>2025</v>
      </c>
      <c r="J117" s="3" t="str">
        <f>CONCATENATE("54810265964")</f>
        <v>54810265964</v>
      </c>
      <c r="K117" s="3" t="s">
        <v>33</v>
      </c>
      <c r="L117" s="3"/>
      <c r="M117" s="3" t="s">
        <v>34</v>
      </c>
      <c r="N117" s="3" t="str">
        <f>CONCATENATE("BNMSLV85T49H501B")</f>
        <v>BNMSLV85T49H501B</v>
      </c>
      <c r="O117" s="3" t="s">
        <v>203</v>
      </c>
      <c r="P117" s="3" t="s">
        <v>36</v>
      </c>
      <c r="Q117" s="3"/>
      <c r="R117" s="4">
        <v>46000</v>
      </c>
      <c r="S117" s="3" t="s">
        <v>37</v>
      </c>
      <c r="T117" s="3" t="s">
        <v>38</v>
      </c>
      <c r="U117" s="3" t="s">
        <v>39</v>
      </c>
      <c r="V117" s="3">
        <v>438.75</v>
      </c>
      <c r="W117" s="3">
        <v>186.47</v>
      </c>
      <c r="X117" s="3">
        <v>176.6</v>
      </c>
      <c r="Y117" s="3">
        <v>75.680000000000007</v>
      </c>
    </row>
    <row r="118" spans="1:25" ht="60.75" x14ac:dyDescent="0.25">
      <c r="A118" s="3" t="s">
        <v>26</v>
      </c>
      <c r="B118" s="3" t="s">
        <v>27</v>
      </c>
      <c r="C118" s="3" t="s">
        <v>28</v>
      </c>
      <c r="D118" s="3" t="s">
        <v>40</v>
      </c>
      <c r="E118" s="3" t="s">
        <v>54</v>
      </c>
      <c r="F118" s="3" t="s">
        <v>42</v>
      </c>
      <c r="G118" s="3" t="s">
        <v>54</v>
      </c>
      <c r="H118" s="3" t="s">
        <v>45</v>
      </c>
      <c r="I118" s="3">
        <v>2025</v>
      </c>
      <c r="J118" s="3" t="str">
        <f>CONCATENATE("54810134020")</f>
        <v>54810134020</v>
      </c>
      <c r="K118" s="3" t="s">
        <v>33</v>
      </c>
      <c r="L118" s="3"/>
      <c r="M118" s="3" t="s">
        <v>34</v>
      </c>
      <c r="N118" s="3" t="str">
        <f>CONCATENATE("PSCLCU86D10D488F")</f>
        <v>PSCLCU86D10D488F</v>
      </c>
      <c r="O118" s="3" t="s">
        <v>204</v>
      </c>
      <c r="P118" s="3" t="s">
        <v>36</v>
      </c>
      <c r="Q118" s="3"/>
      <c r="R118" s="4">
        <v>46000</v>
      </c>
      <c r="S118" s="3" t="s">
        <v>37</v>
      </c>
      <c r="T118" s="3" t="s">
        <v>38</v>
      </c>
      <c r="U118" s="3" t="s">
        <v>39</v>
      </c>
      <c r="V118" s="3">
        <v>300</v>
      </c>
      <c r="W118" s="3">
        <v>127.5</v>
      </c>
      <c r="X118" s="3">
        <v>120.75</v>
      </c>
      <c r="Y118" s="3">
        <v>51.75</v>
      </c>
    </row>
    <row r="119" spans="1:25" ht="60.75" x14ac:dyDescent="0.25">
      <c r="A119" s="3" t="s">
        <v>26</v>
      </c>
      <c r="B119" s="3" t="s">
        <v>27</v>
      </c>
      <c r="C119" s="3" t="s">
        <v>28</v>
      </c>
      <c r="D119" s="3" t="s">
        <v>50</v>
      </c>
      <c r="E119" s="3" t="s">
        <v>147</v>
      </c>
      <c r="F119" s="3" t="s">
        <v>52</v>
      </c>
      <c r="G119" s="3" t="s">
        <v>147</v>
      </c>
      <c r="H119" s="3" t="s">
        <v>45</v>
      </c>
      <c r="I119" s="3">
        <v>2025</v>
      </c>
      <c r="J119" s="3" t="str">
        <f>CONCATENATE("54810715380")</f>
        <v>54810715380</v>
      </c>
      <c r="K119" s="3" t="s">
        <v>33</v>
      </c>
      <c r="L119" s="3"/>
      <c r="M119" s="3" t="s">
        <v>34</v>
      </c>
      <c r="N119" s="3" t="str">
        <f>CONCATENATE("LPRMRA56T61F399Y")</f>
        <v>LPRMRA56T61F399Y</v>
      </c>
      <c r="O119" s="3" t="s">
        <v>205</v>
      </c>
      <c r="P119" s="3" t="s">
        <v>36</v>
      </c>
      <c r="Q119" s="3"/>
      <c r="R119" s="4">
        <v>46000</v>
      </c>
      <c r="S119" s="3" t="s">
        <v>37</v>
      </c>
      <c r="T119" s="3" t="s">
        <v>38</v>
      </c>
      <c r="U119" s="3" t="s">
        <v>39</v>
      </c>
      <c r="V119" s="3">
        <v>60</v>
      </c>
      <c r="W119" s="3">
        <v>25.5</v>
      </c>
      <c r="X119" s="3">
        <v>24.15</v>
      </c>
      <c r="Y119" s="3">
        <v>10.35</v>
      </c>
    </row>
    <row r="120" spans="1:25" ht="36.75" x14ac:dyDescent="0.25">
      <c r="A120" s="3" t="s">
        <v>26</v>
      </c>
      <c r="B120" s="3" t="s">
        <v>27</v>
      </c>
      <c r="C120" s="3" t="s">
        <v>28</v>
      </c>
      <c r="D120" s="3" t="s">
        <v>29</v>
      </c>
      <c r="E120" s="3" t="s">
        <v>111</v>
      </c>
      <c r="F120" s="3" t="s">
        <v>31</v>
      </c>
      <c r="G120" s="3" t="s">
        <v>111</v>
      </c>
      <c r="H120" s="3" t="s">
        <v>96</v>
      </c>
      <c r="I120" s="3">
        <v>2025</v>
      </c>
      <c r="J120" s="3" t="str">
        <f>CONCATENATE("54811115697")</f>
        <v>54811115697</v>
      </c>
      <c r="K120" s="3" t="s">
        <v>33</v>
      </c>
      <c r="L120" s="3"/>
      <c r="M120" s="3" t="s">
        <v>34</v>
      </c>
      <c r="N120" s="3" t="str">
        <f>CONCATENATE("01987450440")</f>
        <v>01987450440</v>
      </c>
      <c r="O120" s="3" t="s">
        <v>206</v>
      </c>
      <c r="P120" s="3" t="s">
        <v>36</v>
      </c>
      <c r="Q120" s="3"/>
      <c r="R120" s="4">
        <v>46000</v>
      </c>
      <c r="S120" s="3" t="s">
        <v>37</v>
      </c>
      <c r="T120" s="3" t="s">
        <v>38</v>
      </c>
      <c r="U120" s="3" t="s">
        <v>39</v>
      </c>
      <c r="V120" s="3">
        <v>162</v>
      </c>
      <c r="W120" s="3">
        <v>68.849999999999994</v>
      </c>
      <c r="X120" s="3">
        <v>65.209999999999994</v>
      </c>
      <c r="Y120" s="3">
        <v>27.94</v>
      </c>
    </row>
    <row r="121" spans="1:25" ht="60.75" x14ac:dyDescent="0.25">
      <c r="A121" s="3" t="s">
        <v>26</v>
      </c>
      <c r="B121" s="3" t="s">
        <v>27</v>
      </c>
      <c r="C121" s="3" t="s">
        <v>28</v>
      </c>
      <c r="D121" s="3" t="s">
        <v>29</v>
      </c>
      <c r="E121" s="3" t="s">
        <v>136</v>
      </c>
      <c r="F121" s="3" t="s">
        <v>31</v>
      </c>
      <c r="G121" s="3" t="s">
        <v>136</v>
      </c>
      <c r="H121" s="3" t="s">
        <v>48</v>
      </c>
      <c r="I121" s="3">
        <v>2025</v>
      </c>
      <c r="J121" s="3" t="str">
        <f>CONCATENATE("54820136254")</f>
        <v>54820136254</v>
      </c>
      <c r="K121" s="3" t="s">
        <v>33</v>
      </c>
      <c r="L121" s="3"/>
      <c r="M121" s="3" t="s">
        <v>131</v>
      </c>
      <c r="N121" s="3" t="str">
        <f>CONCATENATE("PNTBNT49E28I461L")</f>
        <v>PNTBNT49E28I461L</v>
      </c>
      <c r="O121" s="3" t="s">
        <v>207</v>
      </c>
      <c r="P121" s="3" t="s">
        <v>36</v>
      </c>
      <c r="Q121" s="3"/>
      <c r="R121" s="4">
        <v>45996</v>
      </c>
      <c r="S121" s="3" t="s">
        <v>37</v>
      </c>
      <c r="T121" s="3" t="s">
        <v>38</v>
      </c>
      <c r="U121" s="3" t="s">
        <v>39</v>
      </c>
      <c r="V121" s="3">
        <v>168.13</v>
      </c>
      <c r="W121" s="3">
        <v>71.459999999999994</v>
      </c>
      <c r="X121" s="3">
        <v>67.67</v>
      </c>
      <c r="Y121" s="3">
        <v>29</v>
      </c>
    </row>
    <row r="122" spans="1:25" ht="60.75" x14ac:dyDescent="0.25">
      <c r="A122" s="3" t="s">
        <v>26</v>
      </c>
      <c r="B122" s="3" t="s">
        <v>27</v>
      </c>
      <c r="C122" s="3" t="s">
        <v>28</v>
      </c>
      <c r="D122" s="3" t="s">
        <v>29</v>
      </c>
      <c r="E122" s="3" t="s">
        <v>208</v>
      </c>
      <c r="F122" s="3" t="s">
        <v>31</v>
      </c>
      <c r="G122" s="3" t="s">
        <v>208</v>
      </c>
      <c r="H122" s="3" t="s">
        <v>45</v>
      </c>
      <c r="I122" s="3">
        <v>2025</v>
      </c>
      <c r="J122" s="3" t="str">
        <f>CONCATENATE("54820082094")</f>
        <v>54820082094</v>
      </c>
      <c r="K122" s="3" t="s">
        <v>33</v>
      </c>
      <c r="L122" s="3"/>
      <c r="M122" s="3" t="s">
        <v>131</v>
      </c>
      <c r="N122" s="3" t="str">
        <f>CONCATENATE("CPPRLA43H16L498H")</f>
        <v>CPPRLA43H16L498H</v>
      </c>
      <c r="O122" s="3" t="s">
        <v>209</v>
      </c>
      <c r="P122" s="3" t="s">
        <v>36</v>
      </c>
      <c r="Q122" s="3"/>
      <c r="R122" s="4">
        <v>45996</v>
      </c>
      <c r="S122" s="3" t="s">
        <v>37</v>
      </c>
      <c r="T122" s="3" t="s">
        <v>38</v>
      </c>
      <c r="U122" s="3" t="s">
        <v>39</v>
      </c>
      <c r="V122" s="3">
        <v>470.93</v>
      </c>
      <c r="W122" s="3">
        <v>200.15</v>
      </c>
      <c r="X122" s="3">
        <v>189.55</v>
      </c>
      <c r="Y122" s="3">
        <v>81.23</v>
      </c>
    </row>
    <row r="123" spans="1:25" ht="60.75" x14ac:dyDescent="0.25">
      <c r="A123" s="3" t="s">
        <v>26</v>
      </c>
      <c r="B123" s="3" t="s">
        <v>27</v>
      </c>
      <c r="C123" s="3" t="s">
        <v>28</v>
      </c>
      <c r="D123" s="3" t="s">
        <v>29</v>
      </c>
      <c r="E123" s="3" t="s">
        <v>47</v>
      </c>
      <c r="F123" s="3" t="s">
        <v>31</v>
      </c>
      <c r="G123" s="3" t="s">
        <v>47</v>
      </c>
      <c r="H123" s="3" t="s">
        <v>48</v>
      </c>
      <c r="I123" s="3">
        <v>2025</v>
      </c>
      <c r="J123" s="3" t="str">
        <f>CONCATENATE("54820073051")</f>
        <v>54820073051</v>
      </c>
      <c r="K123" s="3" t="s">
        <v>33</v>
      </c>
      <c r="L123" s="3"/>
      <c r="M123" s="3" t="s">
        <v>131</v>
      </c>
      <c r="N123" s="3" t="str">
        <f>CONCATENATE("LRNLIA47P65D451W")</f>
        <v>LRNLIA47P65D451W</v>
      </c>
      <c r="O123" s="3" t="s">
        <v>210</v>
      </c>
      <c r="P123" s="3" t="s">
        <v>36</v>
      </c>
      <c r="Q123" s="3"/>
      <c r="R123" s="4">
        <v>45996</v>
      </c>
      <c r="S123" s="3" t="s">
        <v>37</v>
      </c>
      <c r="T123" s="3" t="s">
        <v>38</v>
      </c>
      <c r="U123" s="3" t="s">
        <v>39</v>
      </c>
      <c r="V123" s="3">
        <v>118.9</v>
      </c>
      <c r="W123" s="3">
        <v>50.53</v>
      </c>
      <c r="X123" s="3">
        <v>47.86</v>
      </c>
      <c r="Y123" s="3">
        <v>20.51</v>
      </c>
    </row>
    <row r="124" spans="1:25" ht="72.75" x14ac:dyDescent="0.25">
      <c r="A124" s="3" t="s">
        <v>26</v>
      </c>
      <c r="B124" s="3" t="s">
        <v>27</v>
      </c>
      <c r="C124" s="3" t="s">
        <v>28</v>
      </c>
      <c r="D124" s="3" t="s">
        <v>29</v>
      </c>
      <c r="E124" s="3" t="s">
        <v>119</v>
      </c>
      <c r="F124" s="3" t="s">
        <v>31</v>
      </c>
      <c r="G124" s="3" t="s">
        <v>119</v>
      </c>
      <c r="H124" s="3" t="s">
        <v>96</v>
      </c>
      <c r="I124" s="3">
        <v>2025</v>
      </c>
      <c r="J124" s="3" t="str">
        <f>CONCATENATE("54820087663")</f>
        <v>54820087663</v>
      </c>
      <c r="K124" s="3" t="s">
        <v>33</v>
      </c>
      <c r="L124" s="3"/>
      <c r="M124" s="3" t="s">
        <v>131</v>
      </c>
      <c r="N124" s="3" t="str">
        <f>CONCATENATE("DMLMSM72L31A252W")</f>
        <v>DMLMSM72L31A252W</v>
      </c>
      <c r="O124" s="3" t="s">
        <v>211</v>
      </c>
      <c r="P124" s="3" t="s">
        <v>36</v>
      </c>
      <c r="Q124" s="3"/>
      <c r="R124" s="4">
        <v>45996</v>
      </c>
      <c r="S124" s="3" t="s">
        <v>37</v>
      </c>
      <c r="T124" s="3" t="s">
        <v>38</v>
      </c>
      <c r="U124" s="3" t="s">
        <v>39</v>
      </c>
      <c r="V124" s="3">
        <v>490.75</v>
      </c>
      <c r="W124" s="3">
        <v>208.57</v>
      </c>
      <c r="X124" s="3">
        <v>197.53</v>
      </c>
      <c r="Y124" s="3">
        <v>84.65</v>
      </c>
    </row>
    <row r="125" spans="1:25" ht="60.75" x14ac:dyDescent="0.25">
      <c r="A125" s="3" t="s">
        <v>26</v>
      </c>
      <c r="B125" s="3" t="s">
        <v>27</v>
      </c>
      <c r="C125" s="3" t="s">
        <v>28</v>
      </c>
      <c r="D125" s="3" t="s">
        <v>50</v>
      </c>
      <c r="E125" s="3" t="s">
        <v>212</v>
      </c>
      <c r="F125" s="3" t="s">
        <v>52</v>
      </c>
      <c r="G125" s="3" t="s">
        <v>212</v>
      </c>
      <c r="H125" s="3" t="s">
        <v>32</v>
      </c>
      <c r="I125" s="3">
        <v>2025</v>
      </c>
      <c r="J125" s="3" t="str">
        <f>CONCATENATE("54820052980")</f>
        <v>54820052980</v>
      </c>
      <c r="K125" s="3" t="s">
        <v>33</v>
      </c>
      <c r="L125" s="3"/>
      <c r="M125" s="3" t="s">
        <v>131</v>
      </c>
      <c r="N125" s="3" t="str">
        <f>CONCATENATE("SLVLEI53A28A739K")</f>
        <v>SLVLEI53A28A739K</v>
      </c>
      <c r="O125" s="3" t="s">
        <v>213</v>
      </c>
      <c r="P125" s="3" t="s">
        <v>36</v>
      </c>
      <c r="Q125" s="3"/>
      <c r="R125" s="4">
        <v>45996</v>
      </c>
      <c r="S125" s="3" t="s">
        <v>37</v>
      </c>
      <c r="T125" s="3" t="s">
        <v>38</v>
      </c>
      <c r="U125" s="3" t="s">
        <v>39</v>
      </c>
      <c r="V125" s="3">
        <v>192.26</v>
      </c>
      <c r="W125" s="3">
        <v>81.709999999999994</v>
      </c>
      <c r="X125" s="3">
        <v>77.38</v>
      </c>
      <c r="Y125" s="3">
        <v>33.17</v>
      </c>
    </row>
    <row r="126" spans="1:25" ht="60.75" x14ac:dyDescent="0.25">
      <c r="A126" s="3" t="s">
        <v>26</v>
      </c>
      <c r="B126" s="3" t="s">
        <v>27</v>
      </c>
      <c r="C126" s="3" t="s">
        <v>28</v>
      </c>
      <c r="D126" s="3" t="s">
        <v>40</v>
      </c>
      <c r="E126" s="3" t="s">
        <v>54</v>
      </c>
      <c r="F126" s="3" t="s">
        <v>42</v>
      </c>
      <c r="G126" s="3" t="s">
        <v>54</v>
      </c>
      <c r="H126" s="3" t="s">
        <v>45</v>
      </c>
      <c r="I126" s="3">
        <v>2025</v>
      </c>
      <c r="J126" s="3" t="str">
        <f>CONCATENATE("54820068341")</f>
        <v>54820068341</v>
      </c>
      <c r="K126" s="3" t="s">
        <v>33</v>
      </c>
      <c r="L126" s="3"/>
      <c r="M126" s="3" t="s">
        <v>131</v>
      </c>
      <c r="N126" s="3" t="str">
        <f>CONCATENATE("DNRNAA73D45Z611X")</f>
        <v>DNRNAA73D45Z611X</v>
      </c>
      <c r="O126" s="3" t="s">
        <v>214</v>
      </c>
      <c r="P126" s="3" t="s">
        <v>36</v>
      </c>
      <c r="Q126" s="3"/>
      <c r="R126" s="4">
        <v>45996</v>
      </c>
      <c r="S126" s="3" t="s">
        <v>37</v>
      </c>
      <c r="T126" s="3" t="s">
        <v>38</v>
      </c>
      <c r="U126" s="3" t="s">
        <v>39</v>
      </c>
      <c r="V126" s="3">
        <v>124.55</v>
      </c>
      <c r="W126" s="3">
        <v>52.93</v>
      </c>
      <c r="X126" s="3">
        <v>50.13</v>
      </c>
      <c r="Y126" s="3">
        <v>21.49</v>
      </c>
    </row>
    <row r="127" spans="1:25" ht="60.75" x14ac:dyDescent="0.25">
      <c r="A127" s="3" t="s">
        <v>26</v>
      </c>
      <c r="B127" s="3" t="s">
        <v>27</v>
      </c>
      <c r="C127" s="3" t="s">
        <v>28</v>
      </c>
      <c r="D127" s="3" t="s">
        <v>29</v>
      </c>
      <c r="E127" s="3" t="s">
        <v>119</v>
      </c>
      <c r="F127" s="3" t="s">
        <v>31</v>
      </c>
      <c r="G127" s="3" t="s">
        <v>119</v>
      </c>
      <c r="H127" s="3" t="s">
        <v>96</v>
      </c>
      <c r="I127" s="3">
        <v>2025</v>
      </c>
      <c r="J127" s="3" t="str">
        <f>CONCATENATE("54820122775")</f>
        <v>54820122775</v>
      </c>
      <c r="K127" s="3" t="s">
        <v>33</v>
      </c>
      <c r="L127" s="3"/>
      <c r="M127" s="3" t="s">
        <v>131</v>
      </c>
      <c r="N127" s="3" t="str">
        <f>CONCATENATE("CPRMRC77P15H769M")</f>
        <v>CPRMRC77P15H769M</v>
      </c>
      <c r="O127" s="3" t="s">
        <v>215</v>
      </c>
      <c r="P127" s="3" t="s">
        <v>36</v>
      </c>
      <c r="Q127" s="3"/>
      <c r="R127" s="4">
        <v>45996</v>
      </c>
      <c r="S127" s="3" t="s">
        <v>37</v>
      </c>
      <c r="T127" s="3" t="s">
        <v>38</v>
      </c>
      <c r="U127" s="3" t="s">
        <v>39</v>
      </c>
      <c r="V127" s="3">
        <v>168.91</v>
      </c>
      <c r="W127" s="3">
        <v>71.790000000000006</v>
      </c>
      <c r="X127" s="3">
        <v>67.989999999999995</v>
      </c>
      <c r="Y127" s="3">
        <v>29.13</v>
      </c>
    </row>
    <row r="128" spans="1:25" ht="60.75" x14ac:dyDescent="0.25">
      <c r="A128" s="3" t="s">
        <v>26</v>
      </c>
      <c r="B128" s="3" t="s">
        <v>27</v>
      </c>
      <c r="C128" s="3" t="s">
        <v>28</v>
      </c>
      <c r="D128" s="3" t="s">
        <v>29</v>
      </c>
      <c r="E128" s="3" t="s">
        <v>136</v>
      </c>
      <c r="F128" s="3" t="s">
        <v>31</v>
      </c>
      <c r="G128" s="3" t="s">
        <v>136</v>
      </c>
      <c r="H128" s="3" t="s">
        <v>48</v>
      </c>
      <c r="I128" s="3">
        <v>2025</v>
      </c>
      <c r="J128" s="3" t="str">
        <f>CONCATENATE("54820122536")</f>
        <v>54820122536</v>
      </c>
      <c r="K128" s="3" t="s">
        <v>33</v>
      </c>
      <c r="L128" s="3"/>
      <c r="M128" s="3" t="s">
        <v>131</v>
      </c>
      <c r="N128" s="3" t="str">
        <f>CONCATENATE("BDCLFA46S01I461E")</f>
        <v>BDCLFA46S01I461E</v>
      </c>
      <c r="O128" s="3" t="s">
        <v>216</v>
      </c>
      <c r="P128" s="3" t="s">
        <v>36</v>
      </c>
      <c r="Q128" s="3"/>
      <c r="R128" s="4">
        <v>45996</v>
      </c>
      <c r="S128" s="3" t="s">
        <v>37</v>
      </c>
      <c r="T128" s="3" t="s">
        <v>38</v>
      </c>
      <c r="U128" s="3" t="s">
        <v>39</v>
      </c>
      <c r="V128" s="3">
        <v>437.44</v>
      </c>
      <c r="W128" s="3">
        <v>185.91</v>
      </c>
      <c r="X128" s="3">
        <v>176.07</v>
      </c>
      <c r="Y128" s="3">
        <v>75.459999999999994</v>
      </c>
    </row>
    <row r="129" spans="1:25" ht="72.75" x14ac:dyDescent="0.25">
      <c r="A129" s="3" t="s">
        <v>26</v>
      </c>
      <c r="B129" s="3" t="s">
        <v>27</v>
      </c>
      <c r="C129" s="3" t="s">
        <v>28</v>
      </c>
      <c r="D129" s="3" t="s">
        <v>40</v>
      </c>
      <c r="E129" s="3" t="s">
        <v>54</v>
      </c>
      <c r="F129" s="3" t="s">
        <v>42</v>
      </c>
      <c r="G129" s="3" t="s">
        <v>54</v>
      </c>
      <c r="H129" s="3" t="s">
        <v>45</v>
      </c>
      <c r="I129" s="3">
        <v>2025</v>
      </c>
      <c r="J129" s="3" t="str">
        <f>CONCATENATE("54820239819")</f>
        <v>54820239819</v>
      </c>
      <c r="K129" s="3" t="s">
        <v>33</v>
      </c>
      <c r="L129" s="3"/>
      <c r="M129" s="3" t="s">
        <v>131</v>
      </c>
      <c r="N129" s="3" t="str">
        <f>CONCATENATE("CBRNRM63H59D952M")</f>
        <v>CBRNRM63H59D952M</v>
      </c>
      <c r="O129" s="3" t="s">
        <v>217</v>
      </c>
      <c r="P129" s="3" t="s">
        <v>36</v>
      </c>
      <c r="Q129" s="3"/>
      <c r="R129" s="4">
        <v>45996</v>
      </c>
      <c r="S129" s="3" t="s">
        <v>37</v>
      </c>
      <c r="T129" s="3" t="s">
        <v>38</v>
      </c>
      <c r="U129" s="3" t="s">
        <v>39</v>
      </c>
      <c r="V129" s="3">
        <v>756.26</v>
      </c>
      <c r="W129" s="3">
        <v>321.41000000000003</v>
      </c>
      <c r="X129" s="3">
        <v>304.39</v>
      </c>
      <c r="Y129" s="3">
        <v>130.46</v>
      </c>
    </row>
    <row r="130" spans="1:25" ht="60.75" x14ac:dyDescent="0.25">
      <c r="A130" s="3" t="s">
        <v>26</v>
      </c>
      <c r="B130" s="3" t="s">
        <v>27</v>
      </c>
      <c r="C130" s="3" t="s">
        <v>28</v>
      </c>
      <c r="D130" s="3" t="s">
        <v>40</v>
      </c>
      <c r="E130" s="3" t="s">
        <v>218</v>
      </c>
      <c r="F130" s="3" t="s">
        <v>42</v>
      </c>
      <c r="G130" s="3" t="s">
        <v>218</v>
      </c>
      <c r="H130" s="3" t="s">
        <v>45</v>
      </c>
      <c r="I130" s="3">
        <v>2025</v>
      </c>
      <c r="J130" s="3" t="str">
        <f>CONCATENATE("54820069109")</f>
        <v>54820069109</v>
      </c>
      <c r="K130" s="3" t="s">
        <v>33</v>
      </c>
      <c r="L130" s="3"/>
      <c r="M130" s="3" t="s">
        <v>131</v>
      </c>
      <c r="N130" s="3" t="str">
        <f>CONCATENATE("BLDSLD31P26G453U")</f>
        <v>BLDSLD31P26G453U</v>
      </c>
      <c r="O130" s="3" t="s">
        <v>219</v>
      </c>
      <c r="P130" s="3" t="s">
        <v>36</v>
      </c>
      <c r="Q130" s="3"/>
      <c r="R130" s="4">
        <v>45996</v>
      </c>
      <c r="S130" s="3" t="s">
        <v>37</v>
      </c>
      <c r="T130" s="3" t="s">
        <v>38</v>
      </c>
      <c r="U130" s="3" t="s">
        <v>39</v>
      </c>
      <c r="V130" s="3">
        <v>67.58</v>
      </c>
      <c r="W130" s="3">
        <v>28.72</v>
      </c>
      <c r="X130" s="3">
        <v>27.2</v>
      </c>
      <c r="Y130" s="3">
        <v>11.66</v>
      </c>
    </row>
    <row r="131" spans="1:25" ht="60.75" x14ac:dyDescent="0.25">
      <c r="A131" s="3" t="s">
        <v>26</v>
      </c>
      <c r="B131" s="3" t="s">
        <v>27</v>
      </c>
      <c r="C131" s="3" t="s">
        <v>28</v>
      </c>
      <c r="D131" s="3" t="s">
        <v>50</v>
      </c>
      <c r="E131" s="3" t="s">
        <v>147</v>
      </c>
      <c r="F131" s="3" t="s">
        <v>52</v>
      </c>
      <c r="G131" s="3" t="s">
        <v>147</v>
      </c>
      <c r="H131" s="3" t="s">
        <v>45</v>
      </c>
      <c r="I131" s="3">
        <v>2025</v>
      </c>
      <c r="J131" s="3" t="str">
        <f>CONCATENATE("54820131388")</f>
        <v>54820131388</v>
      </c>
      <c r="K131" s="3" t="s">
        <v>33</v>
      </c>
      <c r="L131" s="3"/>
      <c r="M131" s="3" t="s">
        <v>131</v>
      </c>
      <c r="N131" s="3" t="str">
        <f>CONCATENATE("PGNMRT68E13L500D")</f>
        <v>PGNMRT68E13L500D</v>
      </c>
      <c r="O131" s="3" t="s">
        <v>220</v>
      </c>
      <c r="P131" s="3" t="s">
        <v>36</v>
      </c>
      <c r="Q131" s="3"/>
      <c r="R131" s="4">
        <v>45996</v>
      </c>
      <c r="S131" s="3" t="s">
        <v>37</v>
      </c>
      <c r="T131" s="3" t="s">
        <v>38</v>
      </c>
      <c r="U131" s="3" t="s">
        <v>39</v>
      </c>
      <c r="V131" s="3">
        <v>364.7</v>
      </c>
      <c r="W131" s="3">
        <v>155</v>
      </c>
      <c r="X131" s="3">
        <v>146.79</v>
      </c>
      <c r="Y131" s="3">
        <v>62.91</v>
      </c>
    </row>
    <row r="132" spans="1:25" ht="60.75" x14ac:dyDescent="0.25">
      <c r="A132" s="3" t="s">
        <v>26</v>
      </c>
      <c r="B132" s="3" t="s">
        <v>27</v>
      </c>
      <c r="C132" s="3" t="s">
        <v>28</v>
      </c>
      <c r="D132" s="3" t="s">
        <v>40</v>
      </c>
      <c r="E132" s="3" t="s">
        <v>99</v>
      </c>
      <c r="F132" s="3" t="s">
        <v>42</v>
      </c>
      <c r="G132" s="3" t="s">
        <v>99</v>
      </c>
      <c r="H132" s="3" t="s">
        <v>32</v>
      </c>
      <c r="I132" s="3">
        <v>2025</v>
      </c>
      <c r="J132" s="3" t="str">
        <f>CONCATENATE("54820139522")</f>
        <v>54820139522</v>
      </c>
      <c r="K132" s="3" t="s">
        <v>33</v>
      </c>
      <c r="L132" s="3"/>
      <c r="M132" s="3" t="s">
        <v>131</v>
      </c>
      <c r="N132" s="3" t="str">
        <f>CONCATENATE("MCHRRT64D25B474S")</f>
        <v>MCHRRT64D25B474S</v>
      </c>
      <c r="O132" s="3" t="s">
        <v>221</v>
      </c>
      <c r="P132" s="3" t="s">
        <v>36</v>
      </c>
      <c r="Q132" s="3"/>
      <c r="R132" s="4">
        <v>45996</v>
      </c>
      <c r="S132" s="3" t="s">
        <v>37</v>
      </c>
      <c r="T132" s="3" t="s">
        <v>38</v>
      </c>
      <c r="U132" s="3" t="s">
        <v>39</v>
      </c>
      <c r="V132" s="3">
        <v>246.84</v>
      </c>
      <c r="W132" s="3">
        <v>104.91</v>
      </c>
      <c r="X132" s="3">
        <v>99.35</v>
      </c>
      <c r="Y132" s="3">
        <v>42.58</v>
      </c>
    </row>
    <row r="133" spans="1:25" ht="36.75" x14ac:dyDescent="0.25">
      <c r="A133" s="3" t="s">
        <v>26</v>
      </c>
      <c r="B133" s="3" t="s">
        <v>27</v>
      </c>
      <c r="C133" s="3" t="s">
        <v>28</v>
      </c>
      <c r="D133" s="3" t="s">
        <v>29</v>
      </c>
      <c r="E133" s="3" t="s">
        <v>72</v>
      </c>
      <c r="F133" s="3" t="s">
        <v>31</v>
      </c>
      <c r="G133" s="3" t="s">
        <v>72</v>
      </c>
      <c r="H133" s="3" t="s">
        <v>45</v>
      </c>
      <c r="I133" s="3">
        <v>2025</v>
      </c>
      <c r="J133" s="3" t="str">
        <f>CONCATENATE("54820023593")</f>
        <v>54820023593</v>
      </c>
      <c r="K133" s="3" t="s">
        <v>33</v>
      </c>
      <c r="L133" s="3"/>
      <c r="M133" s="3" t="s">
        <v>131</v>
      </c>
      <c r="N133" s="3" t="str">
        <f>CONCATENATE("02012480410")</f>
        <v>02012480410</v>
      </c>
      <c r="O133" s="3" t="s">
        <v>222</v>
      </c>
      <c r="P133" s="3" t="s">
        <v>36</v>
      </c>
      <c r="Q133" s="3"/>
      <c r="R133" s="4">
        <v>45996</v>
      </c>
      <c r="S133" s="3" t="s">
        <v>37</v>
      </c>
      <c r="T133" s="3" t="s">
        <v>38</v>
      </c>
      <c r="U133" s="3" t="s">
        <v>39</v>
      </c>
      <c r="V133" s="3">
        <v>859.09</v>
      </c>
      <c r="W133" s="3">
        <v>365.11</v>
      </c>
      <c r="X133" s="3">
        <v>345.78</v>
      </c>
      <c r="Y133" s="3">
        <v>148.19999999999999</v>
      </c>
    </row>
    <row r="134" spans="1:25" ht="60.75" x14ac:dyDescent="0.25">
      <c r="A134" s="3" t="s">
        <v>26</v>
      </c>
      <c r="B134" s="3" t="s">
        <v>27</v>
      </c>
      <c r="C134" s="3" t="s">
        <v>28</v>
      </c>
      <c r="D134" s="3" t="s">
        <v>29</v>
      </c>
      <c r="E134" s="3" t="s">
        <v>47</v>
      </c>
      <c r="F134" s="3" t="s">
        <v>31</v>
      </c>
      <c r="G134" s="3" t="s">
        <v>47</v>
      </c>
      <c r="H134" s="3" t="s">
        <v>48</v>
      </c>
      <c r="I134" s="3">
        <v>2025</v>
      </c>
      <c r="J134" s="3" t="str">
        <f>CONCATENATE("54820073986")</f>
        <v>54820073986</v>
      </c>
      <c r="K134" s="3" t="s">
        <v>33</v>
      </c>
      <c r="L134" s="3"/>
      <c r="M134" s="3" t="s">
        <v>131</v>
      </c>
      <c r="N134" s="3" t="str">
        <f>CONCATENATE("TRBGNI50S14F616G")</f>
        <v>TRBGNI50S14F616G</v>
      </c>
      <c r="O134" s="3" t="s">
        <v>223</v>
      </c>
      <c r="P134" s="3" t="s">
        <v>36</v>
      </c>
      <c r="Q134" s="3"/>
      <c r="R134" s="4">
        <v>45996</v>
      </c>
      <c r="S134" s="3" t="s">
        <v>37</v>
      </c>
      <c r="T134" s="3" t="s">
        <v>38</v>
      </c>
      <c r="U134" s="3" t="s">
        <v>39</v>
      </c>
      <c r="V134" s="3">
        <v>64.23</v>
      </c>
      <c r="W134" s="3">
        <v>27.3</v>
      </c>
      <c r="X134" s="3">
        <v>25.85</v>
      </c>
      <c r="Y134" s="3">
        <v>11.08</v>
      </c>
    </row>
    <row r="135" spans="1:25" ht="60.75" x14ac:dyDescent="0.25">
      <c r="A135" s="3" t="s">
        <v>26</v>
      </c>
      <c r="B135" s="3" t="s">
        <v>27</v>
      </c>
      <c r="C135" s="3" t="s">
        <v>28</v>
      </c>
      <c r="D135" s="3" t="s">
        <v>40</v>
      </c>
      <c r="E135" s="3" t="s">
        <v>41</v>
      </c>
      <c r="F135" s="3" t="s">
        <v>42</v>
      </c>
      <c r="G135" s="3" t="s">
        <v>41</v>
      </c>
      <c r="H135" s="3" t="s">
        <v>32</v>
      </c>
      <c r="I135" s="3">
        <v>2025</v>
      </c>
      <c r="J135" s="3" t="str">
        <f>CONCATENATE("54820093497")</f>
        <v>54820093497</v>
      </c>
      <c r="K135" s="3" t="s">
        <v>33</v>
      </c>
      <c r="L135" s="3"/>
      <c r="M135" s="3" t="s">
        <v>131</v>
      </c>
      <c r="N135" s="3" t="str">
        <f>CONCATENATE("FLCNMR51L60I569U")</f>
        <v>FLCNMR51L60I569U</v>
      </c>
      <c r="O135" s="3" t="s">
        <v>224</v>
      </c>
      <c r="P135" s="3" t="s">
        <v>36</v>
      </c>
      <c r="Q135" s="3"/>
      <c r="R135" s="4">
        <v>45996</v>
      </c>
      <c r="S135" s="3" t="s">
        <v>37</v>
      </c>
      <c r="T135" s="3" t="s">
        <v>38</v>
      </c>
      <c r="U135" s="3" t="s">
        <v>39</v>
      </c>
      <c r="V135" s="3">
        <v>177</v>
      </c>
      <c r="W135" s="3">
        <v>75.23</v>
      </c>
      <c r="X135" s="3">
        <v>71.239999999999995</v>
      </c>
      <c r="Y135" s="3">
        <v>30.53</v>
      </c>
    </row>
    <row r="136" spans="1:25" ht="60.75" x14ac:dyDescent="0.25">
      <c r="A136" s="3" t="s">
        <v>26</v>
      </c>
      <c r="B136" s="3" t="s">
        <v>27</v>
      </c>
      <c r="C136" s="3" t="s">
        <v>28</v>
      </c>
      <c r="D136" s="3" t="s">
        <v>50</v>
      </c>
      <c r="E136" s="3" t="s">
        <v>225</v>
      </c>
      <c r="F136" s="3" t="s">
        <v>52</v>
      </c>
      <c r="G136" s="3" t="s">
        <v>225</v>
      </c>
      <c r="H136" s="3" t="s">
        <v>96</v>
      </c>
      <c r="I136" s="3">
        <v>2025</v>
      </c>
      <c r="J136" s="3" t="str">
        <f>CONCATENATE("54820067699")</f>
        <v>54820067699</v>
      </c>
      <c r="K136" s="3" t="s">
        <v>33</v>
      </c>
      <c r="L136" s="3"/>
      <c r="M136" s="3" t="s">
        <v>131</v>
      </c>
      <c r="N136" s="3" t="str">
        <f>CONCATENATE("RTNGPP50S25F509U")</f>
        <v>RTNGPP50S25F509U</v>
      </c>
      <c r="O136" s="3" t="s">
        <v>226</v>
      </c>
      <c r="P136" s="3" t="s">
        <v>36</v>
      </c>
      <c r="Q136" s="3"/>
      <c r="R136" s="4">
        <v>45996</v>
      </c>
      <c r="S136" s="3" t="s">
        <v>37</v>
      </c>
      <c r="T136" s="3" t="s">
        <v>38</v>
      </c>
      <c r="U136" s="3" t="s">
        <v>39</v>
      </c>
      <c r="V136" s="3">
        <v>76.22</v>
      </c>
      <c r="W136" s="3">
        <v>32.39</v>
      </c>
      <c r="X136" s="3">
        <v>30.68</v>
      </c>
      <c r="Y136" s="3">
        <v>13.15</v>
      </c>
    </row>
    <row r="137" spans="1:25" ht="60.75" x14ac:dyDescent="0.25">
      <c r="A137" s="3" t="s">
        <v>26</v>
      </c>
      <c r="B137" s="3" t="s">
        <v>27</v>
      </c>
      <c r="C137" s="3" t="s">
        <v>28</v>
      </c>
      <c r="D137" s="3" t="s">
        <v>29</v>
      </c>
      <c r="E137" s="3" t="s">
        <v>68</v>
      </c>
      <c r="F137" s="3" t="s">
        <v>31</v>
      </c>
      <c r="G137" s="3" t="s">
        <v>68</v>
      </c>
      <c r="H137" s="3" t="s">
        <v>32</v>
      </c>
      <c r="I137" s="3">
        <v>2025</v>
      </c>
      <c r="J137" s="3" t="str">
        <f>CONCATENATE("54820104492")</f>
        <v>54820104492</v>
      </c>
      <c r="K137" s="3" t="s">
        <v>33</v>
      </c>
      <c r="L137" s="3"/>
      <c r="M137" s="3" t="s">
        <v>131</v>
      </c>
      <c r="N137" s="3" t="str">
        <f>CONCATENATE("TSEGNN42D09I436Y")</f>
        <v>TSEGNN42D09I436Y</v>
      </c>
      <c r="O137" s="3" t="s">
        <v>227</v>
      </c>
      <c r="P137" s="3" t="s">
        <v>36</v>
      </c>
      <c r="Q137" s="3"/>
      <c r="R137" s="4">
        <v>45996</v>
      </c>
      <c r="S137" s="3" t="s">
        <v>37</v>
      </c>
      <c r="T137" s="3" t="s">
        <v>38</v>
      </c>
      <c r="U137" s="3" t="s">
        <v>39</v>
      </c>
      <c r="V137" s="3">
        <v>142.79</v>
      </c>
      <c r="W137" s="3">
        <v>60.69</v>
      </c>
      <c r="X137" s="3">
        <v>57.47</v>
      </c>
      <c r="Y137" s="3">
        <v>24.63</v>
      </c>
    </row>
    <row r="138" spans="1:25" ht="60.75" x14ac:dyDescent="0.25">
      <c r="A138" s="3" t="s">
        <v>26</v>
      </c>
      <c r="B138" s="3" t="s">
        <v>27</v>
      </c>
      <c r="C138" s="3" t="s">
        <v>28</v>
      </c>
      <c r="D138" s="3" t="s">
        <v>29</v>
      </c>
      <c r="E138" s="3" t="s">
        <v>228</v>
      </c>
      <c r="F138" s="3" t="s">
        <v>31</v>
      </c>
      <c r="G138" s="3" t="s">
        <v>228</v>
      </c>
      <c r="H138" s="3" t="s">
        <v>45</v>
      </c>
      <c r="I138" s="3">
        <v>2025</v>
      </c>
      <c r="J138" s="3" t="str">
        <f>CONCATENATE("54820051750")</f>
        <v>54820051750</v>
      </c>
      <c r="K138" s="3" t="s">
        <v>33</v>
      </c>
      <c r="L138" s="3"/>
      <c r="M138" s="3" t="s">
        <v>131</v>
      </c>
      <c r="N138" s="3" t="str">
        <f>CONCATENATE("PZZCLL36M14D488S")</f>
        <v>PZZCLL36M14D488S</v>
      </c>
      <c r="O138" s="3" t="s">
        <v>229</v>
      </c>
      <c r="P138" s="3" t="s">
        <v>36</v>
      </c>
      <c r="Q138" s="3"/>
      <c r="R138" s="4">
        <v>45996</v>
      </c>
      <c r="S138" s="3" t="s">
        <v>37</v>
      </c>
      <c r="T138" s="3" t="s">
        <v>38</v>
      </c>
      <c r="U138" s="3" t="s">
        <v>39</v>
      </c>
      <c r="V138" s="3">
        <v>92.02</v>
      </c>
      <c r="W138" s="3">
        <v>39.11</v>
      </c>
      <c r="X138" s="3">
        <v>37.04</v>
      </c>
      <c r="Y138" s="3">
        <v>15.87</v>
      </c>
    </row>
    <row r="139" spans="1:25" ht="36.75" x14ac:dyDescent="0.25">
      <c r="A139" s="3" t="s">
        <v>26</v>
      </c>
      <c r="B139" s="3" t="s">
        <v>27</v>
      </c>
      <c r="C139" s="3" t="s">
        <v>28</v>
      </c>
      <c r="D139" s="3" t="s">
        <v>50</v>
      </c>
      <c r="E139" s="3" t="s">
        <v>173</v>
      </c>
      <c r="F139" s="3" t="s">
        <v>52</v>
      </c>
      <c r="G139" s="3" t="s">
        <v>173</v>
      </c>
      <c r="H139" s="3" t="s">
        <v>45</v>
      </c>
      <c r="I139" s="3">
        <v>2025</v>
      </c>
      <c r="J139" s="3" t="str">
        <f>CONCATENATE("54820051230")</f>
        <v>54820051230</v>
      </c>
      <c r="K139" s="3" t="s">
        <v>33</v>
      </c>
      <c r="L139" s="3"/>
      <c r="M139" s="3" t="s">
        <v>131</v>
      </c>
      <c r="N139" s="3" t="str">
        <f>CONCATENATE("02565520414")</f>
        <v>02565520414</v>
      </c>
      <c r="O139" s="3" t="s">
        <v>230</v>
      </c>
      <c r="P139" s="3" t="s">
        <v>36</v>
      </c>
      <c r="Q139" s="3"/>
      <c r="R139" s="4">
        <v>45996</v>
      </c>
      <c r="S139" s="3" t="s">
        <v>37</v>
      </c>
      <c r="T139" s="3" t="s">
        <v>38</v>
      </c>
      <c r="U139" s="3" t="s">
        <v>39</v>
      </c>
      <c r="V139" s="3">
        <v>614.88</v>
      </c>
      <c r="W139" s="3">
        <v>261.32</v>
      </c>
      <c r="X139" s="3">
        <v>247.49</v>
      </c>
      <c r="Y139" s="3">
        <v>106.07</v>
      </c>
    </row>
    <row r="140" spans="1:25" ht="60.75" x14ac:dyDescent="0.25">
      <c r="A140" s="3" t="s">
        <v>26</v>
      </c>
      <c r="B140" s="3" t="s">
        <v>27</v>
      </c>
      <c r="C140" s="3" t="s">
        <v>28</v>
      </c>
      <c r="D140" s="3" t="s">
        <v>29</v>
      </c>
      <c r="E140" s="3" t="s">
        <v>119</v>
      </c>
      <c r="F140" s="3" t="s">
        <v>31</v>
      </c>
      <c r="G140" s="3" t="s">
        <v>119</v>
      </c>
      <c r="H140" s="3" t="s">
        <v>96</v>
      </c>
      <c r="I140" s="3">
        <v>2025</v>
      </c>
      <c r="J140" s="3" t="str">
        <f>CONCATENATE("54820074224")</f>
        <v>54820074224</v>
      </c>
      <c r="K140" s="3" t="s">
        <v>33</v>
      </c>
      <c r="L140" s="3"/>
      <c r="M140" s="3" t="s">
        <v>131</v>
      </c>
      <c r="N140" s="3" t="str">
        <f>CONCATENATE("RSTLSN97R56I156E")</f>
        <v>RSTLSN97R56I156E</v>
      </c>
      <c r="O140" s="3" t="s">
        <v>231</v>
      </c>
      <c r="P140" s="3" t="s">
        <v>36</v>
      </c>
      <c r="Q140" s="3"/>
      <c r="R140" s="4">
        <v>45996</v>
      </c>
      <c r="S140" s="3" t="s">
        <v>37</v>
      </c>
      <c r="T140" s="3" t="s">
        <v>38</v>
      </c>
      <c r="U140" s="3" t="s">
        <v>39</v>
      </c>
      <c r="V140" s="3">
        <v>148.88999999999999</v>
      </c>
      <c r="W140" s="3">
        <v>63.28</v>
      </c>
      <c r="X140" s="3">
        <v>59.93</v>
      </c>
      <c r="Y140" s="3">
        <v>25.68</v>
      </c>
    </row>
    <row r="141" spans="1:25" ht="72.75" x14ac:dyDescent="0.25">
      <c r="A141" s="3" t="s">
        <v>26</v>
      </c>
      <c r="B141" s="3" t="s">
        <v>27</v>
      </c>
      <c r="C141" s="3" t="s">
        <v>28</v>
      </c>
      <c r="D141" s="3" t="s">
        <v>29</v>
      </c>
      <c r="E141" s="3" t="s">
        <v>136</v>
      </c>
      <c r="F141" s="3" t="s">
        <v>31</v>
      </c>
      <c r="G141" s="3" t="s">
        <v>136</v>
      </c>
      <c r="H141" s="3" t="s">
        <v>48</v>
      </c>
      <c r="I141" s="3">
        <v>2025</v>
      </c>
      <c r="J141" s="3" t="str">
        <f>CONCATENATE("54820062500")</f>
        <v>54820062500</v>
      </c>
      <c r="K141" s="3" t="s">
        <v>33</v>
      </c>
      <c r="L141" s="3"/>
      <c r="M141" s="3" t="s">
        <v>131</v>
      </c>
      <c r="N141" s="3" t="str">
        <f>CONCATENATE("BGGNMR56C42D965P")</f>
        <v>BGGNMR56C42D965P</v>
      </c>
      <c r="O141" s="3" t="s">
        <v>232</v>
      </c>
      <c r="P141" s="3" t="s">
        <v>36</v>
      </c>
      <c r="Q141" s="3"/>
      <c r="R141" s="4">
        <v>45996</v>
      </c>
      <c r="S141" s="3" t="s">
        <v>37</v>
      </c>
      <c r="T141" s="3" t="s">
        <v>38</v>
      </c>
      <c r="U141" s="3" t="s">
        <v>39</v>
      </c>
      <c r="V141" s="3">
        <v>198.53</v>
      </c>
      <c r="W141" s="3">
        <v>84.38</v>
      </c>
      <c r="X141" s="3">
        <v>79.91</v>
      </c>
      <c r="Y141" s="3">
        <v>34.24</v>
      </c>
    </row>
    <row r="142" spans="1:25" ht="60.75" x14ac:dyDescent="0.25">
      <c r="A142" s="3" t="s">
        <v>26</v>
      </c>
      <c r="B142" s="3" t="s">
        <v>27</v>
      </c>
      <c r="C142" s="3" t="s">
        <v>28</v>
      </c>
      <c r="D142" s="3" t="s">
        <v>29</v>
      </c>
      <c r="E142" s="3" t="s">
        <v>233</v>
      </c>
      <c r="F142" s="3" t="s">
        <v>31</v>
      </c>
      <c r="G142" s="3" t="s">
        <v>233</v>
      </c>
      <c r="H142" s="3" t="s">
        <v>96</v>
      </c>
      <c r="I142" s="3">
        <v>2025</v>
      </c>
      <c r="J142" s="3" t="str">
        <f>CONCATENATE("54820049903")</f>
        <v>54820049903</v>
      </c>
      <c r="K142" s="3" t="s">
        <v>33</v>
      </c>
      <c r="L142" s="3"/>
      <c r="M142" s="3" t="s">
        <v>131</v>
      </c>
      <c r="N142" s="3" t="str">
        <f>CONCATENATE("NNISDR62S63A462A")</f>
        <v>NNISDR62S63A462A</v>
      </c>
      <c r="O142" s="3" t="s">
        <v>234</v>
      </c>
      <c r="P142" s="3" t="s">
        <v>36</v>
      </c>
      <c r="Q142" s="3"/>
      <c r="R142" s="4">
        <v>45996</v>
      </c>
      <c r="S142" s="3" t="s">
        <v>37</v>
      </c>
      <c r="T142" s="3" t="s">
        <v>38</v>
      </c>
      <c r="U142" s="3" t="s">
        <v>39</v>
      </c>
      <c r="V142" s="3">
        <v>557.66999999999996</v>
      </c>
      <c r="W142" s="3">
        <v>237.01</v>
      </c>
      <c r="X142" s="3">
        <v>224.46</v>
      </c>
      <c r="Y142" s="3">
        <v>96.2</v>
      </c>
    </row>
    <row r="143" spans="1:25" ht="60.75" x14ac:dyDescent="0.25">
      <c r="A143" s="3" t="s">
        <v>26</v>
      </c>
      <c r="B143" s="3" t="s">
        <v>27</v>
      </c>
      <c r="C143" s="3" t="s">
        <v>28</v>
      </c>
      <c r="D143" s="3" t="s">
        <v>50</v>
      </c>
      <c r="E143" s="3" t="s">
        <v>60</v>
      </c>
      <c r="F143" s="3" t="s">
        <v>52</v>
      </c>
      <c r="G143" s="3" t="s">
        <v>60</v>
      </c>
      <c r="H143" s="3" t="s">
        <v>45</v>
      </c>
      <c r="I143" s="3">
        <v>2025</v>
      </c>
      <c r="J143" s="3" t="str">
        <f>CONCATENATE("54820137682")</f>
        <v>54820137682</v>
      </c>
      <c r="K143" s="3" t="s">
        <v>33</v>
      </c>
      <c r="L143" s="3"/>
      <c r="M143" s="3" t="s">
        <v>131</v>
      </c>
      <c r="N143" s="3" t="str">
        <f>CONCATENATE("BRTPLA60H21G453H")</f>
        <v>BRTPLA60H21G453H</v>
      </c>
      <c r="O143" s="3" t="s">
        <v>235</v>
      </c>
      <c r="P143" s="3" t="s">
        <v>36</v>
      </c>
      <c r="Q143" s="3"/>
      <c r="R143" s="4">
        <v>45996</v>
      </c>
      <c r="S143" s="3" t="s">
        <v>37</v>
      </c>
      <c r="T143" s="3" t="s">
        <v>38</v>
      </c>
      <c r="U143" s="3" t="s">
        <v>39</v>
      </c>
      <c r="V143" s="3">
        <v>145.57</v>
      </c>
      <c r="W143" s="3">
        <v>61.87</v>
      </c>
      <c r="X143" s="3">
        <v>58.59</v>
      </c>
      <c r="Y143" s="3">
        <v>25.11</v>
      </c>
    </row>
    <row r="144" spans="1:25" ht="60.75" x14ac:dyDescent="0.25">
      <c r="A144" s="3" t="s">
        <v>26</v>
      </c>
      <c r="B144" s="3" t="s">
        <v>27</v>
      </c>
      <c r="C144" s="3" t="s">
        <v>28</v>
      </c>
      <c r="D144" s="3" t="s">
        <v>29</v>
      </c>
      <c r="E144" s="3" t="s">
        <v>80</v>
      </c>
      <c r="F144" s="3" t="s">
        <v>31</v>
      </c>
      <c r="G144" s="3" t="s">
        <v>80</v>
      </c>
      <c r="H144" s="3" t="s">
        <v>45</v>
      </c>
      <c r="I144" s="3">
        <v>2025</v>
      </c>
      <c r="J144" s="3" t="str">
        <f>CONCATENATE("54820070024")</f>
        <v>54820070024</v>
      </c>
      <c r="K144" s="3" t="s">
        <v>33</v>
      </c>
      <c r="L144" s="3"/>
      <c r="M144" s="3" t="s">
        <v>131</v>
      </c>
      <c r="N144" s="3" t="str">
        <f>CONCATENATE("MRTLVE49D16G453M")</f>
        <v>MRTLVE49D16G453M</v>
      </c>
      <c r="O144" s="3" t="s">
        <v>236</v>
      </c>
      <c r="P144" s="3" t="s">
        <v>36</v>
      </c>
      <c r="Q144" s="3"/>
      <c r="R144" s="4">
        <v>45996</v>
      </c>
      <c r="S144" s="3" t="s">
        <v>37</v>
      </c>
      <c r="T144" s="3" t="s">
        <v>38</v>
      </c>
      <c r="U144" s="3" t="s">
        <v>39</v>
      </c>
      <c r="V144" s="3">
        <v>180.63</v>
      </c>
      <c r="W144" s="3">
        <v>76.77</v>
      </c>
      <c r="X144" s="3">
        <v>72.7</v>
      </c>
      <c r="Y144" s="3">
        <v>31.16</v>
      </c>
    </row>
    <row r="145" spans="1:25" ht="36.75" x14ac:dyDescent="0.25">
      <c r="A145" s="3" t="s">
        <v>26</v>
      </c>
      <c r="B145" s="3" t="s">
        <v>27</v>
      </c>
      <c r="C145" s="3" t="s">
        <v>28</v>
      </c>
      <c r="D145" s="3" t="s">
        <v>40</v>
      </c>
      <c r="E145" s="3" t="s">
        <v>44</v>
      </c>
      <c r="F145" s="3" t="s">
        <v>42</v>
      </c>
      <c r="G145" s="3" t="s">
        <v>44</v>
      </c>
      <c r="H145" s="3" t="s">
        <v>32</v>
      </c>
      <c r="I145" s="3">
        <v>2025</v>
      </c>
      <c r="J145" s="3" t="str">
        <f>CONCATENATE("54820086350")</f>
        <v>54820086350</v>
      </c>
      <c r="K145" s="3" t="s">
        <v>33</v>
      </c>
      <c r="L145" s="3"/>
      <c r="M145" s="3" t="s">
        <v>131</v>
      </c>
      <c r="N145" s="3" t="str">
        <f>CONCATENATE("02083500435")</f>
        <v>02083500435</v>
      </c>
      <c r="O145" s="3" t="s">
        <v>237</v>
      </c>
      <c r="P145" s="3" t="s">
        <v>36</v>
      </c>
      <c r="Q145" s="3"/>
      <c r="R145" s="4">
        <v>45996</v>
      </c>
      <c r="S145" s="3" t="s">
        <v>37</v>
      </c>
      <c r="T145" s="3" t="s">
        <v>38</v>
      </c>
      <c r="U145" s="3" t="s">
        <v>39</v>
      </c>
      <c r="V145" s="3">
        <v>259.8</v>
      </c>
      <c r="W145" s="3">
        <v>110.42</v>
      </c>
      <c r="X145" s="3">
        <v>104.57</v>
      </c>
      <c r="Y145" s="3">
        <v>44.81</v>
      </c>
    </row>
    <row r="146" spans="1:25" ht="36.75" x14ac:dyDescent="0.25">
      <c r="A146" s="3" t="s">
        <v>26</v>
      </c>
      <c r="B146" s="3" t="s">
        <v>27</v>
      </c>
      <c r="C146" s="3" t="s">
        <v>28</v>
      </c>
      <c r="D146" s="3" t="s">
        <v>29</v>
      </c>
      <c r="E146" s="3" t="s">
        <v>56</v>
      </c>
      <c r="F146" s="3" t="s">
        <v>31</v>
      </c>
      <c r="G146" s="3" t="s">
        <v>56</v>
      </c>
      <c r="H146" s="3" t="s">
        <v>32</v>
      </c>
      <c r="I146" s="3">
        <v>2025</v>
      </c>
      <c r="J146" s="3" t="str">
        <f>CONCATENATE("54820184783")</f>
        <v>54820184783</v>
      </c>
      <c r="K146" s="3" t="s">
        <v>33</v>
      </c>
      <c r="L146" s="3"/>
      <c r="M146" s="3" t="s">
        <v>131</v>
      </c>
      <c r="N146" s="3" t="str">
        <f>CONCATENATE("01945210431")</f>
        <v>01945210431</v>
      </c>
      <c r="O146" s="3" t="s">
        <v>238</v>
      </c>
      <c r="P146" s="3" t="s">
        <v>36</v>
      </c>
      <c r="Q146" s="3"/>
      <c r="R146" s="4">
        <v>45996</v>
      </c>
      <c r="S146" s="3" t="s">
        <v>37</v>
      </c>
      <c r="T146" s="3" t="s">
        <v>38</v>
      </c>
      <c r="U146" s="3" t="s">
        <v>39</v>
      </c>
      <c r="V146" s="3">
        <v>657.05</v>
      </c>
      <c r="W146" s="3">
        <v>279.25</v>
      </c>
      <c r="X146" s="3">
        <v>264.45999999999998</v>
      </c>
      <c r="Y146" s="3">
        <v>113.34</v>
      </c>
    </row>
    <row r="147" spans="1:25" ht="60.75" x14ac:dyDescent="0.25">
      <c r="A147" s="3" t="s">
        <v>26</v>
      </c>
      <c r="B147" s="3" t="s">
        <v>27</v>
      </c>
      <c r="C147" s="3" t="s">
        <v>28</v>
      </c>
      <c r="D147" s="3" t="s">
        <v>50</v>
      </c>
      <c r="E147" s="3" t="s">
        <v>51</v>
      </c>
      <c r="F147" s="3" t="s">
        <v>52</v>
      </c>
      <c r="G147" s="3" t="s">
        <v>51</v>
      </c>
      <c r="H147" s="3" t="s">
        <v>48</v>
      </c>
      <c r="I147" s="3">
        <v>2025</v>
      </c>
      <c r="J147" s="3" t="str">
        <f>CONCATENATE("54820168000")</f>
        <v>54820168000</v>
      </c>
      <c r="K147" s="3" t="s">
        <v>33</v>
      </c>
      <c r="L147" s="3"/>
      <c r="M147" s="3" t="s">
        <v>131</v>
      </c>
      <c r="N147" s="3" t="str">
        <f>CONCATENATE("SPDTTL52C09I653Y")</f>
        <v>SPDTTL52C09I653Y</v>
      </c>
      <c r="O147" s="3" t="s">
        <v>239</v>
      </c>
      <c r="P147" s="3" t="s">
        <v>36</v>
      </c>
      <c r="Q147" s="3"/>
      <c r="R147" s="4">
        <v>45996</v>
      </c>
      <c r="S147" s="3" t="s">
        <v>37</v>
      </c>
      <c r="T147" s="3" t="s">
        <v>38</v>
      </c>
      <c r="U147" s="3" t="s">
        <v>39</v>
      </c>
      <c r="V147" s="3">
        <v>123.72</v>
      </c>
      <c r="W147" s="3">
        <v>52.58</v>
      </c>
      <c r="X147" s="3">
        <v>49.8</v>
      </c>
      <c r="Y147" s="3">
        <v>21.34</v>
      </c>
    </row>
    <row r="148" spans="1:25" ht="60.75" x14ac:dyDescent="0.25">
      <c r="A148" s="3" t="s">
        <v>26</v>
      </c>
      <c r="B148" s="3" t="s">
        <v>27</v>
      </c>
      <c r="C148" s="3" t="s">
        <v>28</v>
      </c>
      <c r="D148" s="3" t="s">
        <v>29</v>
      </c>
      <c r="E148" s="3" t="s">
        <v>182</v>
      </c>
      <c r="F148" s="3" t="s">
        <v>31</v>
      </c>
      <c r="G148" s="3" t="s">
        <v>182</v>
      </c>
      <c r="H148" s="3" t="s">
        <v>45</v>
      </c>
      <c r="I148" s="3">
        <v>2025</v>
      </c>
      <c r="J148" s="3" t="str">
        <f>CONCATENATE("54820062583")</f>
        <v>54820062583</v>
      </c>
      <c r="K148" s="3" t="s">
        <v>33</v>
      </c>
      <c r="L148" s="3"/>
      <c r="M148" s="3" t="s">
        <v>131</v>
      </c>
      <c r="N148" s="3" t="str">
        <f>CONCATENATE("FCCGZL53L67G514C")</f>
        <v>FCCGZL53L67G514C</v>
      </c>
      <c r="O148" s="3" t="s">
        <v>240</v>
      </c>
      <c r="P148" s="3" t="s">
        <v>36</v>
      </c>
      <c r="Q148" s="3"/>
      <c r="R148" s="4">
        <v>45996</v>
      </c>
      <c r="S148" s="3" t="s">
        <v>37</v>
      </c>
      <c r="T148" s="3" t="s">
        <v>38</v>
      </c>
      <c r="U148" s="3" t="s">
        <v>39</v>
      </c>
      <c r="V148" s="3">
        <v>585.77</v>
      </c>
      <c r="W148" s="3">
        <v>248.95</v>
      </c>
      <c r="X148" s="3">
        <v>235.77</v>
      </c>
      <c r="Y148" s="3">
        <v>101.05</v>
      </c>
    </row>
    <row r="149" spans="1:25" ht="60.75" x14ac:dyDescent="0.25">
      <c r="A149" s="3" t="s">
        <v>26</v>
      </c>
      <c r="B149" s="3" t="s">
        <v>27</v>
      </c>
      <c r="C149" s="3" t="s">
        <v>28</v>
      </c>
      <c r="D149" s="3" t="s">
        <v>50</v>
      </c>
      <c r="E149" s="3" t="s">
        <v>173</v>
      </c>
      <c r="F149" s="3" t="s">
        <v>52</v>
      </c>
      <c r="G149" s="3" t="s">
        <v>173</v>
      </c>
      <c r="H149" s="3" t="s">
        <v>45</v>
      </c>
      <c r="I149" s="3">
        <v>2025</v>
      </c>
      <c r="J149" s="3" t="str">
        <f>CONCATENATE("54820023288")</f>
        <v>54820023288</v>
      </c>
      <c r="K149" s="3" t="s">
        <v>33</v>
      </c>
      <c r="L149" s="3"/>
      <c r="M149" s="3" t="s">
        <v>131</v>
      </c>
      <c r="N149" s="3" t="str">
        <f>CONCATENATE("FBBNZR33B01F467K")</f>
        <v>FBBNZR33B01F467K</v>
      </c>
      <c r="O149" s="3" t="s">
        <v>241</v>
      </c>
      <c r="P149" s="3" t="s">
        <v>36</v>
      </c>
      <c r="Q149" s="3"/>
      <c r="R149" s="4">
        <v>45996</v>
      </c>
      <c r="S149" s="3" t="s">
        <v>37</v>
      </c>
      <c r="T149" s="3" t="s">
        <v>38</v>
      </c>
      <c r="U149" s="3" t="s">
        <v>39</v>
      </c>
      <c r="V149" s="3">
        <v>438.8</v>
      </c>
      <c r="W149" s="3">
        <v>186.49</v>
      </c>
      <c r="X149" s="3">
        <v>176.62</v>
      </c>
      <c r="Y149" s="3">
        <v>75.69</v>
      </c>
    </row>
    <row r="150" spans="1:25" ht="60.75" x14ac:dyDescent="0.25">
      <c r="A150" s="3" t="s">
        <v>26</v>
      </c>
      <c r="B150" s="3" t="s">
        <v>27</v>
      </c>
      <c r="C150" s="3" t="s">
        <v>28</v>
      </c>
      <c r="D150" s="3" t="s">
        <v>29</v>
      </c>
      <c r="E150" s="3" t="s">
        <v>233</v>
      </c>
      <c r="F150" s="3" t="s">
        <v>31</v>
      </c>
      <c r="G150" s="3" t="s">
        <v>233</v>
      </c>
      <c r="H150" s="3" t="s">
        <v>96</v>
      </c>
      <c r="I150" s="3">
        <v>2025</v>
      </c>
      <c r="J150" s="3" t="str">
        <f>CONCATENATE("54820066501")</f>
        <v>54820066501</v>
      </c>
      <c r="K150" s="3" t="s">
        <v>33</v>
      </c>
      <c r="L150" s="3"/>
      <c r="M150" s="3" t="s">
        <v>131</v>
      </c>
      <c r="N150" s="3" t="str">
        <f>CONCATENATE("PLALNR68D66A437N")</f>
        <v>PLALNR68D66A437N</v>
      </c>
      <c r="O150" s="3" t="s">
        <v>242</v>
      </c>
      <c r="P150" s="3" t="s">
        <v>36</v>
      </c>
      <c r="Q150" s="3"/>
      <c r="R150" s="4">
        <v>45996</v>
      </c>
      <c r="S150" s="3" t="s">
        <v>37</v>
      </c>
      <c r="T150" s="3" t="s">
        <v>38</v>
      </c>
      <c r="U150" s="3" t="s">
        <v>39</v>
      </c>
      <c r="V150" s="3">
        <v>172.87</v>
      </c>
      <c r="W150" s="3">
        <v>73.47</v>
      </c>
      <c r="X150" s="3">
        <v>69.58</v>
      </c>
      <c r="Y150" s="3">
        <v>29.82</v>
      </c>
    </row>
    <row r="151" spans="1:25" ht="36.75" x14ac:dyDescent="0.25">
      <c r="A151" s="3" t="s">
        <v>26</v>
      </c>
      <c r="B151" s="3" t="s">
        <v>27</v>
      </c>
      <c r="C151" s="3" t="s">
        <v>28</v>
      </c>
      <c r="D151" s="3" t="s">
        <v>40</v>
      </c>
      <c r="E151" s="3" t="s">
        <v>54</v>
      </c>
      <c r="F151" s="3" t="s">
        <v>42</v>
      </c>
      <c r="G151" s="3" t="s">
        <v>54</v>
      </c>
      <c r="H151" s="3" t="s">
        <v>45</v>
      </c>
      <c r="I151" s="3">
        <v>2025</v>
      </c>
      <c r="J151" s="3" t="str">
        <f>CONCATENATE("54820124219")</f>
        <v>54820124219</v>
      </c>
      <c r="K151" s="3" t="s">
        <v>33</v>
      </c>
      <c r="L151" s="3"/>
      <c r="M151" s="3" t="s">
        <v>131</v>
      </c>
      <c r="N151" s="3" t="str">
        <f>CONCATENATE("02247380419")</f>
        <v>02247380419</v>
      </c>
      <c r="O151" s="3" t="s">
        <v>243</v>
      </c>
      <c r="P151" s="3" t="s">
        <v>36</v>
      </c>
      <c r="Q151" s="3"/>
      <c r="R151" s="4">
        <v>45996</v>
      </c>
      <c r="S151" s="3" t="s">
        <v>37</v>
      </c>
      <c r="T151" s="3" t="s">
        <v>38</v>
      </c>
      <c r="U151" s="3" t="s">
        <v>39</v>
      </c>
      <c r="V151" s="3">
        <v>523.35</v>
      </c>
      <c r="W151" s="3">
        <v>222.42</v>
      </c>
      <c r="X151" s="3">
        <v>210.65</v>
      </c>
      <c r="Y151" s="3">
        <v>90.28</v>
      </c>
    </row>
    <row r="152" spans="1:25" ht="72.75" x14ac:dyDescent="0.25">
      <c r="A152" s="3" t="s">
        <v>26</v>
      </c>
      <c r="B152" s="3" t="s">
        <v>27</v>
      </c>
      <c r="C152" s="3" t="s">
        <v>28</v>
      </c>
      <c r="D152" s="3" t="s">
        <v>29</v>
      </c>
      <c r="E152" s="3" t="s">
        <v>72</v>
      </c>
      <c r="F152" s="3" t="s">
        <v>31</v>
      </c>
      <c r="G152" s="3" t="s">
        <v>72</v>
      </c>
      <c r="H152" s="3" t="s">
        <v>45</v>
      </c>
      <c r="I152" s="3">
        <v>2025</v>
      </c>
      <c r="J152" s="3" t="str">
        <f>CONCATENATE("54820048194")</f>
        <v>54820048194</v>
      </c>
      <c r="K152" s="3" t="s">
        <v>33</v>
      </c>
      <c r="L152" s="3"/>
      <c r="M152" s="3" t="s">
        <v>131</v>
      </c>
      <c r="N152" s="3" t="str">
        <f>CONCATENATE("MNSPRZ75M28B352O")</f>
        <v>MNSPRZ75M28B352O</v>
      </c>
      <c r="O152" s="3" t="s">
        <v>244</v>
      </c>
      <c r="P152" s="3" t="s">
        <v>36</v>
      </c>
      <c r="Q152" s="3"/>
      <c r="R152" s="4">
        <v>45996</v>
      </c>
      <c r="S152" s="3" t="s">
        <v>37</v>
      </c>
      <c r="T152" s="3" t="s">
        <v>38</v>
      </c>
      <c r="U152" s="3" t="s">
        <v>39</v>
      </c>
      <c r="V152" s="3">
        <v>780.77</v>
      </c>
      <c r="W152" s="3">
        <v>331.83</v>
      </c>
      <c r="X152" s="3">
        <v>314.26</v>
      </c>
      <c r="Y152" s="3">
        <v>134.68</v>
      </c>
    </row>
    <row r="153" spans="1:25" ht="60.75" x14ac:dyDescent="0.25">
      <c r="A153" s="3" t="s">
        <v>26</v>
      </c>
      <c r="B153" s="3" t="s">
        <v>27</v>
      </c>
      <c r="C153" s="3" t="s">
        <v>28</v>
      </c>
      <c r="D153" s="3" t="s">
        <v>29</v>
      </c>
      <c r="E153" s="3" t="s">
        <v>119</v>
      </c>
      <c r="F153" s="3" t="s">
        <v>31</v>
      </c>
      <c r="G153" s="3" t="s">
        <v>119</v>
      </c>
      <c r="H153" s="3" t="s">
        <v>96</v>
      </c>
      <c r="I153" s="3">
        <v>2025</v>
      </c>
      <c r="J153" s="3" t="str">
        <f>CONCATENATE("54820067616")</f>
        <v>54820067616</v>
      </c>
      <c r="K153" s="3" t="s">
        <v>33</v>
      </c>
      <c r="L153" s="3"/>
      <c r="M153" s="3" t="s">
        <v>131</v>
      </c>
      <c r="N153" s="3" t="str">
        <f>CONCATENATE("FCCLCU44P54F509V")</f>
        <v>FCCLCU44P54F509V</v>
      </c>
      <c r="O153" s="3" t="s">
        <v>245</v>
      </c>
      <c r="P153" s="3" t="s">
        <v>36</v>
      </c>
      <c r="Q153" s="3"/>
      <c r="R153" s="4">
        <v>45996</v>
      </c>
      <c r="S153" s="3" t="s">
        <v>37</v>
      </c>
      <c r="T153" s="3" t="s">
        <v>38</v>
      </c>
      <c r="U153" s="3" t="s">
        <v>39</v>
      </c>
      <c r="V153" s="3">
        <v>540.92999999999995</v>
      </c>
      <c r="W153" s="3">
        <v>229.9</v>
      </c>
      <c r="X153" s="3">
        <v>217.72</v>
      </c>
      <c r="Y153" s="3">
        <v>93.31</v>
      </c>
    </row>
    <row r="154" spans="1:25" ht="60.75" x14ac:dyDescent="0.25">
      <c r="A154" s="3" t="s">
        <v>26</v>
      </c>
      <c r="B154" s="3" t="s">
        <v>27</v>
      </c>
      <c r="C154" s="3" t="s">
        <v>28</v>
      </c>
      <c r="D154" s="3" t="s">
        <v>29</v>
      </c>
      <c r="E154" s="3" t="s">
        <v>56</v>
      </c>
      <c r="F154" s="3" t="s">
        <v>31</v>
      </c>
      <c r="G154" s="3" t="s">
        <v>56</v>
      </c>
      <c r="H154" s="3" t="s">
        <v>32</v>
      </c>
      <c r="I154" s="3">
        <v>2025</v>
      </c>
      <c r="J154" s="3" t="str">
        <f>CONCATENATE("54820149596")</f>
        <v>54820149596</v>
      </c>
      <c r="K154" s="3" t="s">
        <v>33</v>
      </c>
      <c r="L154" s="3"/>
      <c r="M154" s="3" t="s">
        <v>131</v>
      </c>
      <c r="N154" s="3" t="str">
        <f>CONCATENATE("STRGCR33E14B474S")</f>
        <v>STRGCR33E14B474S</v>
      </c>
      <c r="O154" s="3" t="s">
        <v>246</v>
      </c>
      <c r="P154" s="3" t="s">
        <v>36</v>
      </c>
      <c r="Q154" s="3"/>
      <c r="R154" s="4">
        <v>45996</v>
      </c>
      <c r="S154" s="3" t="s">
        <v>37</v>
      </c>
      <c r="T154" s="3" t="s">
        <v>38</v>
      </c>
      <c r="U154" s="3" t="s">
        <v>39</v>
      </c>
      <c r="V154" s="3">
        <v>184.15</v>
      </c>
      <c r="W154" s="3">
        <v>78.260000000000005</v>
      </c>
      <c r="X154" s="3">
        <v>74.12</v>
      </c>
      <c r="Y154" s="3">
        <v>31.77</v>
      </c>
    </row>
    <row r="155" spans="1:25" ht="72.75" x14ac:dyDescent="0.25">
      <c r="A155" s="3" t="s">
        <v>26</v>
      </c>
      <c r="B155" s="3" t="s">
        <v>27</v>
      </c>
      <c r="C155" s="3" t="s">
        <v>28</v>
      </c>
      <c r="D155" s="3" t="s">
        <v>29</v>
      </c>
      <c r="E155" s="3" t="s">
        <v>56</v>
      </c>
      <c r="F155" s="3" t="s">
        <v>31</v>
      </c>
      <c r="G155" s="3" t="s">
        <v>56</v>
      </c>
      <c r="H155" s="3" t="s">
        <v>32</v>
      </c>
      <c r="I155" s="3">
        <v>2025</v>
      </c>
      <c r="J155" s="3" t="str">
        <f>CONCATENATE("54820149679")</f>
        <v>54820149679</v>
      </c>
      <c r="K155" s="3" t="s">
        <v>33</v>
      </c>
      <c r="L155" s="3"/>
      <c r="M155" s="3" t="s">
        <v>131</v>
      </c>
      <c r="N155" s="3" t="str">
        <f>CONCATENATE("TSCDNC49A01D653H")</f>
        <v>TSCDNC49A01D653H</v>
      </c>
      <c r="O155" s="3" t="s">
        <v>247</v>
      </c>
      <c r="P155" s="3" t="s">
        <v>36</v>
      </c>
      <c r="Q155" s="3"/>
      <c r="R155" s="4">
        <v>45996</v>
      </c>
      <c r="S155" s="3" t="s">
        <v>37</v>
      </c>
      <c r="T155" s="3" t="s">
        <v>38</v>
      </c>
      <c r="U155" s="3" t="s">
        <v>39</v>
      </c>
      <c r="V155" s="3">
        <v>511.98</v>
      </c>
      <c r="W155" s="3">
        <v>217.59</v>
      </c>
      <c r="X155" s="3">
        <v>206.07</v>
      </c>
      <c r="Y155" s="3">
        <v>88.32</v>
      </c>
    </row>
    <row r="156" spans="1:25" ht="60.75" x14ac:dyDescent="0.25">
      <c r="A156" s="3" t="s">
        <v>26</v>
      </c>
      <c r="B156" s="3" t="s">
        <v>27</v>
      </c>
      <c r="C156" s="3" t="s">
        <v>28</v>
      </c>
      <c r="D156" s="3" t="s">
        <v>50</v>
      </c>
      <c r="E156" s="3" t="s">
        <v>147</v>
      </c>
      <c r="F156" s="3" t="s">
        <v>52</v>
      </c>
      <c r="G156" s="3" t="s">
        <v>147</v>
      </c>
      <c r="H156" s="3" t="s">
        <v>45</v>
      </c>
      <c r="I156" s="3">
        <v>2025</v>
      </c>
      <c r="J156" s="3" t="str">
        <f>CONCATENATE("54820124623")</f>
        <v>54820124623</v>
      </c>
      <c r="K156" s="3" t="s">
        <v>33</v>
      </c>
      <c r="L156" s="3"/>
      <c r="M156" s="3" t="s">
        <v>131</v>
      </c>
      <c r="N156" s="3" t="str">
        <f>CONCATENATE("RNLRTI55M54G479B")</f>
        <v>RNLRTI55M54G479B</v>
      </c>
      <c r="O156" s="3" t="s">
        <v>248</v>
      </c>
      <c r="P156" s="3" t="s">
        <v>36</v>
      </c>
      <c r="Q156" s="3"/>
      <c r="R156" s="4">
        <v>45996</v>
      </c>
      <c r="S156" s="3" t="s">
        <v>37</v>
      </c>
      <c r="T156" s="3" t="s">
        <v>38</v>
      </c>
      <c r="U156" s="3" t="s">
        <v>39</v>
      </c>
      <c r="V156" s="3">
        <v>105.99</v>
      </c>
      <c r="W156" s="3">
        <v>45.05</v>
      </c>
      <c r="X156" s="3">
        <v>42.66</v>
      </c>
      <c r="Y156" s="3">
        <v>18.28</v>
      </c>
    </row>
    <row r="157" spans="1:25" ht="60.75" x14ac:dyDescent="0.25">
      <c r="A157" s="3" t="s">
        <v>26</v>
      </c>
      <c r="B157" s="3" t="s">
        <v>27</v>
      </c>
      <c r="C157" s="3" t="s">
        <v>28</v>
      </c>
      <c r="D157" s="3" t="s">
        <v>29</v>
      </c>
      <c r="E157" s="3" t="s">
        <v>208</v>
      </c>
      <c r="F157" s="3" t="s">
        <v>31</v>
      </c>
      <c r="G157" s="3" t="s">
        <v>208</v>
      </c>
      <c r="H157" s="3" t="s">
        <v>45</v>
      </c>
      <c r="I157" s="3">
        <v>2025</v>
      </c>
      <c r="J157" s="3" t="str">
        <f>CONCATENATE("54820052337")</f>
        <v>54820052337</v>
      </c>
      <c r="K157" s="3" t="s">
        <v>33</v>
      </c>
      <c r="L157" s="3"/>
      <c r="M157" s="3" t="s">
        <v>131</v>
      </c>
      <c r="N157" s="3" t="str">
        <f>CONCATENATE("GRDSMN88B14L500U")</f>
        <v>GRDSMN88B14L500U</v>
      </c>
      <c r="O157" s="3" t="s">
        <v>249</v>
      </c>
      <c r="P157" s="3" t="s">
        <v>36</v>
      </c>
      <c r="Q157" s="3"/>
      <c r="R157" s="4">
        <v>45996</v>
      </c>
      <c r="S157" s="3" t="s">
        <v>37</v>
      </c>
      <c r="T157" s="3" t="s">
        <v>38</v>
      </c>
      <c r="U157" s="3" t="s">
        <v>39</v>
      </c>
      <c r="V157" s="3">
        <v>339.36</v>
      </c>
      <c r="W157" s="3">
        <v>144.22999999999999</v>
      </c>
      <c r="X157" s="3">
        <v>136.59</v>
      </c>
      <c r="Y157" s="3">
        <v>58.54</v>
      </c>
    </row>
    <row r="158" spans="1:25" ht="60.75" x14ac:dyDescent="0.25">
      <c r="A158" s="3" t="s">
        <v>26</v>
      </c>
      <c r="B158" s="3" t="s">
        <v>27</v>
      </c>
      <c r="C158" s="3" t="s">
        <v>28</v>
      </c>
      <c r="D158" s="3" t="s">
        <v>40</v>
      </c>
      <c r="E158" s="3" t="s">
        <v>99</v>
      </c>
      <c r="F158" s="3" t="s">
        <v>42</v>
      </c>
      <c r="G158" s="3" t="s">
        <v>99</v>
      </c>
      <c r="H158" s="3" t="s">
        <v>32</v>
      </c>
      <c r="I158" s="3">
        <v>2025</v>
      </c>
      <c r="J158" s="3" t="str">
        <f>CONCATENATE("54820095187")</f>
        <v>54820095187</v>
      </c>
      <c r="K158" s="3" t="s">
        <v>33</v>
      </c>
      <c r="L158" s="3"/>
      <c r="M158" s="3" t="s">
        <v>131</v>
      </c>
      <c r="N158" s="3" t="str">
        <f>CONCATENATE("MCCRNN56D07C582Q")</f>
        <v>MCCRNN56D07C582Q</v>
      </c>
      <c r="O158" s="3" t="s">
        <v>250</v>
      </c>
      <c r="P158" s="3" t="s">
        <v>36</v>
      </c>
      <c r="Q158" s="3"/>
      <c r="R158" s="4">
        <v>45996</v>
      </c>
      <c r="S158" s="3" t="s">
        <v>37</v>
      </c>
      <c r="T158" s="3" t="s">
        <v>38</v>
      </c>
      <c r="U158" s="3" t="s">
        <v>39</v>
      </c>
      <c r="V158" s="3">
        <v>353.03</v>
      </c>
      <c r="W158" s="3">
        <v>150.04</v>
      </c>
      <c r="X158" s="3">
        <v>142.09</v>
      </c>
      <c r="Y158" s="3">
        <v>60.9</v>
      </c>
    </row>
    <row r="159" spans="1:25" ht="60.75" x14ac:dyDescent="0.25">
      <c r="A159" s="3" t="s">
        <v>26</v>
      </c>
      <c r="B159" s="3" t="s">
        <v>27</v>
      </c>
      <c r="C159" s="3" t="s">
        <v>28</v>
      </c>
      <c r="D159" s="3" t="s">
        <v>50</v>
      </c>
      <c r="E159" s="3" t="s">
        <v>60</v>
      </c>
      <c r="F159" s="3" t="s">
        <v>52</v>
      </c>
      <c r="G159" s="3" t="s">
        <v>60</v>
      </c>
      <c r="H159" s="3" t="s">
        <v>45</v>
      </c>
      <c r="I159" s="3">
        <v>2025</v>
      </c>
      <c r="J159" s="3" t="str">
        <f>CONCATENATE("54820255104")</f>
        <v>54820255104</v>
      </c>
      <c r="K159" s="3" t="s">
        <v>33</v>
      </c>
      <c r="L159" s="3"/>
      <c r="M159" s="3" t="s">
        <v>131</v>
      </c>
      <c r="N159" s="3" t="str">
        <f>CONCATENATE("CRBCLD76E04G453V")</f>
        <v>CRBCLD76E04G453V</v>
      </c>
      <c r="O159" s="3" t="s">
        <v>251</v>
      </c>
      <c r="P159" s="3" t="s">
        <v>36</v>
      </c>
      <c r="Q159" s="3"/>
      <c r="R159" s="4">
        <v>45996</v>
      </c>
      <c r="S159" s="3" t="s">
        <v>37</v>
      </c>
      <c r="T159" s="3" t="s">
        <v>38</v>
      </c>
      <c r="U159" s="3" t="s">
        <v>39</v>
      </c>
      <c r="V159" s="3">
        <v>165.99</v>
      </c>
      <c r="W159" s="3">
        <v>70.55</v>
      </c>
      <c r="X159" s="3">
        <v>66.81</v>
      </c>
      <c r="Y159" s="3">
        <v>28.63</v>
      </c>
    </row>
    <row r="160" spans="1:25" ht="60.75" x14ac:dyDescent="0.25">
      <c r="A160" s="3" t="s">
        <v>26</v>
      </c>
      <c r="B160" s="3" t="s">
        <v>27</v>
      </c>
      <c r="C160" s="3" t="s">
        <v>28</v>
      </c>
      <c r="D160" s="3" t="s">
        <v>50</v>
      </c>
      <c r="E160" s="3" t="s">
        <v>252</v>
      </c>
      <c r="F160" s="3" t="s">
        <v>52</v>
      </c>
      <c r="G160" s="3" t="s">
        <v>252</v>
      </c>
      <c r="H160" s="3" t="s">
        <v>45</v>
      </c>
      <c r="I160" s="3">
        <v>2025</v>
      </c>
      <c r="J160" s="3" t="str">
        <f>CONCATENATE("54820212089")</f>
        <v>54820212089</v>
      </c>
      <c r="K160" s="3" t="s">
        <v>33</v>
      </c>
      <c r="L160" s="3"/>
      <c r="M160" s="3" t="s">
        <v>131</v>
      </c>
      <c r="N160" s="3" t="str">
        <f>CONCATENATE("CNGCLR46L61D749W")</f>
        <v>CNGCLR46L61D749W</v>
      </c>
      <c r="O160" s="3" t="s">
        <v>253</v>
      </c>
      <c r="P160" s="3" t="s">
        <v>36</v>
      </c>
      <c r="Q160" s="3"/>
      <c r="R160" s="4">
        <v>45996</v>
      </c>
      <c r="S160" s="3" t="s">
        <v>37</v>
      </c>
      <c r="T160" s="3" t="s">
        <v>38</v>
      </c>
      <c r="U160" s="3" t="s">
        <v>39</v>
      </c>
      <c r="V160" s="3">
        <v>171.5</v>
      </c>
      <c r="W160" s="3">
        <v>72.89</v>
      </c>
      <c r="X160" s="3">
        <v>69.03</v>
      </c>
      <c r="Y160" s="3">
        <v>29.58</v>
      </c>
    </row>
    <row r="161" spans="1:25" ht="60.75" x14ac:dyDescent="0.25">
      <c r="A161" s="3" t="s">
        <v>26</v>
      </c>
      <c r="B161" s="3" t="s">
        <v>27</v>
      </c>
      <c r="C161" s="3" t="s">
        <v>28</v>
      </c>
      <c r="D161" s="3" t="s">
        <v>29</v>
      </c>
      <c r="E161" s="3" t="s">
        <v>47</v>
      </c>
      <c r="F161" s="3" t="s">
        <v>31</v>
      </c>
      <c r="G161" s="3" t="s">
        <v>47</v>
      </c>
      <c r="H161" s="3" t="s">
        <v>48</v>
      </c>
      <c r="I161" s="3">
        <v>2025</v>
      </c>
      <c r="J161" s="3" t="str">
        <f>CONCATENATE("54820212287")</f>
        <v>54820212287</v>
      </c>
      <c r="K161" s="3" t="s">
        <v>33</v>
      </c>
      <c r="L161" s="3"/>
      <c r="M161" s="3" t="s">
        <v>131</v>
      </c>
      <c r="N161" s="3" t="str">
        <f>CONCATENATE("SMRLSS00M23D451O")</f>
        <v>SMRLSS00M23D451O</v>
      </c>
      <c r="O161" s="3" t="s">
        <v>254</v>
      </c>
      <c r="P161" s="3" t="s">
        <v>36</v>
      </c>
      <c r="Q161" s="3"/>
      <c r="R161" s="4">
        <v>45996</v>
      </c>
      <c r="S161" s="3" t="s">
        <v>37</v>
      </c>
      <c r="T161" s="3" t="s">
        <v>38</v>
      </c>
      <c r="U161" s="3" t="s">
        <v>39</v>
      </c>
      <c r="V161" s="3">
        <v>156.82</v>
      </c>
      <c r="W161" s="3">
        <v>66.650000000000006</v>
      </c>
      <c r="X161" s="3">
        <v>63.12</v>
      </c>
      <c r="Y161" s="3">
        <v>27.05</v>
      </c>
    </row>
    <row r="162" spans="1:25" ht="36.75" x14ac:dyDescent="0.25">
      <c r="A162" s="3" t="s">
        <v>26</v>
      </c>
      <c r="B162" s="3" t="s">
        <v>27</v>
      </c>
      <c r="C162" s="3" t="s">
        <v>28</v>
      </c>
      <c r="D162" s="3" t="s">
        <v>91</v>
      </c>
      <c r="E162" s="3" t="s">
        <v>255</v>
      </c>
      <c r="F162" s="3" t="s">
        <v>93</v>
      </c>
      <c r="G162" s="3" t="s">
        <v>255</v>
      </c>
      <c r="H162" s="3" t="s">
        <v>32</v>
      </c>
      <c r="I162" s="3">
        <v>2025</v>
      </c>
      <c r="J162" s="3" t="str">
        <f>CONCATENATE("54820198742")</f>
        <v>54820198742</v>
      </c>
      <c r="K162" s="3" t="s">
        <v>33</v>
      </c>
      <c r="L162" s="3"/>
      <c r="M162" s="3" t="s">
        <v>131</v>
      </c>
      <c r="N162" s="3" t="str">
        <f>CONCATENATE("01998440430")</f>
        <v>01998440430</v>
      </c>
      <c r="O162" s="3" t="s">
        <v>256</v>
      </c>
      <c r="P162" s="3" t="s">
        <v>36</v>
      </c>
      <c r="Q162" s="3"/>
      <c r="R162" s="4">
        <v>45996</v>
      </c>
      <c r="S162" s="3" t="s">
        <v>37</v>
      </c>
      <c r="T162" s="3" t="s">
        <v>38</v>
      </c>
      <c r="U162" s="3" t="s">
        <v>39</v>
      </c>
      <c r="V162" s="5">
        <v>1049.3800000000001</v>
      </c>
      <c r="W162" s="3">
        <v>445.99</v>
      </c>
      <c r="X162" s="3">
        <v>422.38</v>
      </c>
      <c r="Y162" s="3">
        <v>181.01</v>
      </c>
    </row>
    <row r="163" spans="1:25" ht="72.75" x14ac:dyDescent="0.25">
      <c r="A163" s="3" t="s">
        <v>26</v>
      </c>
      <c r="B163" s="3" t="s">
        <v>27</v>
      </c>
      <c r="C163" s="3" t="s">
        <v>28</v>
      </c>
      <c r="D163" s="3" t="s">
        <v>29</v>
      </c>
      <c r="E163" s="3" t="s">
        <v>47</v>
      </c>
      <c r="F163" s="3" t="s">
        <v>31</v>
      </c>
      <c r="G163" s="3" t="s">
        <v>47</v>
      </c>
      <c r="H163" s="3" t="s">
        <v>48</v>
      </c>
      <c r="I163" s="3">
        <v>2025</v>
      </c>
      <c r="J163" s="3" t="str">
        <f>CONCATENATE("54820203195")</f>
        <v>54820203195</v>
      </c>
      <c r="K163" s="3" t="s">
        <v>33</v>
      </c>
      <c r="L163" s="3"/>
      <c r="M163" s="3" t="s">
        <v>131</v>
      </c>
      <c r="N163" s="3" t="str">
        <f>CONCATENATE("MRLFNN55D07D451G")</f>
        <v>MRLFNN55D07D451G</v>
      </c>
      <c r="O163" s="3" t="s">
        <v>257</v>
      </c>
      <c r="P163" s="3" t="s">
        <v>36</v>
      </c>
      <c r="Q163" s="3"/>
      <c r="R163" s="4">
        <v>45996</v>
      </c>
      <c r="S163" s="3" t="s">
        <v>37</v>
      </c>
      <c r="T163" s="3" t="s">
        <v>38</v>
      </c>
      <c r="U163" s="3" t="s">
        <v>39</v>
      </c>
      <c r="V163" s="3">
        <v>71.17</v>
      </c>
      <c r="W163" s="3">
        <v>30.25</v>
      </c>
      <c r="X163" s="3">
        <v>28.65</v>
      </c>
      <c r="Y163" s="3">
        <v>12.27</v>
      </c>
    </row>
    <row r="164" spans="1:25" ht="60.75" x14ac:dyDescent="0.25">
      <c r="A164" s="3" t="s">
        <v>26</v>
      </c>
      <c r="B164" s="3" t="s">
        <v>27</v>
      </c>
      <c r="C164" s="3" t="s">
        <v>28</v>
      </c>
      <c r="D164" s="3" t="s">
        <v>29</v>
      </c>
      <c r="E164" s="3" t="s">
        <v>47</v>
      </c>
      <c r="F164" s="3" t="s">
        <v>31</v>
      </c>
      <c r="G164" s="3" t="s">
        <v>47</v>
      </c>
      <c r="H164" s="3" t="s">
        <v>48</v>
      </c>
      <c r="I164" s="3">
        <v>2025</v>
      </c>
      <c r="J164" s="3" t="str">
        <f>CONCATENATE("54820188164")</f>
        <v>54820188164</v>
      </c>
      <c r="K164" s="3" t="s">
        <v>33</v>
      </c>
      <c r="L164" s="3"/>
      <c r="M164" s="3" t="s">
        <v>131</v>
      </c>
      <c r="N164" s="3" t="str">
        <f>CONCATENATE("BNTMME93L67D451Z")</f>
        <v>BNTMME93L67D451Z</v>
      </c>
      <c r="O164" s="3" t="s">
        <v>258</v>
      </c>
      <c r="P164" s="3" t="s">
        <v>36</v>
      </c>
      <c r="Q164" s="3"/>
      <c r="R164" s="4">
        <v>45996</v>
      </c>
      <c r="S164" s="3" t="s">
        <v>37</v>
      </c>
      <c r="T164" s="3" t="s">
        <v>38</v>
      </c>
      <c r="U164" s="3" t="s">
        <v>39</v>
      </c>
      <c r="V164" s="3">
        <v>44.75</v>
      </c>
      <c r="W164" s="3">
        <v>19.02</v>
      </c>
      <c r="X164" s="3">
        <v>18.010000000000002</v>
      </c>
      <c r="Y164" s="3">
        <v>7.72</v>
      </c>
    </row>
    <row r="165" spans="1:25" ht="72.75" x14ac:dyDescent="0.25">
      <c r="A165" s="3" t="s">
        <v>26</v>
      </c>
      <c r="B165" s="3" t="s">
        <v>27</v>
      </c>
      <c r="C165" s="3" t="s">
        <v>28</v>
      </c>
      <c r="D165" s="3" t="s">
        <v>50</v>
      </c>
      <c r="E165" s="3" t="s">
        <v>60</v>
      </c>
      <c r="F165" s="3" t="s">
        <v>52</v>
      </c>
      <c r="G165" s="3" t="s">
        <v>60</v>
      </c>
      <c r="H165" s="3" t="s">
        <v>45</v>
      </c>
      <c r="I165" s="3">
        <v>2025</v>
      </c>
      <c r="J165" s="3" t="str">
        <f>CONCATENATE("54820196381")</f>
        <v>54820196381</v>
      </c>
      <c r="K165" s="3" t="s">
        <v>33</v>
      </c>
      <c r="L165" s="3"/>
      <c r="M165" s="3" t="s">
        <v>131</v>
      </c>
      <c r="N165" s="3" t="str">
        <f>CONCATENATE("CSGRND50D24A366H")</f>
        <v>CSGRND50D24A366H</v>
      </c>
      <c r="O165" s="3" t="s">
        <v>259</v>
      </c>
      <c r="P165" s="3" t="s">
        <v>36</v>
      </c>
      <c r="Q165" s="3"/>
      <c r="R165" s="4">
        <v>45996</v>
      </c>
      <c r="S165" s="3" t="s">
        <v>37</v>
      </c>
      <c r="T165" s="3" t="s">
        <v>38</v>
      </c>
      <c r="U165" s="3" t="s">
        <v>39</v>
      </c>
      <c r="V165" s="3">
        <v>48.16</v>
      </c>
      <c r="W165" s="3">
        <v>20.47</v>
      </c>
      <c r="X165" s="3">
        <v>19.38</v>
      </c>
      <c r="Y165" s="3">
        <v>8.31</v>
      </c>
    </row>
    <row r="166" spans="1:25" ht="36.75" x14ac:dyDescent="0.25">
      <c r="A166" s="3" t="s">
        <v>26</v>
      </c>
      <c r="B166" s="3" t="s">
        <v>27</v>
      </c>
      <c r="C166" s="3" t="s">
        <v>28</v>
      </c>
      <c r="D166" s="3" t="s">
        <v>91</v>
      </c>
      <c r="E166" s="3" t="s">
        <v>151</v>
      </c>
      <c r="F166" s="3" t="s">
        <v>93</v>
      </c>
      <c r="G166" s="3" t="s">
        <v>151</v>
      </c>
      <c r="H166" s="3" t="s">
        <v>45</v>
      </c>
      <c r="I166" s="3">
        <v>2025</v>
      </c>
      <c r="J166" s="3" t="str">
        <f>CONCATENATE("54820201850")</f>
        <v>54820201850</v>
      </c>
      <c r="K166" s="3" t="s">
        <v>33</v>
      </c>
      <c r="L166" s="3"/>
      <c r="M166" s="3" t="s">
        <v>131</v>
      </c>
      <c r="N166" s="3" t="str">
        <f>CONCATENATE("01307920411")</f>
        <v>01307920411</v>
      </c>
      <c r="O166" s="3" t="s">
        <v>260</v>
      </c>
      <c r="P166" s="3" t="s">
        <v>36</v>
      </c>
      <c r="Q166" s="3"/>
      <c r="R166" s="4">
        <v>45996</v>
      </c>
      <c r="S166" s="3" t="s">
        <v>37</v>
      </c>
      <c r="T166" s="3" t="s">
        <v>38</v>
      </c>
      <c r="U166" s="3" t="s">
        <v>39</v>
      </c>
      <c r="V166" s="5">
        <v>1857.54</v>
      </c>
      <c r="W166" s="3">
        <v>789.45</v>
      </c>
      <c r="X166" s="3">
        <v>747.66</v>
      </c>
      <c r="Y166" s="3">
        <v>320.43</v>
      </c>
    </row>
    <row r="167" spans="1:25" ht="60.75" x14ac:dyDescent="0.25">
      <c r="A167" s="3" t="s">
        <v>26</v>
      </c>
      <c r="B167" s="3" t="s">
        <v>27</v>
      </c>
      <c r="C167" s="3" t="s">
        <v>28</v>
      </c>
      <c r="D167" s="3" t="s">
        <v>29</v>
      </c>
      <c r="E167" s="3" t="s">
        <v>233</v>
      </c>
      <c r="F167" s="3" t="s">
        <v>31</v>
      </c>
      <c r="G167" s="3" t="s">
        <v>233</v>
      </c>
      <c r="H167" s="3" t="s">
        <v>96</v>
      </c>
      <c r="I167" s="3">
        <v>2025</v>
      </c>
      <c r="J167" s="3" t="str">
        <f>CONCATENATE("54820211354")</f>
        <v>54820211354</v>
      </c>
      <c r="K167" s="3" t="s">
        <v>33</v>
      </c>
      <c r="L167" s="3"/>
      <c r="M167" s="3" t="s">
        <v>131</v>
      </c>
      <c r="N167" s="3" t="str">
        <f>CONCATENATE("RCCLGO67M62L728Z")</f>
        <v>RCCLGO67M62L728Z</v>
      </c>
      <c r="O167" s="3" t="s">
        <v>261</v>
      </c>
      <c r="P167" s="3" t="s">
        <v>36</v>
      </c>
      <c r="Q167" s="3"/>
      <c r="R167" s="4">
        <v>45996</v>
      </c>
      <c r="S167" s="3" t="s">
        <v>37</v>
      </c>
      <c r="T167" s="3" t="s">
        <v>38</v>
      </c>
      <c r="U167" s="3" t="s">
        <v>39</v>
      </c>
      <c r="V167" s="3">
        <v>112.1</v>
      </c>
      <c r="W167" s="3">
        <v>47.64</v>
      </c>
      <c r="X167" s="3">
        <v>45.12</v>
      </c>
      <c r="Y167" s="3">
        <v>19.34</v>
      </c>
    </row>
    <row r="168" spans="1:25" ht="60.75" x14ac:dyDescent="0.25">
      <c r="A168" s="3" t="s">
        <v>26</v>
      </c>
      <c r="B168" s="3" t="s">
        <v>27</v>
      </c>
      <c r="C168" s="3" t="s">
        <v>28</v>
      </c>
      <c r="D168" s="3" t="s">
        <v>50</v>
      </c>
      <c r="E168" s="3" t="s">
        <v>60</v>
      </c>
      <c r="F168" s="3" t="s">
        <v>52</v>
      </c>
      <c r="G168" s="3" t="s">
        <v>60</v>
      </c>
      <c r="H168" s="3" t="s">
        <v>45</v>
      </c>
      <c r="I168" s="3">
        <v>2025</v>
      </c>
      <c r="J168" s="3" t="str">
        <f>CONCATENATE("54820172408")</f>
        <v>54820172408</v>
      </c>
      <c r="K168" s="3" t="s">
        <v>33</v>
      </c>
      <c r="L168" s="3"/>
      <c r="M168" s="3" t="s">
        <v>131</v>
      </c>
      <c r="N168" s="3" t="str">
        <f>CONCATENATE("VGLKHR86H68E412U")</f>
        <v>VGLKHR86H68E412U</v>
      </c>
      <c r="O168" s="3" t="s">
        <v>262</v>
      </c>
      <c r="P168" s="3" t="s">
        <v>36</v>
      </c>
      <c r="Q168" s="3"/>
      <c r="R168" s="4">
        <v>45996</v>
      </c>
      <c r="S168" s="3" t="s">
        <v>37</v>
      </c>
      <c r="T168" s="3" t="s">
        <v>38</v>
      </c>
      <c r="U168" s="3" t="s">
        <v>39</v>
      </c>
      <c r="V168" s="3">
        <v>103.12</v>
      </c>
      <c r="W168" s="3">
        <v>43.83</v>
      </c>
      <c r="X168" s="3">
        <v>41.51</v>
      </c>
      <c r="Y168" s="3">
        <v>17.78</v>
      </c>
    </row>
    <row r="169" spans="1:25" ht="36.75" x14ac:dyDescent="0.25">
      <c r="A169" s="3" t="s">
        <v>26</v>
      </c>
      <c r="B169" s="3" t="s">
        <v>27</v>
      </c>
      <c r="C169" s="3" t="s">
        <v>28</v>
      </c>
      <c r="D169" s="3" t="s">
        <v>50</v>
      </c>
      <c r="E169" s="3" t="s">
        <v>51</v>
      </c>
      <c r="F169" s="3" t="s">
        <v>52</v>
      </c>
      <c r="G169" s="3" t="s">
        <v>51</v>
      </c>
      <c r="H169" s="3" t="s">
        <v>48</v>
      </c>
      <c r="I169" s="3">
        <v>2025</v>
      </c>
      <c r="J169" s="3" t="str">
        <f>CONCATENATE("54820204284")</f>
        <v>54820204284</v>
      </c>
      <c r="K169" s="3" t="s">
        <v>33</v>
      </c>
      <c r="L169" s="3"/>
      <c r="M169" s="3" t="s">
        <v>131</v>
      </c>
      <c r="N169" s="3" t="str">
        <f>CONCATENATE("02663240428")</f>
        <v>02663240428</v>
      </c>
      <c r="O169" s="3" t="s">
        <v>263</v>
      </c>
      <c r="P169" s="3" t="s">
        <v>36</v>
      </c>
      <c r="Q169" s="3"/>
      <c r="R169" s="4">
        <v>45996</v>
      </c>
      <c r="S169" s="3" t="s">
        <v>37</v>
      </c>
      <c r="T169" s="3" t="s">
        <v>38</v>
      </c>
      <c r="U169" s="3" t="s">
        <v>39</v>
      </c>
      <c r="V169" s="3">
        <v>238.71</v>
      </c>
      <c r="W169" s="3">
        <v>101.45</v>
      </c>
      <c r="X169" s="3">
        <v>96.08</v>
      </c>
      <c r="Y169" s="3">
        <v>41.18</v>
      </c>
    </row>
    <row r="170" spans="1:25" ht="60.75" x14ac:dyDescent="0.25">
      <c r="A170" s="3" t="s">
        <v>26</v>
      </c>
      <c r="B170" s="3" t="s">
        <v>27</v>
      </c>
      <c r="C170" s="3" t="s">
        <v>28</v>
      </c>
      <c r="D170" s="3" t="s">
        <v>264</v>
      </c>
      <c r="E170" s="3" t="s">
        <v>265</v>
      </c>
      <c r="F170" s="3" t="s">
        <v>266</v>
      </c>
      <c r="G170" s="3" t="s">
        <v>265</v>
      </c>
      <c r="H170" s="3" t="s">
        <v>45</v>
      </c>
      <c r="I170" s="3">
        <v>2025</v>
      </c>
      <c r="J170" s="3" t="str">
        <f>CONCATENATE("54820288972")</f>
        <v>54820288972</v>
      </c>
      <c r="K170" s="3" t="s">
        <v>33</v>
      </c>
      <c r="L170" s="3"/>
      <c r="M170" s="3" t="s">
        <v>131</v>
      </c>
      <c r="N170" s="3" t="str">
        <f>CONCATENATE("CLMFRC80H16L500W")</f>
        <v>CLMFRC80H16L500W</v>
      </c>
      <c r="O170" s="3" t="s">
        <v>267</v>
      </c>
      <c r="P170" s="3" t="s">
        <v>36</v>
      </c>
      <c r="Q170" s="3"/>
      <c r="R170" s="4">
        <v>45996</v>
      </c>
      <c r="S170" s="3" t="s">
        <v>37</v>
      </c>
      <c r="T170" s="3" t="s">
        <v>38</v>
      </c>
      <c r="U170" s="3" t="s">
        <v>39</v>
      </c>
      <c r="V170" s="3">
        <v>384.35</v>
      </c>
      <c r="W170" s="3">
        <v>163.35</v>
      </c>
      <c r="X170" s="3">
        <v>154.69999999999999</v>
      </c>
      <c r="Y170" s="3">
        <v>66.3</v>
      </c>
    </row>
    <row r="171" spans="1:25" ht="72.75" x14ac:dyDescent="0.25">
      <c r="A171" s="3" t="s">
        <v>26</v>
      </c>
      <c r="B171" s="3" t="s">
        <v>27</v>
      </c>
      <c r="C171" s="3" t="s">
        <v>28</v>
      </c>
      <c r="D171" s="3" t="s">
        <v>104</v>
      </c>
      <c r="E171" s="3" t="s">
        <v>268</v>
      </c>
      <c r="F171" s="3" t="s">
        <v>104</v>
      </c>
      <c r="G171" s="3" t="s">
        <v>268</v>
      </c>
      <c r="H171" s="3" t="s">
        <v>32</v>
      </c>
      <c r="I171" s="3">
        <v>2025</v>
      </c>
      <c r="J171" s="3" t="str">
        <f>CONCATENATE("54820042916")</f>
        <v>54820042916</v>
      </c>
      <c r="K171" s="3" t="s">
        <v>33</v>
      </c>
      <c r="L171" s="3"/>
      <c r="M171" s="3" t="s">
        <v>131</v>
      </c>
      <c r="N171" s="3" t="str">
        <f>CONCATENATE("MCCMRA77B66B474M")</f>
        <v>MCCMRA77B66B474M</v>
      </c>
      <c r="O171" s="3" t="s">
        <v>269</v>
      </c>
      <c r="P171" s="3" t="s">
        <v>36</v>
      </c>
      <c r="Q171" s="3"/>
      <c r="R171" s="4">
        <v>45996</v>
      </c>
      <c r="S171" s="3" t="s">
        <v>37</v>
      </c>
      <c r="T171" s="3" t="s">
        <v>38</v>
      </c>
      <c r="U171" s="3" t="s">
        <v>39</v>
      </c>
      <c r="V171" s="3">
        <v>184.9</v>
      </c>
      <c r="W171" s="3">
        <v>78.58</v>
      </c>
      <c r="X171" s="3">
        <v>74.42</v>
      </c>
      <c r="Y171" s="3">
        <v>31.9</v>
      </c>
    </row>
    <row r="172" spans="1:25" ht="36.75" x14ac:dyDescent="0.25">
      <c r="A172" s="3" t="s">
        <v>26</v>
      </c>
      <c r="B172" s="3" t="s">
        <v>27</v>
      </c>
      <c r="C172" s="3" t="s">
        <v>28</v>
      </c>
      <c r="D172" s="3" t="s">
        <v>40</v>
      </c>
      <c r="E172" s="3" t="s">
        <v>41</v>
      </c>
      <c r="F172" s="3" t="s">
        <v>42</v>
      </c>
      <c r="G172" s="3" t="s">
        <v>41</v>
      </c>
      <c r="H172" s="3" t="s">
        <v>32</v>
      </c>
      <c r="I172" s="3">
        <v>2025</v>
      </c>
      <c r="J172" s="3" t="str">
        <f>CONCATENATE("54820084132")</f>
        <v>54820084132</v>
      </c>
      <c r="K172" s="3" t="s">
        <v>33</v>
      </c>
      <c r="L172" s="3"/>
      <c r="M172" s="3" t="s">
        <v>131</v>
      </c>
      <c r="N172" s="3" t="str">
        <f>CONCATENATE("02125710430")</f>
        <v>02125710430</v>
      </c>
      <c r="O172" s="3" t="s">
        <v>270</v>
      </c>
      <c r="P172" s="3" t="s">
        <v>36</v>
      </c>
      <c r="Q172" s="3"/>
      <c r="R172" s="4">
        <v>45996</v>
      </c>
      <c r="S172" s="3" t="s">
        <v>37</v>
      </c>
      <c r="T172" s="3" t="s">
        <v>38</v>
      </c>
      <c r="U172" s="3" t="s">
        <v>39</v>
      </c>
      <c r="V172" s="5">
        <v>1267.27</v>
      </c>
      <c r="W172" s="3">
        <v>538.59</v>
      </c>
      <c r="X172" s="3">
        <v>510.08</v>
      </c>
      <c r="Y172" s="3">
        <v>218.6</v>
      </c>
    </row>
    <row r="173" spans="1:25" ht="60.75" x14ac:dyDescent="0.25">
      <c r="A173" s="3" t="s">
        <v>26</v>
      </c>
      <c r="B173" s="3" t="s">
        <v>27</v>
      </c>
      <c r="C173" s="3" t="s">
        <v>28</v>
      </c>
      <c r="D173" s="3" t="s">
        <v>29</v>
      </c>
      <c r="E173" s="3" t="s">
        <v>72</v>
      </c>
      <c r="F173" s="3" t="s">
        <v>31</v>
      </c>
      <c r="G173" s="3" t="s">
        <v>72</v>
      </c>
      <c r="H173" s="3" t="s">
        <v>45</v>
      </c>
      <c r="I173" s="3">
        <v>2025</v>
      </c>
      <c r="J173" s="3" t="str">
        <f>CONCATENATE("54820133459")</f>
        <v>54820133459</v>
      </c>
      <c r="K173" s="3" t="s">
        <v>33</v>
      </c>
      <c r="L173" s="3"/>
      <c r="M173" s="3" t="s">
        <v>131</v>
      </c>
      <c r="N173" s="3" t="str">
        <f>CONCATENATE("FRRMRA61L13B352A")</f>
        <v>FRRMRA61L13B352A</v>
      </c>
      <c r="O173" s="3" t="s">
        <v>271</v>
      </c>
      <c r="P173" s="3" t="s">
        <v>36</v>
      </c>
      <c r="Q173" s="3"/>
      <c r="R173" s="4">
        <v>45996</v>
      </c>
      <c r="S173" s="3" t="s">
        <v>37</v>
      </c>
      <c r="T173" s="3" t="s">
        <v>38</v>
      </c>
      <c r="U173" s="3" t="s">
        <v>39</v>
      </c>
      <c r="V173" s="3">
        <v>543.1</v>
      </c>
      <c r="W173" s="3">
        <v>230.82</v>
      </c>
      <c r="X173" s="3">
        <v>218.6</v>
      </c>
      <c r="Y173" s="3">
        <v>93.68</v>
      </c>
    </row>
    <row r="174" spans="1:25" ht="60.75" x14ac:dyDescent="0.25">
      <c r="A174" s="3" t="s">
        <v>26</v>
      </c>
      <c r="B174" s="3" t="s">
        <v>27</v>
      </c>
      <c r="C174" s="3" t="s">
        <v>28</v>
      </c>
      <c r="D174" s="3" t="s">
        <v>104</v>
      </c>
      <c r="E174" s="3" t="s">
        <v>268</v>
      </c>
      <c r="F174" s="3" t="s">
        <v>104</v>
      </c>
      <c r="G174" s="3" t="s">
        <v>268</v>
      </c>
      <c r="H174" s="3" t="s">
        <v>32</v>
      </c>
      <c r="I174" s="3">
        <v>2025</v>
      </c>
      <c r="J174" s="3" t="str">
        <f>CONCATENATE("54820084942")</f>
        <v>54820084942</v>
      </c>
      <c r="K174" s="3" t="s">
        <v>33</v>
      </c>
      <c r="L174" s="3"/>
      <c r="M174" s="3" t="s">
        <v>131</v>
      </c>
      <c r="N174" s="3" t="str">
        <f>CONCATENATE("SNSNDR89A15L191H")</f>
        <v>SNSNDR89A15L191H</v>
      </c>
      <c r="O174" s="3" t="s">
        <v>272</v>
      </c>
      <c r="P174" s="3" t="s">
        <v>36</v>
      </c>
      <c r="Q174" s="3"/>
      <c r="R174" s="4">
        <v>45996</v>
      </c>
      <c r="S174" s="3" t="s">
        <v>37</v>
      </c>
      <c r="T174" s="3" t="s">
        <v>38</v>
      </c>
      <c r="U174" s="3" t="s">
        <v>39</v>
      </c>
      <c r="V174" s="3">
        <v>138.02000000000001</v>
      </c>
      <c r="W174" s="3">
        <v>58.66</v>
      </c>
      <c r="X174" s="3">
        <v>55.55</v>
      </c>
      <c r="Y174" s="3">
        <v>23.81</v>
      </c>
    </row>
    <row r="175" spans="1:25" ht="72.75" x14ac:dyDescent="0.25">
      <c r="A175" s="3" t="s">
        <v>26</v>
      </c>
      <c r="B175" s="3" t="s">
        <v>27</v>
      </c>
      <c r="C175" s="3" t="s">
        <v>28</v>
      </c>
      <c r="D175" s="3" t="s">
        <v>50</v>
      </c>
      <c r="E175" s="3" t="s">
        <v>147</v>
      </c>
      <c r="F175" s="3" t="s">
        <v>52</v>
      </c>
      <c r="G175" s="3" t="s">
        <v>147</v>
      </c>
      <c r="H175" s="3" t="s">
        <v>45</v>
      </c>
      <c r="I175" s="3">
        <v>2025</v>
      </c>
      <c r="J175" s="3" t="str">
        <f>CONCATENATE("54820112735")</f>
        <v>54820112735</v>
      </c>
      <c r="K175" s="3" t="s">
        <v>33</v>
      </c>
      <c r="L175" s="3"/>
      <c r="M175" s="3" t="s">
        <v>131</v>
      </c>
      <c r="N175" s="3" t="str">
        <f>CONCATENATE("MGAMRS69A53G479N")</f>
        <v>MGAMRS69A53G479N</v>
      </c>
      <c r="O175" s="3" t="s">
        <v>273</v>
      </c>
      <c r="P175" s="3" t="s">
        <v>36</v>
      </c>
      <c r="Q175" s="3"/>
      <c r="R175" s="4">
        <v>45996</v>
      </c>
      <c r="S175" s="3" t="s">
        <v>37</v>
      </c>
      <c r="T175" s="3" t="s">
        <v>38</v>
      </c>
      <c r="U175" s="3" t="s">
        <v>39</v>
      </c>
      <c r="V175" s="3">
        <v>105.56</v>
      </c>
      <c r="W175" s="3">
        <v>44.86</v>
      </c>
      <c r="X175" s="3">
        <v>42.49</v>
      </c>
      <c r="Y175" s="3">
        <v>18.21</v>
      </c>
    </row>
    <row r="176" spans="1:25" ht="60.75" x14ac:dyDescent="0.25">
      <c r="A176" s="3" t="s">
        <v>26</v>
      </c>
      <c r="B176" s="3" t="s">
        <v>27</v>
      </c>
      <c r="C176" s="3" t="s">
        <v>28</v>
      </c>
      <c r="D176" s="3" t="s">
        <v>50</v>
      </c>
      <c r="E176" s="3" t="s">
        <v>173</v>
      </c>
      <c r="F176" s="3" t="s">
        <v>52</v>
      </c>
      <c r="G176" s="3" t="s">
        <v>173</v>
      </c>
      <c r="H176" s="3" t="s">
        <v>45</v>
      </c>
      <c r="I176" s="3">
        <v>2025</v>
      </c>
      <c r="J176" s="3" t="str">
        <f>CONCATENATE("54820108162")</f>
        <v>54820108162</v>
      </c>
      <c r="K176" s="3" t="s">
        <v>33</v>
      </c>
      <c r="L176" s="3"/>
      <c r="M176" s="3" t="s">
        <v>131</v>
      </c>
      <c r="N176" s="3" t="str">
        <f>CONCATENATE("RSSLCN65T13I459W")</f>
        <v>RSSLCN65T13I459W</v>
      </c>
      <c r="O176" s="3" t="s">
        <v>274</v>
      </c>
      <c r="P176" s="3" t="s">
        <v>36</v>
      </c>
      <c r="Q176" s="3"/>
      <c r="R176" s="4">
        <v>45996</v>
      </c>
      <c r="S176" s="3" t="s">
        <v>37</v>
      </c>
      <c r="T176" s="3" t="s">
        <v>38</v>
      </c>
      <c r="U176" s="3" t="s">
        <v>39</v>
      </c>
      <c r="V176" s="3">
        <v>95.08</v>
      </c>
      <c r="W176" s="3">
        <v>40.409999999999997</v>
      </c>
      <c r="X176" s="3">
        <v>38.270000000000003</v>
      </c>
      <c r="Y176" s="3">
        <v>16.399999999999999</v>
      </c>
    </row>
    <row r="177" spans="1:25" ht="72.75" x14ac:dyDescent="0.25">
      <c r="A177" s="3" t="s">
        <v>26</v>
      </c>
      <c r="B177" s="3" t="s">
        <v>27</v>
      </c>
      <c r="C177" s="3" t="s">
        <v>28</v>
      </c>
      <c r="D177" s="3" t="s">
        <v>29</v>
      </c>
      <c r="E177" s="3" t="s">
        <v>56</v>
      </c>
      <c r="F177" s="3" t="s">
        <v>31</v>
      </c>
      <c r="G177" s="3" t="s">
        <v>56</v>
      </c>
      <c r="H177" s="3" t="s">
        <v>32</v>
      </c>
      <c r="I177" s="3">
        <v>2025</v>
      </c>
      <c r="J177" s="3" t="str">
        <f>CONCATENATE("54820071048")</f>
        <v>54820071048</v>
      </c>
      <c r="K177" s="3" t="s">
        <v>33</v>
      </c>
      <c r="L177" s="3"/>
      <c r="M177" s="3" t="s">
        <v>131</v>
      </c>
      <c r="N177" s="3" t="str">
        <f>CONCATENATE("VNGLGU64D01B474G")</f>
        <v>VNGLGU64D01B474G</v>
      </c>
      <c r="O177" s="3" t="s">
        <v>275</v>
      </c>
      <c r="P177" s="3" t="s">
        <v>36</v>
      </c>
      <c r="Q177" s="3"/>
      <c r="R177" s="4">
        <v>45996</v>
      </c>
      <c r="S177" s="3" t="s">
        <v>37</v>
      </c>
      <c r="T177" s="3" t="s">
        <v>38</v>
      </c>
      <c r="U177" s="3" t="s">
        <v>39</v>
      </c>
      <c r="V177" s="3">
        <v>118.13</v>
      </c>
      <c r="W177" s="3">
        <v>50.21</v>
      </c>
      <c r="X177" s="3">
        <v>47.55</v>
      </c>
      <c r="Y177" s="3">
        <v>20.37</v>
      </c>
    </row>
    <row r="178" spans="1:25" ht="72.75" x14ac:dyDescent="0.25">
      <c r="A178" s="3" t="s">
        <v>26</v>
      </c>
      <c r="B178" s="3" t="s">
        <v>27</v>
      </c>
      <c r="C178" s="3" t="s">
        <v>28</v>
      </c>
      <c r="D178" s="3" t="s">
        <v>29</v>
      </c>
      <c r="E178" s="3" t="s">
        <v>56</v>
      </c>
      <c r="F178" s="3" t="s">
        <v>31</v>
      </c>
      <c r="G178" s="3" t="s">
        <v>56</v>
      </c>
      <c r="H178" s="3" t="s">
        <v>32</v>
      </c>
      <c r="I178" s="3">
        <v>2025</v>
      </c>
      <c r="J178" s="3" t="str">
        <f>CONCATENATE("54820090352")</f>
        <v>54820090352</v>
      </c>
      <c r="K178" s="3" t="s">
        <v>33</v>
      </c>
      <c r="L178" s="3"/>
      <c r="M178" s="3" t="s">
        <v>131</v>
      </c>
      <c r="N178" s="3" t="str">
        <f>CONCATENATE("GRDNGL58R26D429D")</f>
        <v>GRDNGL58R26D429D</v>
      </c>
      <c r="O178" s="3" t="s">
        <v>276</v>
      </c>
      <c r="P178" s="3" t="s">
        <v>36</v>
      </c>
      <c r="Q178" s="3"/>
      <c r="R178" s="4">
        <v>45996</v>
      </c>
      <c r="S178" s="3" t="s">
        <v>37</v>
      </c>
      <c r="T178" s="3" t="s">
        <v>38</v>
      </c>
      <c r="U178" s="3" t="s">
        <v>39</v>
      </c>
      <c r="V178" s="3">
        <v>156.91</v>
      </c>
      <c r="W178" s="3">
        <v>66.69</v>
      </c>
      <c r="X178" s="3">
        <v>63.16</v>
      </c>
      <c r="Y178" s="3">
        <v>27.06</v>
      </c>
    </row>
    <row r="179" spans="1:25" ht="60.75" x14ac:dyDescent="0.25">
      <c r="A179" s="3" t="s">
        <v>26</v>
      </c>
      <c r="B179" s="3" t="s">
        <v>27</v>
      </c>
      <c r="C179" s="3" t="s">
        <v>28</v>
      </c>
      <c r="D179" s="3" t="s">
        <v>29</v>
      </c>
      <c r="E179" s="3" t="s">
        <v>68</v>
      </c>
      <c r="F179" s="3" t="s">
        <v>31</v>
      </c>
      <c r="G179" s="3" t="s">
        <v>68</v>
      </c>
      <c r="H179" s="3" t="s">
        <v>32</v>
      </c>
      <c r="I179" s="3">
        <v>2025</v>
      </c>
      <c r="J179" s="3" t="str">
        <f>CONCATENATE("54820117403")</f>
        <v>54820117403</v>
      </c>
      <c r="K179" s="3" t="s">
        <v>33</v>
      </c>
      <c r="L179" s="3"/>
      <c r="M179" s="3" t="s">
        <v>131</v>
      </c>
      <c r="N179" s="3" t="str">
        <f>CONCATENATE("GNNTSN47A61A031P")</f>
        <v>GNNTSN47A61A031P</v>
      </c>
      <c r="O179" s="3" t="s">
        <v>277</v>
      </c>
      <c r="P179" s="3" t="s">
        <v>36</v>
      </c>
      <c r="Q179" s="3"/>
      <c r="R179" s="4">
        <v>45996</v>
      </c>
      <c r="S179" s="3" t="s">
        <v>37</v>
      </c>
      <c r="T179" s="3" t="s">
        <v>38</v>
      </c>
      <c r="U179" s="3" t="s">
        <v>39</v>
      </c>
      <c r="V179" s="5">
        <v>1435.53</v>
      </c>
      <c r="W179" s="3">
        <v>610.1</v>
      </c>
      <c r="X179" s="3">
        <v>577.79999999999995</v>
      </c>
      <c r="Y179" s="3">
        <v>247.63</v>
      </c>
    </row>
    <row r="180" spans="1:25" ht="72.75" x14ac:dyDescent="0.25">
      <c r="A180" s="3" t="s">
        <v>26</v>
      </c>
      <c r="B180" s="3" t="s">
        <v>27</v>
      </c>
      <c r="C180" s="3" t="s">
        <v>28</v>
      </c>
      <c r="D180" s="3" t="s">
        <v>29</v>
      </c>
      <c r="E180" s="3" t="s">
        <v>47</v>
      </c>
      <c r="F180" s="3" t="s">
        <v>31</v>
      </c>
      <c r="G180" s="3" t="s">
        <v>47</v>
      </c>
      <c r="H180" s="3" t="s">
        <v>48</v>
      </c>
      <c r="I180" s="3">
        <v>2025</v>
      </c>
      <c r="J180" s="3" t="str">
        <f>CONCATENATE("54820046883")</f>
        <v>54820046883</v>
      </c>
      <c r="K180" s="3" t="s">
        <v>33</v>
      </c>
      <c r="L180" s="3"/>
      <c r="M180" s="3" t="s">
        <v>131</v>
      </c>
      <c r="N180" s="3" t="str">
        <f>CONCATENATE("MRRMSM70M02D451G")</f>
        <v>MRRMSM70M02D451G</v>
      </c>
      <c r="O180" s="3" t="s">
        <v>278</v>
      </c>
      <c r="P180" s="3" t="s">
        <v>36</v>
      </c>
      <c r="Q180" s="3"/>
      <c r="R180" s="4">
        <v>45996</v>
      </c>
      <c r="S180" s="3" t="s">
        <v>37</v>
      </c>
      <c r="T180" s="3" t="s">
        <v>38</v>
      </c>
      <c r="U180" s="3" t="s">
        <v>39</v>
      </c>
      <c r="V180" s="3">
        <v>979.47</v>
      </c>
      <c r="W180" s="3">
        <v>416.27</v>
      </c>
      <c r="X180" s="3">
        <v>394.24</v>
      </c>
      <c r="Y180" s="3">
        <v>168.96</v>
      </c>
    </row>
    <row r="181" spans="1:25" ht="36.75" x14ac:dyDescent="0.25">
      <c r="A181" s="3" t="s">
        <v>26</v>
      </c>
      <c r="B181" s="3" t="s">
        <v>27</v>
      </c>
      <c r="C181" s="3" t="s">
        <v>28</v>
      </c>
      <c r="D181" s="3" t="s">
        <v>50</v>
      </c>
      <c r="E181" s="3" t="s">
        <v>51</v>
      </c>
      <c r="F181" s="3" t="s">
        <v>52</v>
      </c>
      <c r="G181" s="3" t="s">
        <v>51</v>
      </c>
      <c r="H181" s="3" t="s">
        <v>48</v>
      </c>
      <c r="I181" s="3">
        <v>2025</v>
      </c>
      <c r="J181" s="3" t="str">
        <f>CONCATENATE("54820076948")</f>
        <v>54820076948</v>
      </c>
      <c r="K181" s="3" t="s">
        <v>33</v>
      </c>
      <c r="L181" s="3"/>
      <c r="M181" s="3" t="s">
        <v>131</v>
      </c>
      <c r="N181" s="3" t="str">
        <f>CONCATENATE("02790810424")</f>
        <v>02790810424</v>
      </c>
      <c r="O181" s="3" t="s">
        <v>279</v>
      </c>
      <c r="P181" s="3" t="s">
        <v>36</v>
      </c>
      <c r="Q181" s="3"/>
      <c r="R181" s="4">
        <v>45996</v>
      </c>
      <c r="S181" s="3" t="s">
        <v>37</v>
      </c>
      <c r="T181" s="3" t="s">
        <v>38</v>
      </c>
      <c r="U181" s="3" t="s">
        <v>39</v>
      </c>
      <c r="V181" s="3">
        <v>986.09</v>
      </c>
      <c r="W181" s="3">
        <v>419.09</v>
      </c>
      <c r="X181" s="3">
        <v>396.9</v>
      </c>
      <c r="Y181" s="3">
        <v>170.1</v>
      </c>
    </row>
    <row r="182" spans="1:25" ht="60.75" x14ac:dyDescent="0.25">
      <c r="A182" s="3" t="s">
        <v>26</v>
      </c>
      <c r="B182" s="3" t="s">
        <v>27</v>
      </c>
      <c r="C182" s="3" t="s">
        <v>28</v>
      </c>
      <c r="D182" s="3" t="s">
        <v>29</v>
      </c>
      <c r="E182" s="3" t="s">
        <v>182</v>
      </c>
      <c r="F182" s="3" t="s">
        <v>31</v>
      </c>
      <c r="G182" s="3" t="s">
        <v>182</v>
      </c>
      <c r="H182" s="3" t="s">
        <v>45</v>
      </c>
      <c r="I182" s="3">
        <v>2025</v>
      </c>
      <c r="J182" s="3" t="str">
        <f>CONCATENATE("54820112354")</f>
        <v>54820112354</v>
      </c>
      <c r="K182" s="3" t="s">
        <v>33</v>
      </c>
      <c r="L182" s="3"/>
      <c r="M182" s="3" t="s">
        <v>131</v>
      </c>
      <c r="N182" s="3" t="str">
        <f>CONCATENATE("CRGLCN48C65L500C")</f>
        <v>CRGLCN48C65L500C</v>
      </c>
      <c r="O182" s="3" t="s">
        <v>280</v>
      </c>
      <c r="P182" s="3" t="s">
        <v>36</v>
      </c>
      <c r="Q182" s="3"/>
      <c r="R182" s="4">
        <v>45996</v>
      </c>
      <c r="S182" s="3" t="s">
        <v>37</v>
      </c>
      <c r="T182" s="3" t="s">
        <v>38</v>
      </c>
      <c r="U182" s="3" t="s">
        <v>39</v>
      </c>
      <c r="V182" s="3">
        <v>65.53</v>
      </c>
      <c r="W182" s="3">
        <v>27.85</v>
      </c>
      <c r="X182" s="3">
        <v>26.38</v>
      </c>
      <c r="Y182" s="3">
        <v>11.3</v>
      </c>
    </row>
    <row r="183" spans="1:25" ht="60.75" x14ac:dyDescent="0.25">
      <c r="A183" s="3" t="s">
        <v>26</v>
      </c>
      <c r="B183" s="3" t="s">
        <v>27</v>
      </c>
      <c r="C183" s="3" t="s">
        <v>28</v>
      </c>
      <c r="D183" s="3" t="s">
        <v>91</v>
      </c>
      <c r="E183" s="3" t="s">
        <v>151</v>
      </c>
      <c r="F183" s="3" t="s">
        <v>93</v>
      </c>
      <c r="G183" s="3" t="s">
        <v>151</v>
      </c>
      <c r="H183" s="3" t="s">
        <v>45</v>
      </c>
      <c r="I183" s="3">
        <v>2025</v>
      </c>
      <c r="J183" s="3" t="str">
        <f>CONCATENATE("54820205810")</f>
        <v>54820205810</v>
      </c>
      <c r="K183" s="3" t="s">
        <v>33</v>
      </c>
      <c r="L183" s="3"/>
      <c r="M183" s="3" t="s">
        <v>131</v>
      </c>
      <c r="N183" s="3" t="str">
        <f>CONCATENATE("CSVMDL73D58D007F")</f>
        <v>CSVMDL73D58D007F</v>
      </c>
      <c r="O183" s="3" t="s">
        <v>281</v>
      </c>
      <c r="P183" s="3" t="s">
        <v>36</v>
      </c>
      <c r="Q183" s="3"/>
      <c r="R183" s="4">
        <v>45996</v>
      </c>
      <c r="S183" s="3" t="s">
        <v>37</v>
      </c>
      <c r="T183" s="3" t="s">
        <v>38</v>
      </c>
      <c r="U183" s="3" t="s">
        <v>39</v>
      </c>
      <c r="V183" s="3">
        <v>47.22</v>
      </c>
      <c r="W183" s="3">
        <v>20.07</v>
      </c>
      <c r="X183" s="3">
        <v>19.010000000000002</v>
      </c>
      <c r="Y183" s="3">
        <v>8.14</v>
      </c>
    </row>
    <row r="184" spans="1:25" ht="60.75" x14ac:dyDescent="0.25">
      <c r="A184" s="3" t="s">
        <v>26</v>
      </c>
      <c r="B184" s="3" t="s">
        <v>27</v>
      </c>
      <c r="C184" s="3" t="s">
        <v>28</v>
      </c>
      <c r="D184" s="3" t="s">
        <v>29</v>
      </c>
      <c r="E184" s="3" t="s">
        <v>136</v>
      </c>
      <c r="F184" s="3" t="s">
        <v>31</v>
      </c>
      <c r="G184" s="3" t="s">
        <v>136</v>
      </c>
      <c r="H184" s="3" t="s">
        <v>48</v>
      </c>
      <c r="I184" s="3">
        <v>2025</v>
      </c>
      <c r="J184" s="3" t="str">
        <f>CONCATENATE("54820116769")</f>
        <v>54820116769</v>
      </c>
      <c r="K184" s="3" t="s">
        <v>33</v>
      </c>
      <c r="L184" s="3"/>
      <c r="M184" s="3" t="s">
        <v>131</v>
      </c>
      <c r="N184" s="3" t="str">
        <f>CONCATENATE("DNNGNN62D18I461Q")</f>
        <v>DNNGNN62D18I461Q</v>
      </c>
      <c r="O184" s="3" t="s">
        <v>282</v>
      </c>
      <c r="P184" s="3" t="s">
        <v>36</v>
      </c>
      <c r="Q184" s="3"/>
      <c r="R184" s="4">
        <v>45996</v>
      </c>
      <c r="S184" s="3" t="s">
        <v>37</v>
      </c>
      <c r="T184" s="3" t="s">
        <v>38</v>
      </c>
      <c r="U184" s="3" t="s">
        <v>39</v>
      </c>
      <c r="V184" s="3">
        <v>231.31</v>
      </c>
      <c r="W184" s="3">
        <v>98.31</v>
      </c>
      <c r="X184" s="3">
        <v>93.1</v>
      </c>
      <c r="Y184" s="3">
        <v>39.9</v>
      </c>
    </row>
    <row r="185" spans="1:25" ht="60.75" x14ac:dyDescent="0.25">
      <c r="A185" s="3" t="s">
        <v>26</v>
      </c>
      <c r="B185" s="3" t="s">
        <v>27</v>
      </c>
      <c r="C185" s="3" t="s">
        <v>28</v>
      </c>
      <c r="D185" s="3" t="s">
        <v>50</v>
      </c>
      <c r="E185" s="3" t="s">
        <v>60</v>
      </c>
      <c r="F185" s="3" t="s">
        <v>52</v>
      </c>
      <c r="G185" s="3" t="s">
        <v>60</v>
      </c>
      <c r="H185" s="3" t="s">
        <v>45</v>
      </c>
      <c r="I185" s="3">
        <v>2025</v>
      </c>
      <c r="J185" s="3" t="str">
        <f>CONCATENATE("54820133350")</f>
        <v>54820133350</v>
      </c>
      <c r="K185" s="3" t="s">
        <v>33</v>
      </c>
      <c r="L185" s="3"/>
      <c r="M185" s="3" t="s">
        <v>131</v>
      </c>
      <c r="N185" s="3" t="str">
        <f>CONCATENATE("PRZLCN55M20G453I")</f>
        <v>PRZLCN55M20G453I</v>
      </c>
      <c r="O185" s="3" t="s">
        <v>283</v>
      </c>
      <c r="P185" s="3" t="s">
        <v>36</v>
      </c>
      <c r="Q185" s="3"/>
      <c r="R185" s="4">
        <v>45996</v>
      </c>
      <c r="S185" s="3" t="s">
        <v>37</v>
      </c>
      <c r="T185" s="3" t="s">
        <v>38</v>
      </c>
      <c r="U185" s="3" t="s">
        <v>39</v>
      </c>
      <c r="V185" s="3">
        <v>255.72</v>
      </c>
      <c r="W185" s="3">
        <v>108.68</v>
      </c>
      <c r="X185" s="3">
        <v>102.93</v>
      </c>
      <c r="Y185" s="3">
        <v>44.11</v>
      </c>
    </row>
    <row r="186" spans="1:25" ht="60.75" x14ac:dyDescent="0.25">
      <c r="A186" s="3" t="s">
        <v>26</v>
      </c>
      <c r="B186" s="3" t="s">
        <v>27</v>
      </c>
      <c r="C186" s="3" t="s">
        <v>28</v>
      </c>
      <c r="D186" s="3" t="s">
        <v>157</v>
      </c>
      <c r="E186" s="3" t="s">
        <v>158</v>
      </c>
      <c r="F186" s="3" t="s">
        <v>159</v>
      </c>
      <c r="G186" s="3" t="s">
        <v>158</v>
      </c>
      <c r="H186" s="3" t="s">
        <v>45</v>
      </c>
      <c r="I186" s="3">
        <v>2025</v>
      </c>
      <c r="J186" s="3" t="str">
        <f>CONCATENATE("54820173265")</f>
        <v>54820173265</v>
      </c>
      <c r="K186" s="3" t="s">
        <v>33</v>
      </c>
      <c r="L186" s="3"/>
      <c r="M186" s="3" t="s">
        <v>131</v>
      </c>
      <c r="N186" s="3" t="str">
        <f>CONCATENATE("GSPLRS78C27L500R")</f>
        <v>GSPLRS78C27L500R</v>
      </c>
      <c r="O186" s="3" t="s">
        <v>284</v>
      </c>
      <c r="P186" s="3" t="s">
        <v>36</v>
      </c>
      <c r="Q186" s="3"/>
      <c r="R186" s="4">
        <v>45996</v>
      </c>
      <c r="S186" s="3" t="s">
        <v>37</v>
      </c>
      <c r="T186" s="3" t="s">
        <v>38</v>
      </c>
      <c r="U186" s="3" t="s">
        <v>39</v>
      </c>
      <c r="V186" s="3">
        <v>394.88</v>
      </c>
      <c r="W186" s="3">
        <v>167.82</v>
      </c>
      <c r="X186" s="3">
        <v>158.94</v>
      </c>
      <c r="Y186" s="3">
        <v>68.12</v>
      </c>
    </row>
    <row r="187" spans="1:25" ht="72.75" x14ac:dyDescent="0.25">
      <c r="A187" s="3" t="s">
        <v>26</v>
      </c>
      <c r="B187" s="3" t="s">
        <v>27</v>
      </c>
      <c r="C187" s="3" t="s">
        <v>28</v>
      </c>
      <c r="D187" s="3" t="s">
        <v>29</v>
      </c>
      <c r="E187" s="3" t="s">
        <v>80</v>
      </c>
      <c r="F187" s="3" t="s">
        <v>31</v>
      </c>
      <c r="G187" s="3" t="s">
        <v>80</v>
      </c>
      <c r="H187" s="3" t="s">
        <v>45</v>
      </c>
      <c r="I187" s="3">
        <v>2025</v>
      </c>
      <c r="J187" s="3" t="str">
        <f>CONCATENATE("54820274618")</f>
        <v>54820274618</v>
      </c>
      <c r="K187" s="3" t="s">
        <v>33</v>
      </c>
      <c r="L187" s="3"/>
      <c r="M187" s="3" t="s">
        <v>131</v>
      </c>
      <c r="N187" s="3" t="str">
        <f>CONCATENATE("PLAGNN62R24G147N")</f>
        <v>PLAGNN62R24G147N</v>
      </c>
      <c r="O187" s="3" t="s">
        <v>285</v>
      </c>
      <c r="P187" s="3" t="s">
        <v>36</v>
      </c>
      <c r="Q187" s="3"/>
      <c r="R187" s="4">
        <v>45996</v>
      </c>
      <c r="S187" s="3" t="s">
        <v>37</v>
      </c>
      <c r="T187" s="3" t="s">
        <v>38</v>
      </c>
      <c r="U187" s="3" t="s">
        <v>39</v>
      </c>
      <c r="V187" s="5">
        <v>1089.8499999999999</v>
      </c>
      <c r="W187" s="3">
        <v>463.19</v>
      </c>
      <c r="X187" s="3">
        <v>438.66</v>
      </c>
      <c r="Y187" s="3">
        <v>188</v>
      </c>
    </row>
    <row r="188" spans="1:25" ht="60.75" x14ac:dyDescent="0.25">
      <c r="A188" s="3" t="s">
        <v>26</v>
      </c>
      <c r="B188" s="3" t="s">
        <v>27</v>
      </c>
      <c r="C188" s="3" t="s">
        <v>28</v>
      </c>
      <c r="D188" s="3" t="s">
        <v>50</v>
      </c>
      <c r="E188" s="3" t="s">
        <v>225</v>
      </c>
      <c r="F188" s="3" t="s">
        <v>52</v>
      </c>
      <c r="G188" s="3" t="s">
        <v>225</v>
      </c>
      <c r="H188" s="3" t="s">
        <v>96</v>
      </c>
      <c r="I188" s="3">
        <v>2025</v>
      </c>
      <c r="J188" s="3" t="str">
        <f>CONCATENATE("54820073614")</f>
        <v>54820073614</v>
      </c>
      <c r="K188" s="3" t="s">
        <v>33</v>
      </c>
      <c r="L188" s="3"/>
      <c r="M188" s="3" t="s">
        <v>131</v>
      </c>
      <c r="N188" s="3" t="str">
        <f>CONCATENATE("PCCDNL64M59A252S")</f>
        <v>PCCDNL64M59A252S</v>
      </c>
      <c r="O188" s="3" t="s">
        <v>286</v>
      </c>
      <c r="P188" s="3" t="s">
        <v>36</v>
      </c>
      <c r="Q188" s="3"/>
      <c r="R188" s="4">
        <v>45996</v>
      </c>
      <c r="S188" s="3" t="s">
        <v>37</v>
      </c>
      <c r="T188" s="3" t="s">
        <v>38</v>
      </c>
      <c r="U188" s="3" t="s">
        <v>39</v>
      </c>
      <c r="V188" s="3">
        <v>661.6</v>
      </c>
      <c r="W188" s="3">
        <v>281.18</v>
      </c>
      <c r="X188" s="3">
        <v>266.29000000000002</v>
      </c>
      <c r="Y188" s="3">
        <v>114.13</v>
      </c>
    </row>
    <row r="189" spans="1:25" ht="60.75" x14ac:dyDescent="0.25">
      <c r="A189" s="3" t="s">
        <v>26</v>
      </c>
      <c r="B189" s="3" t="s">
        <v>27</v>
      </c>
      <c r="C189" s="3" t="s">
        <v>28</v>
      </c>
      <c r="D189" s="3" t="s">
        <v>40</v>
      </c>
      <c r="E189" s="3" t="s">
        <v>287</v>
      </c>
      <c r="F189" s="3" t="s">
        <v>42</v>
      </c>
      <c r="G189" s="3" t="s">
        <v>287</v>
      </c>
      <c r="H189" s="3" t="s">
        <v>32</v>
      </c>
      <c r="I189" s="3">
        <v>2025</v>
      </c>
      <c r="J189" s="3" t="str">
        <f>CONCATENATE("54820015144")</f>
        <v>54820015144</v>
      </c>
      <c r="K189" s="3" t="s">
        <v>33</v>
      </c>
      <c r="L189" s="3"/>
      <c r="M189" s="3" t="s">
        <v>131</v>
      </c>
      <c r="N189" s="3" t="str">
        <f>CONCATENATE("BRGDNL74S11C935J")</f>
        <v>BRGDNL74S11C935J</v>
      </c>
      <c r="O189" s="3" t="s">
        <v>288</v>
      </c>
      <c r="P189" s="3" t="s">
        <v>36</v>
      </c>
      <c r="Q189" s="3"/>
      <c r="R189" s="4">
        <v>45996</v>
      </c>
      <c r="S189" s="3" t="s">
        <v>37</v>
      </c>
      <c r="T189" s="3" t="s">
        <v>38</v>
      </c>
      <c r="U189" s="3" t="s">
        <v>39</v>
      </c>
      <c r="V189" s="3">
        <v>177.29</v>
      </c>
      <c r="W189" s="3">
        <v>75.349999999999994</v>
      </c>
      <c r="X189" s="3">
        <v>71.36</v>
      </c>
      <c r="Y189" s="3">
        <v>30.58</v>
      </c>
    </row>
    <row r="190" spans="1:25" ht="60.75" x14ac:dyDescent="0.25">
      <c r="A190" s="3" t="s">
        <v>26</v>
      </c>
      <c r="B190" s="3" t="s">
        <v>27</v>
      </c>
      <c r="C190" s="3" t="s">
        <v>28</v>
      </c>
      <c r="D190" s="3" t="s">
        <v>50</v>
      </c>
      <c r="E190" s="3" t="s">
        <v>60</v>
      </c>
      <c r="F190" s="3" t="s">
        <v>52</v>
      </c>
      <c r="G190" s="3" t="s">
        <v>60</v>
      </c>
      <c r="H190" s="3" t="s">
        <v>48</v>
      </c>
      <c r="I190" s="3">
        <v>2025</v>
      </c>
      <c r="J190" s="3" t="str">
        <f>CONCATENATE("54820093323")</f>
        <v>54820093323</v>
      </c>
      <c r="K190" s="3" t="s">
        <v>33</v>
      </c>
      <c r="L190" s="3"/>
      <c r="M190" s="3" t="s">
        <v>131</v>
      </c>
      <c r="N190" s="3" t="str">
        <f>CONCATENATE("LTNRSL56C69A366G")</f>
        <v>LTNRSL56C69A366G</v>
      </c>
      <c r="O190" s="3" t="s">
        <v>289</v>
      </c>
      <c r="P190" s="3" t="s">
        <v>36</v>
      </c>
      <c r="Q190" s="3"/>
      <c r="R190" s="4">
        <v>45996</v>
      </c>
      <c r="S190" s="3" t="s">
        <v>37</v>
      </c>
      <c r="T190" s="3" t="s">
        <v>38</v>
      </c>
      <c r="U190" s="3" t="s">
        <v>39</v>
      </c>
      <c r="V190" s="3">
        <v>613.13</v>
      </c>
      <c r="W190" s="3">
        <v>260.58</v>
      </c>
      <c r="X190" s="3">
        <v>246.78</v>
      </c>
      <c r="Y190" s="3">
        <v>105.77</v>
      </c>
    </row>
    <row r="191" spans="1:25" ht="60.75" x14ac:dyDescent="0.25">
      <c r="A191" s="3" t="s">
        <v>26</v>
      </c>
      <c r="B191" s="3" t="s">
        <v>27</v>
      </c>
      <c r="C191" s="3" t="s">
        <v>28</v>
      </c>
      <c r="D191" s="3" t="s">
        <v>50</v>
      </c>
      <c r="E191" s="3" t="s">
        <v>290</v>
      </c>
      <c r="F191" s="3" t="s">
        <v>52</v>
      </c>
      <c r="G191" s="3" t="s">
        <v>290</v>
      </c>
      <c r="H191" s="3" t="s">
        <v>96</v>
      </c>
      <c r="I191" s="3">
        <v>2025</v>
      </c>
      <c r="J191" s="3" t="str">
        <f>CONCATENATE("54820205042")</f>
        <v>54820205042</v>
      </c>
      <c r="K191" s="3" t="s">
        <v>33</v>
      </c>
      <c r="L191" s="3"/>
      <c r="M191" s="3" t="s">
        <v>131</v>
      </c>
      <c r="N191" s="3" t="str">
        <f>CONCATENATE("DNGGZN73E14A252B")</f>
        <v>DNGGZN73E14A252B</v>
      </c>
      <c r="O191" s="3" t="s">
        <v>291</v>
      </c>
      <c r="P191" s="3" t="s">
        <v>36</v>
      </c>
      <c r="Q191" s="3"/>
      <c r="R191" s="4">
        <v>45996</v>
      </c>
      <c r="S191" s="3" t="s">
        <v>37</v>
      </c>
      <c r="T191" s="3" t="s">
        <v>38</v>
      </c>
      <c r="U191" s="3" t="s">
        <v>39</v>
      </c>
      <c r="V191" s="3">
        <v>49.49</v>
      </c>
      <c r="W191" s="3">
        <v>21.03</v>
      </c>
      <c r="X191" s="3">
        <v>19.920000000000002</v>
      </c>
      <c r="Y191" s="3">
        <v>8.5399999999999991</v>
      </c>
    </row>
    <row r="192" spans="1:25" ht="60.75" x14ac:dyDescent="0.25">
      <c r="A192" s="3" t="s">
        <v>26</v>
      </c>
      <c r="B192" s="3" t="s">
        <v>27</v>
      </c>
      <c r="C192" s="3" t="s">
        <v>28</v>
      </c>
      <c r="D192" s="3" t="s">
        <v>29</v>
      </c>
      <c r="E192" s="3" t="s">
        <v>56</v>
      </c>
      <c r="F192" s="3" t="s">
        <v>31</v>
      </c>
      <c r="G192" s="3" t="s">
        <v>56</v>
      </c>
      <c r="H192" s="3" t="s">
        <v>32</v>
      </c>
      <c r="I192" s="3">
        <v>2025</v>
      </c>
      <c r="J192" s="3" t="str">
        <f>CONCATENATE("54820047303")</f>
        <v>54820047303</v>
      </c>
      <c r="K192" s="3" t="s">
        <v>33</v>
      </c>
      <c r="L192" s="3"/>
      <c r="M192" s="3" t="s">
        <v>131</v>
      </c>
      <c r="N192" s="3" t="str">
        <f>CONCATENATE("CCCRSN54A71D429K")</f>
        <v>CCCRSN54A71D429K</v>
      </c>
      <c r="O192" s="3" t="s">
        <v>292</v>
      </c>
      <c r="P192" s="3" t="s">
        <v>36</v>
      </c>
      <c r="Q192" s="3"/>
      <c r="R192" s="4">
        <v>45996</v>
      </c>
      <c r="S192" s="3" t="s">
        <v>37</v>
      </c>
      <c r="T192" s="3" t="s">
        <v>38</v>
      </c>
      <c r="U192" s="3" t="s">
        <v>39</v>
      </c>
      <c r="V192" s="3">
        <v>51.42</v>
      </c>
      <c r="W192" s="3">
        <v>21.85</v>
      </c>
      <c r="X192" s="3">
        <v>20.7</v>
      </c>
      <c r="Y192" s="3">
        <v>8.8699999999999992</v>
      </c>
    </row>
    <row r="193" spans="1:25" ht="36.75" x14ac:dyDescent="0.25">
      <c r="A193" s="3" t="s">
        <v>26</v>
      </c>
      <c r="B193" s="3" t="s">
        <v>27</v>
      </c>
      <c r="C193" s="3" t="s">
        <v>28</v>
      </c>
      <c r="D193" s="3" t="s">
        <v>40</v>
      </c>
      <c r="E193" s="3" t="s">
        <v>54</v>
      </c>
      <c r="F193" s="3" t="s">
        <v>42</v>
      </c>
      <c r="G193" s="3" t="s">
        <v>54</v>
      </c>
      <c r="H193" s="3" t="s">
        <v>45</v>
      </c>
      <c r="I193" s="3">
        <v>2025</v>
      </c>
      <c r="J193" s="3" t="str">
        <f>CONCATENATE("54820074869")</f>
        <v>54820074869</v>
      </c>
      <c r="K193" s="3" t="s">
        <v>33</v>
      </c>
      <c r="L193" s="3"/>
      <c r="M193" s="3" t="s">
        <v>131</v>
      </c>
      <c r="N193" s="3" t="str">
        <f>CONCATENATE("01380520419")</f>
        <v>01380520419</v>
      </c>
      <c r="O193" s="3" t="s">
        <v>293</v>
      </c>
      <c r="P193" s="3" t="s">
        <v>36</v>
      </c>
      <c r="Q193" s="3"/>
      <c r="R193" s="4">
        <v>45996</v>
      </c>
      <c r="S193" s="3" t="s">
        <v>37</v>
      </c>
      <c r="T193" s="3" t="s">
        <v>38</v>
      </c>
      <c r="U193" s="3" t="s">
        <v>39</v>
      </c>
      <c r="V193" s="3">
        <v>779.13</v>
      </c>
      <c r="W193" s="3">
        <v>331.13</v>
      </c>
      <c r="X193" s="3">
        <v>313.60000000000002</v>
      </c>
      <c r="Y193" s="3">
        <v>134.4</v>
      </c>
    </row>
    <row r="194" spans="1:25" ht="60.75" x14ac:dyDescent="0.25">
      <c r="A194" s="3" t="s">
        <v>26</v>
      </c>
      <c r="B194" s="3" t="s">
        <v>27</v>
      </c>
      <c r="C194" s="3" t="s">
        <v>28</v>
      </c>
      <c r="D194" s="3" t="s">
        <v>29</v>
      </c>
      <c r="E194" s="3" t="s">
        <v>228</v>
      </c>
      <c r="F194" s="3" t="s">
        <v>31</v>
      </c>
      <c r="G194" s="3" t="s">
        <v>228</v>
      </c>
      <c r="H194" s="3" t="s">
        <v>45</v>
      </c>
      <c r="I194" s="3">
        <v>2025</v>
      </c>
      <c r="J194" s="3" t="str">
        <f>CONCATENATE("54820021233")</f>
        <v>54820021233</v>
      </c>
      <c r="K194" s="3" t="s">
        <v>33</v>
      </c>
      <c r="L194" s="3"/>
      <c r="M194" s="3" t="s">
        <v>131</v>
      </c>
      <c r="N194" s="3" t="str">
        <f>CONCATENATE("CNTMRC64M14D488K")</f>
        <v>CNTMRC64M14D488K</v>
      </c>
      <c r="O194" s="3" t="s">
        <v>294</v>
      </c>
      <c r="P194" s="3" t="s">
        <v>36</v>
      </c>
      <c r="Q194" s="3"/>
      <c r="R194" s="4">
        <v>45996</v>
      </c>
      <c r="S194" s="3" t="s">
        <v>37</v>
      </c>
      <c r="T194" s="3" t="s">
        <v>38</v>
      </c>
      <c r="U194" s="3" t="s">
        <v>39</v>
      </c>
      <c r="V194" s="3">
        <v>75.73</v>
      </c>
      <c r="W194" s="3">
        <v>32.19</v>
      </c>
      <c r="X194" s="3">
        <v>30.48</v>
      </c>
      <c r="Y194" s="3">
        <v>13.06</v>
      </c>
    </row>
    <row r="195" spans="1:25" ht="36.75" x14ac:dyDescent="0.25">
      <c r="A195" s="3" t="s">
        <v>26</v>
      </c>
      <c r="B195" s="3" t="s">
        <v>27</v>
      </c>
      <c r="C195" s="3" t="s">
        <v>28</v>
      </c>
      <c r="D195" s="3" t="s">
        <v>29</v>
      </c>
      <c r="E195" s="3" t="s">
        <v>186</v>
      </c>
      <c r="F195" s="3" t="s">
        <v>31</v>
      </c>
      <c r="G195" s="3" t="s">
        <v>186</v>
      </c>
      <c r="H195" s="3" t="s">
        <v>45</v>
      </c>
      <c r="I195" s="3">
        <v>2025</v>
      </c>
      <c r="J195" s="3" t="str">
        <f>CONCATENATE("54820044250")</f>
        <v>54820044250</v>
      </c>
      <c r="K195" s="3" t="s">
        <v>33</v>
      </c>
      <c r="L195" s="3"/>
      <c r="M195" s="3" t="s">
        <v>131</v>
      </c>
      <c r="N195" s="3" t="str">
        <f>CONCATENATE("02733470419")</f>
        <v>02733470419</v>
      </c>
      <c r="O195" s="3" t="s">
        <v>295</v>
      </c>
      <c r="P195" s="3" t="s">
        <v>36</v>
      </c>
      <c r="Q195" s="3"/>
      <c r="R195" s="4">
        <v>45996</v>
      </c>
      <c r="S195" s="3" t="s">
        <v>37</v>
      </c>
      <c r="T195" s="3" t="s">
        <v>38</v>
      </c>
      <c r="U195" s="3" t="s">
        <v>39</v>
      </c>
      <c r="V195" s="3">
        <v>133.22999999999999</v>
      </c>
      <c r="W195" s="3">
        <v>56.62</v>
      </c>
      <c r="X195" s="3">
        <v>53.63</v>
      </c>
      <c r="Y195" s="3">
        <v>22.98</v>
      </c>
    </row>
    <row r="196" spans="1:25" ht="60.75" x14ac:dyDescent="0.25">
      <c r="A196" s="3" t="s">
        <v>26</v>
      </c>
      <c r="B196" s="3" t="s">
        <v>27</v>
      </c>
      <c r="C196" s="3" t="s">
        <v>28</v>
      </c>
      <c r="D196" s="3" t="s">
        <v>29</v>
      </c>
      <c r="E196" s="3" t="s">
        <v>119</v>
      </c>
      <c r="F196" s="3" t="s">
        <v>31</v>
      </c>
      <c r="G196" s="3" t="s">
        <v>119</v>
      </c>
      <c r="H196" s="3" t="s">
        <v>96</v>
      </c>
      <c r="I196" s="3">
        <v>2025</v>
      </c>
      <c r="J196" s="3" t="str">
        <f>CONCATENATE("54820022512")</f>
        <v>54820022512</v>
      </c>
      <c r="K196" s="3" t="s">
        <v>33</v>
      </c>
      <c r="L196" s="3"/>
      <c r="M196" s="3" t="s">
        <v>131</v>
      </c>
      <c r="N196" s="3" t="str">
        <f>CONCATENATE("SRVNDR84C02A252U")</f>
        <v>SRVNDR84C02A252U</v>
      </c>
      <c r="O196" s="3" t="s">
        <v>296</v>
      </c>
      <c r="P196" s="3" t="s">
        <v>36</v>
      </c>
      <c r="Q196" s="3"/>
      <c r="R196" s="4">
        <v>45996</v>
      </c>
      <c r="S196" s="3" t="s">
        <v>37</v>
      </c>
      <c r="T196" s="3" t="s">
        <v>38</v>
      </c>
      <c r="U196" s="3" t="s">
        <v>39</v>
      </c>
      <c r="V196" s="3">
        <v>170.95</v>
      </c>
      <c r="W196" s="3">
        <v>72.650000000000006</v>
      </c>
      <c r="X196" s="3">
        <v>68.81</v>
      </c>
      <c r="Y196" s="3">
        <v>29.49</v>
      </c>
    </row>
    <row r="197" spans="1:25" ht="60.75" x14ac:dyDescent="0.25">
      <c r="A197" s="3" t="s">
        <v>26</v>
      </c>
      <c r="B197" s="3" t="s">
        <v>27</v>
      </c>
      <c r="C197" s="3" t="s">
        <v>28</v>
      </c>
      <c r="D197" s="3" t="s">
        <v>50</v>
      </c>
      <c r="E197" s="3" t="s">
        <v>173</v>
      </c>
      <c r="F197" s="3" t="s">
        <v>52</v>
      </c>
      <c r="G197" s="3" t="s">
        <v>173</v>
      </c>
      <c r="H197" s="3" t="s">
        <v>45</v>
      </c>
      <c r="I197" s="3">
        <v>2025</v>
      </c>
      <c r="J197" s="3" t="str">
        <f>CONCATENATE("54820025911")</f>
        <v>54820025911</v>
      </c>
      <c r="K197" s="3" t="s">
        <v>33</v>
      </c>
      <c r="L197" s="3"/>
      <c r="M197" s="3" t="s">
        <v>131</v>
      </c>
      <c r="N197" s="3" t="str">
        <f>CONCATENATE("CLSTNZ57D10F467C")</f>
        <v>CLSTNZ57D10F467C</v>
      </c>
      <c r="O197" s="3" t="s">
        <v>297</v>
      </c>
      <c r="P197" s="3" t="s">
        <v>36</v>
      </c>
      <c r="Q197" s="3"/>
      <c r="R197" s="4">
        <v>45996</v>
      </c>
      <c r="S197" s="3" t="s">
        <v>37</v>
      </c>
      <c r="T197" s="3" t="s">
        <v>38</v>
      </c>
      <c r="U197" s="3" t="s">
        <v>39</v>
      </c>
      <c r="V197" s="3">
        <v>196.12</v>
      </c>
      <c r="W197" s="3">
        <v>83.35</v>
      </c>
      <c r="X197" s="3">
        <v>78.94</v>
      </c>
      <c r="Y197" s="3">
        <v>33.83</v>
      </c>
    </row>
    <row r="198" spans="1:25" ht="36.75" x14ac:dyDescent="0.25">
      <c r="A198" s="3" t="s">
        <v>26</v>
      </c>
      <c r="B198" s="3" t="s">
        <v>27</v>
      </c>
      <c r="C198" s="3" t="s">
        <v>28</v>
      </c>
      <c r="D198" s="3" t="s">
        <v>50</v>
      </c>
      <c r="E198" s="3" t="s">
        <v>51</v>
      </c>
      <c r="F198" s="3" t="s">
        <v>52</v>
      </c>
      <c r="G198" s="3" t="s">
        <v>51</v>
      </c>
      <c r="H198" s="3" t="s">
        <v>48</v>
      </c>
      <c r="I198" s="3">
        <v>2025</v>
      </c>
      <c r="J198" s="3" t="str">
        <f>CONCATENATE("54820083852")</f>
        <v>54820083852</v>
      </c>
      <c r="K198" s="3" t="s">
        <v>33</v>
      </c>
      <c r="L198" s="3"/>
      <c r="M198" s="3" t="s">
        <v>131</v>
      </c>
      <c r="N198" s="3" t="str">
        <f>CONCATENATE("17682011006")</f>
        <v>17682011006</v>
      </c>
      <c r="O198" s="3" t="s">
        <v>298</v>
      </c>
      <c r="P198" s="3" t="s">
        <v>36</v>
      </c>
      <c r="Q198" s="3"/>
      <c r="R198" s="4">
        <v>45996</v>
      </c>
      <c r="S198" s="3" t="s">
        <v>37</v>
      </c>
      <c r="T198" s="3" t="s">
        <v>38</v>
      </c>
      <c r="U198" s="3" t="s">
        <v>39</v>
      </c>
      <c r="V198" s="3">
        <v>546.66999999999996</v>
      </c>
      <c r="W198" s="3">
        <v>232.33</v>
      </c>
      <c r="X198" s="3">
        <v>220.03</v>
      </c>
      <c r="Y198" s="3">
        <v>94.31</v>
      </c>
    </row>
    <row r="199" spans="1:25" ht="60.75" x14ac:dyDescent="0.25">
      <c r="A199" s="3" t="s">
        <v>26</v>
      </c>
      <c r="B199" s="3" t="s">
        <v>27</v>
      </c>
      <c r="C199" s="3" t="s">
        <v>28</v>
      </c>
      <c r="D199" s="3" t="s">
        <v>50</v>
      </c>
      <c r="E199" s="3" t="s">
        <v>173</v>
      </c>
      <c r="F199" s="3" t="s">
        <v>52</v>
      </c>
      <c r="G199" s="3" t="s">
        <v>173</v>
      </c>
      <c r="H199" s="3" t="s">
        <v>45</v>
      </c>
      <c r="I199" s="3">
        <v>2025</v>
      </c>
      <c r="J199" s="3" t="str">
        <f>CONCATENATE("54820032370")</f>
        <v>54820032370</v>
      </c>
      <c r="K199" s="3" t="s">
        <v>33</v>
      </c>
      <c r="L199" s="3"/>
      <c r="M199" s="3" t="s">
        <v>131</v>
      </c>
      <c r="N199" s="3" t="str">
        <f>CONCATENATE("SVRSLV63L24Z130Q")</f>
        <v>SVRSLV63L24Z130Q</v>
      </c>
      <c r="O199" s="3" t="s">
        <v>299</v>
      </c>
      <c r="P199" s="3" t="s">
        <v>36</v>
      </c>
      <c r="Q199" s="3"/>
      <c r="R199" s="4">
        <v>45996</v>
      </c>
      <c r="S199" s="3" t="s">
        <v>37</v>
      </c>
      <c r="T199" s="3" t="s">
        <v>38</v>
      </c>
      <c r="U199" s="3" t="s">
        <v>39</v>
      </c>
      <c r="V199" s="3">
        <v>55.08</v>
      </c>
      <c r="W199" s="3">
        <v>23.41</v>
      </c>
      <c r="X199" s="3">
        <v>22.17</v>
      </c>
      <c r="Y199" s="3">
        <v>9.5</v>
      </c>
    </row>
    <row r="200" spans="1:25" ht="36.75" x14ac:dyDescent="0.25">
      <c r="A200" s="3" t="s">
        <v>26</v>
      </c>
      <c r="B200" s="3" t="s">
        <v>27</v>
      </c>
      <c r="C200" s="3" t="s">
        <v>28</v>
      </c>
      <c r="D200" s="3" t="s">
        <v>40</v>
      </c>
      <c r="E200" s="3" t="s">
        <v>218</v>
      </c>
      <c r="F200" s="3" t="s">
        <v>42</v>
      </c>
      <c r="G200" s="3" t="s">
        <v>218</v>
      </c>
      <c r="H200" s="3" t="s">
        <v>45</v>
      </c>
      <c r="I200" s="3">
        <v>2025</v>
      </c>
      <c r="J200" s="3" t="str">
        <f>CONCATENATE("54820080601")</f>
        <v>54820080601</v>
      </c>
      <c r="K200" s="3" t="s">
        <v>33</v>
      </c>
      <c r="L200" s="3"/>
      <c r="M200" s="3" t="s">
        <v>131</v>
      </c>
      <c r="N200" s="3" t="str">
        <f>CONCATENATE("02688080411")</f>
        <v>02688080411</v>
      </c>
      <c r="O200" s="3" t="s">
        <v>300</v>
      </c>
      <c r="P200" s="3" t="s">
        <v>36</v>
      </c>
      <c r="Q200" s="3"/>
      <c r="R200" s="4">
        <v>45996</v>
      </c>
      <c r="S200" s="3" t="s">
        <v>37</v>
      </c>
      <c r="T200" s="3" t="s">
        <v>38</v>
      </c>
      <c r="U200" s="3" t="s">
        <v>39</v>
      </c>
      <c r="V200" s="3">
        <v>416.08</v>
      </c>
      <c r="W200" s="3">
        <v>176.83</v>
      </c>
      <c r="X200" s="3">
        <v>167.47</v>
      </c>
      <c r="Y200" s="3">
        <v>71.78</v>
      </c>
    </row>
    <row r="201" spans="1:25" ht="60.75" x14ac:dyDescent="0.25">
      <c r="A201" s="3" t="s">
        <v>26</v>
      </c>
      <c r="B201" s="3" t="s">
        <v>27</v>
      </c>
      <c r="C201" s="3" t="s">
        <v>28</v>
      </c>
      <c r="D201" s="3" t="s">
        <v>50</v>
      </c>
      <c r="E201" s="3" t="s">
        <v>173</v>
      </c>
      <c r="F201" s="3" t="s">
        <v>52</v>
      </c>
      <c r="G201" s="3" t="s">
        <v>173</v>
      </c>
      <c r="H201" s="3" t="s">
        <v>45</v>
      </c>
      <c r="I201" s="3">
        <v>2025</v>
      </c>
      <c r="J201" s="3" t="str">
        <f>CONCATENATE("54820061197")</f>
        <v>54820061197</v>
      </c>
      <c r="K201" s="3" t="s">
        <v>33</v>
      </c>
      <c r="L201" s="3"/>
      <c r="M201" s="3" t="s">
        <v>131</v>
      </c>
      <c r="N201" s="3" t="str">
        <f>CONCATENATE("VMRPGV65A42C523F")</f>
        <v>VMRPGV65A42C523F</v>
      </c>
      <c r="O201" s="3" t="s">
        <v>301</v>
      </c>
      <c r="P201" s="3" t="s">
        <v>36</v>
      </c>
      <c r="Q201" s="3"/>
      <c r="R201" s="4">
        <v>45996</v>
      </c>
      <c r="S201" s="3" t="s">
        <v>37</v>
      </c>
      <c r="T201" s="3" t="s">
        <v>38</v>
      </c>
      <c r="U201" s="3" t="s">
        <v>39</v>
      </c>
      <c r="V201" s="3">
        <v>515.24</v>
      </c>
      <c r="W201" s="3">
        <v>218.98</v>
      </c>
      <c r="X201" s="3">
        <v>207.38</v>
      </c>
      <c r="Y201" s="3">
        <v>88.88</v>
      </c>
    </row>
    <row r="202" spans="1:25" ht="60.75" x14ac:dyDescent="0.25">
      <c r="A202" s="3" t="s">
        <v>26</v>
      </c>
      <c r="B202" s="3" t="s">
        <v>27</v>
      </c>
      <c r="C202" s="3" t="s">
        <v>28</v>
      </c>
      <c r="D202" s="3" t="s">
        <v>50</v>
      </c>
      <c r="E202" s="3" t="s">
        <v>173</v>
      </c>
      <c r="F202" s="3" t="s">
        <v>52</v>
      </c>
      <c r="G202" s="3" t="s">
        <v>173</v>
      </c>
      <c r="H202" s="3" t="s">
        <v>45</v>
      </c>
      <c r="I202" s="3">
        <v>2025</v>
      </c>
      <c r="J202" s="3" t="str">
        <f>CONCATENATE("54820070925")</f>
        <v>54820070925</v>
      </c>
      <c r="K202" s="3" t="s">
        <v>33</v>
      </c>
      <c r="L202" s="3"/>
      <c r="M202" s="3" t="s">
        <v>131</v>
      </c>
      <c r="N202" s="3" t="str">
        <f>CONCATENATE("GLNFRC55L17I459O")</f>
        <v>GLNFRC55L17I459O</v>
      </c>
      <c r="O202" s="3" t="s">
        <v>302</v>
      </c>
      <c r="P202" s="3" t="s">
        <v>36</v>
      </c>
      <c r="Q202" s="3"/>
      <c r="R202" s="4">
        <v>45996</v>
      </c>
      <c r="S202" s="3" t="s">
        <v>37</v>
      </c>
      <c r="T202" s="3" t="s">
        <v>38</v>
      </c>
      <c r="U202" s="3" t="s">
        <v>39</v>
      </c>
      <c r="V202" s="3">
        <v>124.94</v>
      </c>
      <c r="W202" s="3">
        <v>53.1</v>
      </c>
      <c r="X202" s="3">
        <v>50.29</v>
      </c>
      <c r="Y202" s="3">
        <v>21.55</v>
      </c>
    </row>
    <row r="203" spans="1:25" ht="60.75" x14ac:dyDescent="0.25">
      <c r="A203" s="3" t="s">
        <v>26</v>
      </c>
      <c r="B203" s="3" t="s">
        <v>27</v>
      </c>
      <c r="C203" s="3" t="s">
        <v>28</v>
      </c>
      <c r="D203" s="3" t="s">
        <v>29</v>
      </c>
      <c r="E203" s="3" t="s">
        <v>228</v>
      </c>
      <c r="F203" s="3" t="s">
        <v>31</v>
      </c>
      <c r="G203" s="3" t="s">
        <v>228</v>
      </c>
      <c r="H203" s="3" t="s">
        <v>45</v>
      </c>
      <c r="I203" s="3">
        <v>2025</v>
      </c>
      <c r="J203" s="3" t="str">
        <f>CONCATENATE("54820031745")</f>
        <v>54820031745</v>
      </c>
      <c r="K203" s="3" t="s">
        <v>33</v>
      </c>
      <c r="L203" s="3"/>
      <c r="M203" s="3" t="s">
        <v>131</v>
      </c>
      <c r="N203" s="3" t="str">
        <f>CONCATENATE("BRRMRC77M30D749I")</f>
        <v>BRRMRC77M30D749I</v>
      </c>
      <c r="O203" s="3" t="s">
        <v>303</v>
      </c>
      <c r="P203" s="3" t="s">
        <v>36</v>
      </c>
      <c r="Q203" s="3"/>
      <c r="R203" s="4">
        <v>45996</v>
      </c>
      <c r="S203" s="3" t="s">
        <v>37</v>
      </c>
      <c r="T203" s="3" t="s">
        <v>38</v>
      </c>
      <c r="U203" s="3" t="s">
        <v>39</v>
      </c>
      <c r="V203" s="3">
        <v>64.39</v>
      </c>
      <c r="W203" s="3">
        <v>27.37</v>
      </c>
      <c r="X203" s="3">
        <v>25.92</v>
      </c>
      <c r="Y203" s="3">
        <v>11.1</v>
      </c>
    </row>
    <row r="204" spans="1:25" ht="36.75" x14ac:dyDescent="0.25">
      <c r="A204" s="3" t="s">
        <v>26</v>
      </c>
      <c r="B204" s="3" t="s">
        <v>27</v>
      </c>
      <c r="C204" s="3" t="s">
        <v>28</v>
      </c>
      <c r="D204" s="3" t="s">
        <v>50</v>
      </c>
      <c r="E204" s="3" t="s">
        <v>51</v>
      </c>
      <c r="F204" s="3" t="s">
        <v>52</v>
      </c>
      <c r="G204" s="3" t="s">
        <v>51</v>
      </c>
      <c r="H204" s="3" t="s">
        <v>48</v>
      </c>
      <c r="I204" s="3">
        <v>2025</v>
      </c>
      <c r="J204" s="3" t="str">
        <f>CONCATENATE("54820070057")</f>
        <v>54820070057</v>
      </c>
      <c r="K204" s="3" t="s">
        <v>33</v>
      </c>
      <c r="L204" s="3"/>
      <c r="M204" s="3" t="s">
        <v>131</v>
      </c>
      <c r="N204" s="3" t="str">
        <f>CONCATENATE("02627340421")</f>
        <v>02627340421</v>
      </c>
      <c r="O204" s="3" t="s">
        <v>304</v>
      </c>
      <c r="P204" s="3" t="s">
        <v>36</v>
      </c>
      <c r="Q204" s="3"/>
      <c r="R204" s="4">
        <v>45996</v>
      </c>
      <c r="S204" s="3" t="s">
        <v>37</v>
      </c>
      <c r="T204" s="3" t="s">
        <v>38</v>
      </c>
      <c r="U204" s="3" t="s">
        <v>39</v>
      </c>
      <c r="V204" s="3">
        <v>152.01</v>
      </c>
      <c r="W204" s="3">
        <v>64.599999999999994</v>
      </c>
      <c r="X204" s="3">
        <v>61.18</v>
      </c>
      <c r="Y204" s="3">
        <v>26.23</v>
      </c>
    </row>
    <row r="205" spans="1:25" ht="60.75" x14ac:dyDescent="0.25">
      <c r="A205" s="3" t="s">
        <v>26</v>
      </c>
      <c r="B205" s="3" t="s">
        <v>27</v>
      </c>
      <c r="C205" s="3" t="s">
        <v>28</v>
      </c>
      <c r="D205" s="3" t="s">
        <v>40</v>
      </c>
      <c r="E205" s="3" t="s">
        <v>287</v>
      </c>
      <c r="F205" s="3" t="s">
        <v>42</v>
      </c>
      <c r="G205" s="3" t="s">
        <v>287</v>
      </c>
      <c r="H205" s="3" t="s">
        <v>32</v>
      </c>
      <c r="I205" s="3">
        <v>2025</v>
      </c>
      <c r="J205" s="3" t="str">
        <f>CONCATENATE("54820016332")</f>
        <v>54820016332</v>
      </c>
      <c r="K205" s="3" t="s">
        <v>33</v>
      </c>
      <c r="L205" s="3"/>
      <c r="M205" s="3" t="s">
        <v>131</v>
      </c>
      <c r="N205" s="3" t="str">
        <f>CONCATENATE("LCRLSS77L26B474W")</f>
        <v>LCRLSS77L26B474W</v>
      </c>
      <c r="O205" s="3" t="s">
        <v>305</v>
      </c>
      <c r="P205" s="3" t="s">
        <v>36</v>
      </c>
      <c r="Q205" s="3"/>
      <c r="R205" s="4">
        <v>45996</v>
      </c>
      <c r="S205" s="3" t="s">
        <v>37</v>
      </c>
      <c r="T205" s="3" t="s">
        <v>38</v>
      </c>
      <c r="U205" s="3" t="s">
        <v>39</v>
      </c>
      <c r="V205" s="3">
        <v>47.75</v>
      </c>
      <c r="W205" s="3">
        <v>20.29</v>
      </c>
      <c r="X205" s="3">
        <v>19.22</v>
      </c>
      <c r="Y205" s="3">
        <v>8.24</v>
      </c>
    </row>
    <row r="206" spans="1:25" ht="72.75" x14ac:dyDescent="0.25">
      <c r="A206" s="3" t="s">
        <v>26</v>
      </c>
      <c r="B206" s="3" t="s">
        <v>27</v>
      </c>
      <c r="C206" s="3" t="s">
        <v>28</v>
      </c>
      <c r="D206" s="3" t="s">
        <v>50</v>
      </c>
      <c r="E206" s="3" t="s">
        <v>252</v>
      </c>
      <c r="F206" s="3" t="s">
        <v>52</v>
      </c>
      <c r="G206" s="3" t="s">
        <v>252</v>
      </c>
      <c r="H206" s="3" t="s">
        <v>45</v>
      </c>
      <c r="I206" s="3">
        <v>2025</v>
      </c>
      <c r="J206" s="3" t="str">
        <f>CONCATENATE("54820189121")</f>
        <v>54820189121</v>
      </c>
      <c r="K206" s="3" t="s">
        <v>33</v>
      </c>
      <c r="L206" s="3"/>
      <c r="M206" s="3" t="s">
        <v>131</v>
      </c>
      <c r="N206" s="3" t="str">
        <f>CONCATENATE("CLMLGO47D61B352R")</f>
        <v>CLMLGO47D61B352R</v>
      </c>
      <c r="O206" s="3" t="s">
        <v>306</v>
      </c>
      <c r="P206" s="3" t="s">
        <v>36</v>
      </c>
      <c r="Q206" s="3"/>
      <c r="R206" s="4">
        <v>45996</v>
      </c>
      <c r="S206" s="3" t="s">
        <v>37</v>
      </c>
      <c r="T206" s="3" t="s">
        <v>38</v>
      </c>
      <c r="U206" s="3" t="s">
        <v>39</v>
      </c>
      <c r="V206" s="3">
        <v>84.96</v>
      </c>
      <c r="W206" s="3">
        <v>36.11</v>
      </c>
      <c r="X206" s="3">
        <v>34.200000000000003</v>
      </c>
      <c r="Y206" s="3">
        <v>14.65</v>
      </c>
    </row>
    <row r="207" spans="1:25" ht="36.75" x14ac:dyDescent="0.25">
      <c r="A207" s="3" t="s">
        <v>26</v>
      </c>
      <c r="B207" s="3" t="s">
        <v>27</v>
      </c>
      <c r="C207" s="3" t="s">
        <v>28</v>
      </c>
      <c r="D207" s="3" t="s">
        <v>50</v>
      </c>
      <c r="E207" s="3" t="s">
        <v>60</v>
      </c>
      <c r="F207" s="3" t="s">
        <v>52</v>
      </c>
      <c r="G207" s="3" t="s">
        <v>60</v>
      </c>
      <c r="H207" s="3" t="s">
        <v>45</v>
      </c>
      <c r="I207" s="3">
        <v>2025</v>
      </c>
      <c r="J207" s="3" t="str">
        <f>CONCATENATE("54820137625")</f>
        <v>54820137625</v>
      </c>
      <c r="K207" s="3" t="s">
        <v>33</v>
      </c>
      <c r="L207" s="3"/>
      <c r="M207" s="3" t="s">
        <v>131</v>
      </c>
      <c r="N207" s="3" t="str">
        <f>CONCATENATE("01052890413")</f>
        <v>01052890413</v>
      </c>
      <c r="O207" s="3" t="s">
        <v>307</v>
      </c>
      <c r="P207" s="3" t="s">
        <v>36</v>
      </c>
      <c r="Q207" s="3"/>
      <c r="R207" s="4">
        <v>45996</v>
      </c>
      <c r="S207" s="3" t="s">
        <v>37</v>
      </c>
      <c r="T207" s="3" t="s">
        <v>38</v>
      </c>
      <c r="U207" s="3" t="s">
        <v>39</v>
      </c>
      <c r="V207" s="3">
        <v>569.29</v>
      </c>
      <c r="W207" s="3">
        <v>241.95</v>
      </c>
      <c r="X207" s="3">
        <v>229.14</v>
      </c>
      <c r="Y207" s="3">
        <v>98.2</v>
      </c>
    </row>
    <row r="208" spans="1:25" ht="36.75" x14ac:dyDescent="0.25">
      <c r="A208" s="3" t="s">
        <v>26</v>
      </c>
      <c r="B208" s="3" t="s">
        <v>27</v>
      </c>
      <c r="C208" s="3" t="s">
        <v>28</v>
      </c>
      <c r="D208" s="3" t="s">
        <v>50</v>
      </c>
      <c r="E208" s="3" t="s">
        <v>60</v>
      </c>
      <c r="F208" s="3" t="s">
        <v>52</v>
      </c>
      <c r="G208" s="3" t="s">
        <v>60</v>
      </c>
      <c r="H208" s="3" t="s">
        <v>45</v>
      </c>
      <c r="I208" s="3">
        <v>2025</v>
      </c>
      <c r="J208" s="3" t="str">
        <f>CONCATENATE("54820137781")</f>
        <v>54820137781</v>
      </c>
      <c r="K208" s="3" t="s">
        <v>33</v>
      </c>
      <c r="L208" s="3"/>
      <c r="M208" s="3" t="s">
        <v>131</v>
      </c>
      <c r="N208" s="3" t="str">
        <f>CONCATENATE("02477900415")</f>
        <v>02477900415</v>
      </c>
      <c r="O208" s="3" t="s">
        <v>308</v>
      </c>
      <c r="P208" s="3" t="s">
        <v>36</v>
      </c>
      <c r="Q208" s="3"/>
      <c r="R208" s="4">
        <v>45996</v>
      </c>
      <c r="S208" s="3" t="s">
        <v>37</v>
      </c>
      <c r="T208" s="3" t="s">
        <v>38</v>
      </c>
      <c r="U208" s="3" t="s">
        <v>39</v>
      </c>
      <c r="V208" s="3">
        <v>365.67</v>
      </c>
      <c r="W208" s="3">
        <v>155.41</v>
      </c>
      <c r="X208" s="3">
        <v>147.18</v>
      </c>
      <c r="Y208" s="3">
        <v>63.08</v>
      </c>
    </row>
    <row r="209" spans="1:25" ht="60.75" x14ac:dyDescent="0.25">
      <c r="A209" s="3" t="s">
        <v>26</v>
      </c>
      <c r="B209" s="3" t="s">
        <v>27</v>
      </c>
      <c r="C209" s="3" t="s">
        <v>28</v>
      </c>
      <c r="D209" s="3" t="s">
        <v>29</v>
      </c>
      <c r="E209" s="3" t="s">
        <v>56</v>
      </c>
      <c r="F209" s="3" t="s">
        <v>31</v>
      </c>
      <c r="G209" s="3" t="s">
        <v>56</v>
      </c>
      <c r="H209" s="3" t="s">
        <v>48</v>
      </c>
      <c r="I209" s="3">
        <v>2025</v>
      </c>
      <c r="J209" s="3" t="str">
        <f>CONCATENATE("54820189519")</f>
        <v>54820189519</v>
      </c>
      <c r="K209" s="3" t="s">
        <v>33</v>
      </c>
      <c r="L209" s="3"/>
      <c r="M209" s="3" t="s">
        <v>131</v>
      </c>
      <c r="N209" s="3" t="str">
        <f>CONCATENATE("TRTRNN46S55C524K")</f>
        <v>TRTRNN46S55C524K</v>
      </c>
      <c r="O209" s="3" t="s">
        <v>309</v>
      </c>
      <c r="P209" s="3" t="s">
        <v>36</v>
      </c>
      <c r="Q209" s="3"/>
      <c r="R209" s="4">
        <v>45996</v>
      </c>
      <c r="S209" s="3" t="s">
        <v>37</v>
      </c>
      <c r="T209" s="3" t="s">
        <v>38</v>
      </c>
      <c r="U209" s="3" t="s">
        <v>39</v>
      </c>
      <c r="V209" s="3">
        <v>127.43</v>
      </c>
      <c r="W209" s="3">
        <v>54.16</v>
      </c>
      <c r="X209" s="3">
        <v>51.29</v>
      </c>
      <c r="Y209" s="3">
        <v>21.98</v>
      </c>
    </row>
    <row r="210" spans="1:25" ht="60.75" x14ac:dyDescent="0.25">
      <c r="A210" s="3" t="s">
        <v>26</v>
      </c>
      <c r="B210" s="3" t="s">
        <v>27</v>
      </c>
      <c r="C210" s="3" t="s">
        <v>28</v>
      </c>
      <c r="D210" s="3" t="s">
        <v>157</v>
      </c>
      <c r="E210" s="3" t="s">
        <v>310</v>
      </c>
      <c r="F210" s="3" t="s">
        <v>159</v>
      </c>
      <c r="G210" s="3" t="s">
        <v>310</v>
      </c>
      <c r="H210" s="3" t="s">
        <v>96</v>
      </c>
      <c r="I210" s="3">
        <v>2025</v>
      </c>
      <c r="J210" s="3" t="str">
        <f>CONCATENATE("54820193529")</f>
        <v>54820193529</v>
      </c>
      <c r="K210" s="3" t="s">
        <v>33</v>
      </c>
      <c r="L210" s="3"/>
      <c r="M210" s="3" t="s">
        <v>131</v>
      </c>
      <c r="N210" s="3" t="str">
        <f>CONCATENATE("CRCLRA77P50A462V")</f>
        <v>CRCLRA77P50A462V</v>
      </c>
      <c r="O210" s="3" t="s">
        <v>311</v>
      </c>
      <c r="P210" s="3" t="s">
        <v>36</v>
      </c>
      <c r="Q210" s="3"/>
      <c r="R210" s="4">
        <v>45996</v>
      </c>
      <c r="S210" s="3" t="s">
        <v>37</v>
      </c>
      <c r="T210" s="3" t="s">
        <v>38</v>
      </c>
      <c r="U210" s="3" t="s">
        <v>39</v>
      </c>
      <c r="V210" s="3">
        <v>240.96</v>
      </c>
      <c r="W210" s="3">
        <v>102.41</v>
      </c>
      <c r="X210" s="3">
        <v>96.99</v>
      </c>
      <c r="Y210" s="3">
        <v>41.56</v>
      </c>
    </row>
    <row r="211" spans="1:25" ht="36.75" x14ac:dyDescent="0.25">
      <c r="A211" s="3" t="s">
        <v>26</v>
      </c>
      <c r="B211" s="3" t="s">
        <v>27</v>
      </c>
      <c r="C211" s="3" t="s">
        <v>28</v>
      </c>
      <c r="D211" s="3" t="s">
        <v>312</v>
      </c>
      <c r="E211" s="3" t="s">
        <v>313</v>
      </c>
      <c r="F211" s="3" t="s">
        <v>314</v>
      </c>
      <c r="G211" s="3" t="s">
        <v>313</v>
      </c>
      <c r="H211" s="3" t="s">
        <v>96</v>
      </c>
      <c r="I211" s="3">
        <v>2025</v>
      </c>
      <c r="J211" s="3" t="str">
        <f>CONCATENATE("54820254164")</f>
        <v>54820254164</v>
      </c>
      <c r="K211" s="3" t="s">
        <v>33</v>
      </c>
      <c r="L211" s="3"/>
      <c r="M211" s="3" t="s">
        <v>131</v>
      </c>
      <c r="N211" s="3" t="str">
        <f>CONCATENATE("02366910442")</f>
        <v>02366910442</v>
      </c>
      <c r="O211" s="3" t="s">
        <v>315</v>
      </c>
      <c r="P211" s="3" t="s">
        <v>36</v>
      </c>
      <c r="Q211" s="3"/>
      <c r="R211" s="4">
        <v>45996</v>
      </c>
      <c r="S211" s="3" t="s">
        <v>37</v>
      </c>
      <c r="T211" s="3" t="s">
        <v>38</v>
      </c>
      <c r="U211" s="3" t="s">
        <v>39</v>
      </c>
      <c r="V211" s="3">
        <v>822.14</v>
      </c>
      <c r="W211" s="3">
        <v>349.41</v>
      </c>
      <c r="X211" s="3">
        <v>330.91</v>
      </c>
      <c r="Y211" s="3">
        <v>141.82</v>
      </c>
    </row>
    <row r="212" spans="1:25" ht="36.75" x14ac:dyDescent="0.25">
      <c r="A212" s="3" t="s">
        <v>26</v>
      </c>
      <c r="B212" s="3" t="s">
        <v>27</v>
      </c>
      <c r="C212" s="3" t="s">
        <v>28</v>
      </c>
      <c r="D212" s="3" t="s">
        <v>91</v>
      </c>
      <c r="E212" s="3" t="s">
        <v>95</v>
      </c>
      <c r="F212" s="3" t="s">
        <v>93</v>
      </c>
      <c r="G212" s="3" t="s">
        <v>95</v>
      </c>
      <c r="H212" s="3" t="s">
        <v>96</v>
      </c>
      <c r="I212" s="3">
        <v>2025</v>
      </c>
      <c r="J212" s="3" t="str">
        <f>CONCATENATE("54820069695")</f>
        <v>54820069695</v>
      </c>
      <c r="K212" s="3" t="s">
        <v>33</v>
      </c>
      <c r="L212" s="3"/>
      <c r="M212" s="3" t="s">
        <v>131</v>
      </c>
      <c r="N212" s="3" t="str">
        <f>CONCATENATE("02205950443")</f>
        <v>02205950443</v>
      </c>
      <c r="O212" s="3" t="s">
        <v>316</v>
      </c>
      <c r="P212" s="3" t="s">
        <v>36</v>
      </c>
      <c r="Q212" s="3"/>
      <c r="R212" s="4">
        <v>45996</v>
      </c>
      <c r="S212" s="3" t="s">
        <v>37</v>
      </c>
      <c r="T212" s="3" t="s">
        <v>38</v>
      </c>
      <c r="U212" s="3" t="s">
        <v>39</v>
      </c>
      <c r="V212" s="3">
        <v>193.54</v>
      </c>
      <c r="W212" s="3">
        <v>82.25</v>
      </c>
      <c r="X212" s="3">
        <v>77.900000000000006</v>
      </c>
      <c r="Y212" s="3">
        <v>33.39</v>
      </c>
    </row>
    <row r="213" spans="1:25" ht="60.75" x14ac:dyDescent="0.25">
      <c r="A213" s="3" t="s">
        <v>26</v>
      </c>
      <c r="B213" s="3" t="s">
        <v>27</v>
      </c>
      <c r="C213" s="3" t="s">
        <v>28</v>
      </c>
      <c r="D213" s="3" t="s">
        <v>29</v>
      </c>
      <c r="E213" s="3" t="s">
        <v>47</v>
      </c>
      <c r="F213" s="3" t="s">
        <v>31</v>
      </c>
      <c r="G213" s="3" t="s">
        <v>47</v>
      </c>
      <c r="H213" s="3" t="s">
        <v>48</v>
      </c>
      <c r="I213" s="3">
        <v>2025</v>
      </c>
      <c r="J213" s="3" t="str">
        <f>CONCATENATE("54820192224")</f>
        <v>54820192224</v>
      </c>
      <c r="K213" s="3" t="s">
        <v>33</v>
      </c>
      <c r="L213" s="3"/>
      <c r="M213" s="3" t="s">
        <v>131</v>
      </c>
      <c r="N213" s="3" t="str">
        <f>CONCATENATE("CRSNLL47D28D965T")</f>
        <v>CRSNLL47D28D965T</v>
      </c>
      <c r="O213" s="3" t="s">
        <v>317</v>
      </c>
      <c r="P213" s="3" t="s">
        <v>36</v>
      </c>
      <c r="Q213" s="3"/>
      <c r="R213" s="4">
        <v>45996</v>
      </c>
      <c r="S213" s="3" t="s">
        <v>37</v>
      </c>
      <c r="T213" s="3" t="s">
        <v>38</v>
      </c>
      <c r="U213" s="3" t="s">
        <v>39</v>
      </c>
      <c r="V213" s="3">
        <v>80.84</v>
      </c>
      <c r="W213" s="3">
        <v>34.36</v>
      </c>
      <c r="X213" s="3">
        <v>32.54</v>
      </c>
      <c r="Y213" s="3">
        <v>13.94</v>
      </c>
    </row>
    <row r="214" spans="1:25" ht="60.75" x14ac:dyDescent="0.25">
      <c r="A214" s="3" t="s">
        <v>26</v>
      </c>
      <c r="B214" s="3" t="s">
        <v>27</v>
      </c>
      <c r="C214" s="3" t="s">
        <v>28</v>
      </c>
      <c r="D214" s="3" t="s">
        <v>50</v>
      </c>
      <c r="E214" s="3" t="s">
        <v>51</v>
      </c>
      <c r="F214" s="3" t="s">
        <v>52</v>
      </c>
      <c r="G214" s="3" t="s">
        <v>51</v>
      </c>
      <c r="H214" s="3" t="s">
        <v>48</v>
      </c>
      <c r="I214" s="3">
        <v>2025</v>
      </c>
      <c r="J214" s="3" t="str">
        <f>CONCATENATE("54820068937")</f>
        <v>54820068937</v>
      </c>
      <c r="K214" s="3" t="s">
        <v>33</v>
      </c>
      <c r="L214" s="3"/>
      <c r="M214" s="3" t="s">
        <v>131</v>
      </c>
      <c r="N214" s="3" t="str">
        <f>CONCATENATE("BCLPRM43B14A366N")</f>
        <v>BCLPRM43B14A366N</v>
      </c>
      <c r="O214" s="3" t="s">
        <v>318</v>
      </c>
      <c r="P214" s="3" t="s">
        <v>36</v>
      </c>
      <c r="Q214" s="3"/>
      <c r="R214" s="4">
        <v>45996</v>
      </c>
      <c r="S214" s="3" t="s">
        <v>37</v>
      </c>
      <c r="T214" s="3" t="s">
        <v>38</v>
      </c>
      <c r="U214" s="3" t="s">
        <v>39</v>
      </c>
      <c r="V214" s="3">
        <v>263.47000000000003</v>
      </c>
      <c r="W214" s="3">
        <v>111.97</v>
      </c>
      <c r="X214" s="3">
        <v>106.05</v>
      </c>
      <c r="Y214" s="3">
        <v>45.45</v>
      </c>
    </row>
    <row r="215" spans="1:25" ht="72.75" x14ac:dyDescent="0.25">
      <c r="A215" s="3" t="s">
        <v>26</v>
      </c>
      <c r="B215" s="3" t="s">
        <v>27</v>
      </c>
      <c r="C215" s="3" t="s">
        <v>28</v>
      </c>
      <c r="D215" s="3" t="s">
        <v>29</v>
      </c>
      <c r="E215" s="3" t="s">
        <v>119</v>
      </c>
      <c r="F215" s="3" t="s">
        <v>31</v>
      </c>
      <c r="G215" s="3" t="s">
        <v>119</v>
      </c>
      <c r="H215" s="3" t="s">
        <v>96</v>
      </c>
      <c r="I215" s="3">
        <v>2025</v>
      </c>
      <c r="J215" s="3" t="str">
        <f>CONCATENATE("54820074984")</f>
        <v>54820074984</v>
      </c>
      <c r="K215" s="3" t="s">
        <v>33</v>
      </c>
      <c r="L215" s="3"/>
      <c r="M215" s="3" t="s">
        <v>131</v>
      </c>
      <c r="N215" s="3" t="str">
        <f>CONCATENATE("MSLFNC86M28A252Q")</f>
        <v>MSLFNC86M28A252Q</v>
      </c>
      <c r="O215" s="3" t="s">
        <v>319</v>
      </c>
      <c r="P215" s="3" t="s">
        <v>36</v>
      </c>
      <c r="Q215" s="3"/>
      <c r="R215" s="4">
        <v>45996</v>
      </c>
      <c r="S215" s="3" t="s">
        <v>37</v>
      </c>
      <c r="T215" s="3" t="s">
        <v>38</v>
      </c>
      <c r="U215" s="3" t="s">
        <v>39</v>
      </c>
      <c r="V215" s="3">
        <v>420.43</v>
      </c>
      <c r="W215" s="3">
        <v>178.68</v>
      </c>
      <c r="X215" s="3">
        <v>169.22</v>
      </c>
      <c r="Y215" s="3">
        <v>72.53</v>
      </c>
    </row>
    <row r="216" spans="1:25" ht="60.75" x14ac:dyDescent="0.25">
      <c r="A216" s="3" t="s">
        <v>26</v>
      </c>
      <c r="B216" s="3" t="s">
        <v>27</v>
      </c>
      <c r="C216" s="3" t="s">
        <v>28</v>
      </c>
      <c r="D216" s="3" t="s">
        <v>29</v>
      </c>
      <c r="E216" s="3" t="s">
        <v>101</v>
      </c>
      <c r="F216" s="3" t="s">
        <v>31</v>
      </c>
      <c r="G216" s="3" t="s">
        <v>101</v>
      </c>
      <c r="H216" s="3" t="s">
        <v>32</v>
      </c>
      <c r="I216" s="3">
        <v>2025</v>
      </c>
      <c r="J216" s="3" t="str">
        <f>CONCATENATE("54820020458")</f>
        <v>54820020458</v>
      </c>
      <c r="K216" s="3" t="s">
        <v>33</v>
      </c>
      <c r="L216" s="3"/>
      <c r="M216" s="3" t="s">
        <v>131</v>
      </c>
      <c r="N216" s="3" t="str">
        <f>CONCATENATE("RSLGPT43T27B562Y")</f>
        <v>RSLGPT43T27B562Y</v>
      </c>
      <c r="O216" s="3" t="s">
        <v>320</v>
      </c>
      <c r="P216" s="3" t="s">
        <v>36</v>
      </c>
      <c r="Q216" s="3"/>
      <c r="R216" s="4">
        <v>45996</v>
      </c>
      <c r="S216" s="3" t="s">
        <v>37</v>
      </c>
      <c r="T216" s="3" t="s">
        <v>38</v>
      </c>
      <c r="U216" s="3" t="s">
        <v>39</v>
      </c>
      <c r="V216" s="3">
        <v>216.93</v>
      </c>
      <c r="W216" s="3">
        <v>92.2</v>
      </c>
      <c r="X216" s="3">
        <v>87.31</v>
      </c>
      <c r="Y216" s="3">
        <v>37.42</v>
      </c>
    </row>
    <row r="217" spans="1:25" ht="60.75" x14ac:dyDescent="0.25">
      <c r="A217" s="3" t="s">
        <v>26</v>
      </c>
      <c r="B217" s="3" t="s">
        <v>27</v>
      </c>
      <c r="C217" s="3" t="s">
        <v>28</v>
      </c>
      <c r="D217" s="3" t="s">
        <v>29</v>
      </c>
      <c r="E217" s="3" t="s">
        <v>136</v>
      </c>
      <c r="F217" s="3" t="s">
        <v>31</v>
      </c>
      <c r="G217" s="3" t="s">
        <v>136</v>
      </c>
      <c r="H217" s="3" t="s">
        <v>48</v>
      </c>
      <c r="I217" s="3">
        <v>2025</v>
      </c>
      <c r="J217" s="3" t="str">
        <f>CONCATENATE("54820120688")</f>
        <v>54820120688</v>
      </c>
      <c r="K217" s="3" t="s">
        <v>33</v>
      </c>
      <c r="L217" s="3"/>
      <c r="M217" s="3" t="s">
        <v>131</v>
      </c>
      <c r="N217" s="3" t="str">
        <f>CONCATENATE("PLLRNT53P30D965K")</f>
        <v>PLLRNT53P30D965K</v>
      </c>
      <c r="O217" s="3" t="s">
        <v>321</v>
      </c>
      <c r="P217" s="3" t="s">
        <v>36</v>
      </c>
      <c r="Q217" s="3"/>
      <c r="R217" s="4">
        <v>45996</v>
      </c>
      <c r="S217" s="3" t="s">
        <v>37</v>
      </c>
      <c r="T217" s="3" t="s">
        <v>38</v>
      </c>
      <c r="U217" s="3" t="s">
        <v>39</v>
      </c>
      <c r="V217" s="3">
        <v>56.98</v>
      </c>
      <c r="W217" s="3">
        <v>24.22</v>
      </c>
      <c r="X217" s="3">
        <v>22.93</v>
      </c>
      <c r="Y217" s="3">
        <v>9.83</v>
      </c>
    </row>
    <row r="218" spans="1:25" ht="60.75" x14ac:dyDescent="0.25">
      <c r="A218" s="3" t="s">
        <v>26</v>
      </c>
      <c r="B218" s="3" t="s">
        <v>27</v>
      </c>
      <c r="C218" s="3" t="s">
        <v>28</v>
      </c>
      <c r="D218" s="3" t="s">
        <v>29</v>
      </c>
      <c r="E218" s="3" t="s">
        <v>72</v>
      </c>
      <c r="F218" s="3" t="s">
        <v>31</v>
      </c>
      <c r="G218" s="3" t="s">
        <v>72</v>
      </c>
      <c r="H218" s="3" t="s">
        <v>45</v>
      </c>
      <c r="I218" s="3">
        <v>2025</v>
      </c>
      <c r="J218" s="3" t="str">
        <f>CONCATENATE("54820080973")</f>
        <v>54820080973</v>
      </c>
      <c r="K218" s="3" t="s">
        <v>33</v>
      </c>
      <c r="L218" s="3"/>
      <c r="M218" s="3" t="s">
        <v>131</v>
      </c>
      <c r="N218" s="3" t="str">
        <f>CONCATENATE("BNDGFR55E23B352G")</f>
        <v>BNDGFR55E23B352G</v>
      </c>
      <c r="O218" s="3" t="s">
        <v>322</v>
      </c>
      <c r="P218" s="3" t="s">
        <v>36</v>
      </c>
      <c r="Q218" s="3"/>
      <c r="R218" s="4">
        <v>45996</v>
      </c>
      <c r="S218" s="3" t="s">
        <v>37</v>
      </c>
      <c r="T218" s="3" t="s">
        <v>38</v>
      </c>
      <c r="U218" s="3" t="s">
        <v>39</v>
      </c>
      <c r="V218" s="3">
        <v>188.35</v>
      </c>
      <c r="W218" s="3">
        <v>80.05</v>
      </c>
      <c r="X218" s="3">
        <v>75.81</v>
      </c>
      <c r="Y218" s="3">
        <v>32.49</v>
      </c>
    </row>
    <row r="219" spans="1:25" ht="60.75" x14ac:dyDescent="0.25">
      <c r="A219" s="3" t="s">
        <v>26</v>
      </c>
      <c r="B219" s="3" t="s">
        <v>27</v>
      </c>
      <c r="C219" s="3" t="s">
        <v>28</v>
      </c>
      <c r="D219" s="3" t="s">
        <v>50</v>
      </c>
      <c r="E219" s="3" t="s">
        <v>147</v>
      </c>
      <c r="F219" s="3" t="s">
        <v>52</v>
      </c>
      <c r="G219" s="3" t="s">
        <v>147</v>
      </c>
      <c r="H219" s="3" t="s">
        <v>45</v>
      </c>
      <c r="I219" s="3">
        <v>2025</v>
      </c>
      <c r="J219" s="3" t="str">
        <f>CONCATENATE("54820115357")</f>
        <v>54820115357</v>
      </c>
      <c r="K219" s="3" t="s">
        <v>33</v>
      </c>
      <c r="L219" s="3"/>
      <c r="M219" s="3" t="s">
        <v>131</v>
      </c>
      <c r="N219" s="3" t="str">
        <f>CONCATENATE("QDRDNL84P24I459B")</f>
        <v>QDRDNL84P24I459B</v>
      </c>
      <c r="O219" s="3" t="s">
        <v>323</v>
      </c>
      <c r="P219" s="3" t="s">
        <v>36</v>
      </c>
      <c r="Q219" s="3"/>
      <c r="R219" s="4">
        <v>45996</v>
      </c>
      <c r="S219" s="3" t="s">
        <v>37</v>
      </c>
      <c r="T219" s="3" t="s">
        <v>38</v>
      </c>
      <c r="U219" s="3" t="s">
        <v>39</v>
      </c>
      <c r="V219" s="3">
        <v>142.57</v>
      </c>
      <c r="W219" s="3">
        <v>60.59</v>
      </c>
      <c r="X219" s="3">
        <v>57.38</v>
      </c>
      <c r="Y219" s="3">
        <v>24.6</v>
      </c>
    </row>
    <row r="220" spans="1:25" ht="60.75" x14ac:dyDescent="0.25">
      <c r="A220" s="3" t="s">
        <v>26</v>
      </c>
      <c r="B220" s="3" t="s">
        <v>27</v>
      </c>
      <c r="C220" s="3" t="s">
        <v>28</v>
      </c>
      <c r="D220" s="3" t="s">
        <v>50</v>
      </c>
      <c r="E220" s="3" t="s">
        <v>60</v>
      </c>
      <c r="F220" s="3" t="s">
        <v>52</v>
      </c>
      <c r="G220" s="3" t="s">
        <v>60</v>
      </c>
      <c r="H220" s="3" t="s">
        <v>45</v>
      </c>
      <c r="I220" s="3">
        <v>2025</v>
      </c>
      <c r="J220" s="3" t="str">
        <f>CONCATENATE("54820119433")</f>
        <v>54820119433</v>
      </c>
      <c r="K220" s="3" t="s">
        <v>33</v>
      </c>
      <c r="L220" s="3"/>
      <c r="M220" s="3" t="s">
        <v>131</v>
      </c>
      <c r="N220" s="3" t="str">
        <f>CONCATENATE("DRGPLA52A03G453E")</f>
        <v>DRGPLA52A03G453E</v>
      </c>
      <c r="O220" s="3" t="s">
        <v>324</v>
      </c>
      <c r="P220" s="3" t="s">
        <v>36</v>
      </c>
      <c r="Q220" s="3"/>
      <c r="R220" s="4">
        <v>45996</v>
      </c>
      <c r="S220" s="3" t="s">
        <v>37</v>
      </c>
      <c r="T220" s="3" t="s">
        <v>38</v>
      </c>
      <c r="U220" s="3" t="s">
        <v>39</v>
      </c>
      <c r="V220" s="3">
        <v>78.87</v>
      </c>
      <c r="W220" s="3">
        <v>33.520000000000003</v>
      </c>
      <c r="X220" s="3">
        <v>31.75</v>
      </c>
      <c r="Y220" s="3">
        <v>13.6</v>
      </c>
    </row>
    <row r="221" spans="1:25" ht="60.75" x14ac:dyDescent="0.25">
      <c r="A221" s="3" t="s">
        <v>26</v>
      </c>
      <c r="B221" s="3" t="s">
        <v>27</v>
      </c>
      <c r="C221" s="3" t="s">
        <v>28</v>
      </c>
      <c r="D221" s="3" t="s">
        <v>50</v>
      </c>
      <c r="E221" s="3" t="s">
        <v>60</v>
      </c>
      <c r="F221" s="3" t="s">
        <v>52</v>
      </c>
      <c r="G221" s="3" t="s">
        <v>60</v>
      </c>
      <c r="H221" s="3" t="s">
        <v>45</v>
      </c>
      <c r="I221" s="3">
        <v>2025</v>
      </c>
      <c r="J221" s="3" t="str">
        <f>CONCATENATE("54820115837")</f>
        <v>54820115837</v>
      </c>
      <c r="K221" s="3" t="s">
        <v>33</v>
      </c>
      <c r="L221" s="3"/>
      <c r="M221" s="3" t="s">
        <v>131</v>
      </c>
      <c r="N221" s="3" t="str">
        <f>CONCATENATE("GDRPTR54E05G453I")</f>
        <v>GDRPTR54E05G453I</v>
      </c>
      <c r="O221" s="3" t="s">
        <v>325</v>
      </c>
      <c r="P221" s="3" t="s">
        <v>36</v>
      </c>
      <c r="Q221" s="3"/>
      <c r="R221" s="4">
        <v>45996</v>
      </c>
      <c r="S221" s="3" t="s">
        <v>37</v>
      </c>
      <c r="T221" s="3" t="s">
        <v>38</v>
      </c>
      <c r="U221" s="3" t="s">
        <v>39</v>
      </c>
      <c r="V221" s="3">
        <v>78.260000000000005</v>
      </c>
      <c r="W221" s="3">
        <v>33.26</v>
      </c>
      <c r="X221" s="3">
        <v>31.5</v>
      </c>
      <c r="Y221" s="3">
        <v>13.5</v>
      </c>
    </row>
    <row r="222" spans="1:25" ht="60.75" x14ac:dyDescent="0.25">
      <c r="A222" s="3" t="s">
        <v>26</v>
      </c>
      <c r="B222" s="3" t="s">
        <v>27</v>
      </c>
      <c r="C222" s="3" t="s">
        <v>28</v>
      </c>
      <c r="D222" s="3" t="s">
        <v>40</v>
      </c>
      <c r="E222" s="3" t="s">
        <v>41</v>
      </c>
      <c r="F222" s="3" t="s">
        <v>42</v>
      </c>
      <c r="G222" s="3" t="s">
        <v>41</v>
      </c>
      <c r="H222" s="3" t="s">
        <v>32</v>
      </c>
      <c r="I222" s="3">
        <v>2025</v>
      </c>
      <c r="J222" s="3" t="str">
        <f>CONCATENATE("54820091228")</f>
        <v>54820091228</v>
      </c>
      <c r="K222" s="3" t="s">
        <v>33</v>
      </c>
      <c r="L222" s="3"/>
      <c r="M222" s="3" t="s">
        <v>131</v>
      </c>
      <c r="N222" s="3" t="str">
        <f>CONCATENATE("SBBLRA00H62G478Y")</f>
        <v>SBBLRA00H62G478Y</v>
      </c>
      <c r="O222" s="3" t="s">
        <v>326</v>
      </c>
      <c r="P222" s="3" t="s">
        <v>36</v>
      </c>
      <c r="Q222" s="3"/>
      <c r="R222" s="4">
        <v>45996</v>
      </c>
      <c r="S222" s="3" t="s">
        <v>37</v>
      </c>
      <c r="T222" s="3" t="s">
        <v>38</v>
      </c>
      <c r="U222" s="3" t="s">
        <v>39</v>
      </c>
      <c r="V222" s="5">
        <v>1262.7</v>
      </c>
      <c r="W222" s="3">
        <v>536.65</v>
      </c>
      <c r="X222" s="3">
        <v>508.24</v>
      </c>
      <c r="Y222" s="3">
        <v>217.81</v>
      </c>
    </row>
    <row r="223" spans="1:25" ht="60.75" x14ac:dyDescent="0.25">
      <c r="A223" s="3" t="s">
        <v>26</v>
      </c>
      <c r="B223" s="3" t="s">
        <v>27</v>
      </c>
      <c r="C223" s="3" t="s">
        <v>28</v>
      </c>
      <c r="D223" s="3" t="s">
        <v>50</v>
      </c>
      <c r="E223" s="3" t="s">
        <v>147</v>
      </c>
      <c r="F223" s="3" t="s">
        <v>52</v>
      </c>
      <c r="G223" s="3" t="s">
        <v>147</v>
      </c>
      <c r="H223" s="3" t="s">
        <v>45</v>
      </c>
      <c r="I223" s="3">
        <v>2025</v>
      </c>
      <c r="J223" s="3" t="str">
        <f>CONCATENATE("54820191986")</f>
        <v>54820191986</v>
      </c>
      <c r="K223" s="3" t="s">
        <v>33</v>
      </c>
      <c r="L223" s="3"/>
      <c r="M223" s="3" t="s">
        <v>131</v>
      </c>
      <c r="N223" s="3" t="str">
        <f>CONCATENATE("TMNPRZ59D55E351B")</f>
        <v>TMNPRZ59D55E351B</v>
      </c>
      <c r="O223" s="3" t="s">
        <v>327</v>
      </c>
      <c r="P223" s="3" t="s">
        <v>36</v>
      </c>
      <c r="Q223" s="3"/>
      <c r="R223" s="4">
        <v>45996</v>
      </c>
      <c r="S223" s="3" t="s">
        <v>37</v>
      </c>
      <c r="T223" s="3" t="s">
        <v>38</v>
      </c>
      <c r="U223" s="3" t="s">
        <v>39</v>
      </c>
      <c r="V223" s="3">
        <v>98.11</v>
      </c>
      <c r="W223" s="3">
        <v>41.7</v>
      </c>
      <c r="X223" s="3">
        <v>39.49</v>
      </c>
      <c r="Y223" s="3">
        <v>16.920000000000002</v>
      </c>
    </row>
    <row r="224" spans="1:25" ht="36.75" x14ac:dyDescent="0.25">
      <c r="A224" s="3" t="s">
        <v>26</v>
      </c>
      <c r="B224" s="3" t="s">
        <v>27</v>
      </c>
      <c r="C224" s="3" t="s">
        <v>28</v>
      </c>
      <c r="D224" s="3" t="s">
        <v>29</v>
      </c>
      <c r="E224" s="3" t="s">
        <v>56</v>
      </c>
      <c r="F224" s="3" t="s">
        <v>31</v>
      </c>
      <c r="G224" s="3" t="s">
        <v>56</v>
      </c>
      <c r="H224" s="3" t="s">
        <v>32</v>
      </c>
      <c r="I224" s="3">
        <v>2025</v>
      </c>
      <c r="J224" s="3" t="str">
        <f>CONCATENATE("54820271580")</f>
        <v>54820271580</v>
      </c>
      <c r="K224" s="3" t="s">
        <v>33</v>
      </c>
      <c r="L224" s="3"/>
      <c r="M224" s="3" t="s">
        <v>131</v>
      </c>
      <c r="N224" s="3" t="str">
        <f>CONCATENATE("01990730432")</f>
        <v>01990730432</v>
      </c>
      <c r="O224" s="3" t="s">
        <v>328</v>
      </c>
      <c r="P224" s="3" t="s">
        <v>36</v>
      </c>
      <c r="Q224" s="3"/>
      <c r="R224" s="4">
        <v>45996</v>
      </c>
      <c r="S224" s="3" t="s">
        <v>37</v>
      </c>
      <c r="T224" s="3" t="s">
        <v>38</v>
      </c>
      <c r="U224" s="3" t="s">
        <v>39</v>
      </c>
      <c r="V224" s="5">
        <v>1095.6300000000001</v>
      </c>
      <c r="W224" s="3">
        <v>465.64</v>
      </c>
      <c r="X224" s="3">
        <v>440.99</v>
      </c>
      <c r="Y224" s="3">
        <v>189</v>
      </c>
    </row>
    <row r="225" spans="1:25" ht="60.75" x14ac:dyDescent="0.25">
      <c r="A225" s="3" t="s">
        <v>26</v>
      </c>
      <c r="B225" s="3" t="s">
        <v>27</v>
      </c>
      <c r="C225" s="3" t="s">
        <v>28</v>
      </c>
      <c r="D225" s="3" t="s">
        <v>29</v>
      </c>
      <c r="E225" s="3" t="s">
        <v>136</v>
      </c>
      <c r="F225" s="3" t="s">
        <v>31</v>
      </c>
      <c r="G225" s="3" t="s">
        <v>136</v>
      </c>
      <c r="H225" s="3" t="s">
        <v>48</v>
      </c>
      <c r="I225" s="3">
        <v>2025</v>
      </c>
      <c r="J225" s="3" t="str">
        <f>CONCATENATE("54820231956")</f>
        <v>54820231956</v>
      </c>
      <c r="K225" s="3" t="s">
        <v>33</v>
      </c>
      <c r="L225" s="3"/>
      <c r="M225" s="3" t="s">
        <v>131</v>
      </c>
      <c r="N225" s="3" t="str">
        <f>CONCATENATE("VCCTMS58C10H501Q")</f>
        <v>VCCTMS58C10H501Q</v>
      </c>
      <c r="O225" s="3" t="s">
        <v>329</v>
      </c>
      <c r="P225" s="3" t="s">
        <v>36</v>
      </c>
      <c r="Q225" s="3"/>
      <c r="R225" s="4">
        <v>45996</v>
      </c>
      <c r="S225" s="3" t="s">
        <v>37</v>
      </c>
      <c r="T225" s="3" t="s">
        <v>38</v>
      </c>
      <c r="U225" s="3" t="s">
        <v>39</v>
      </c>
      <c r="V225" s="3">
        <v>71.05</v>
      </c>
      <c r="W225" s="3">
        <v>30.2</v>
      </c>
      <c r="X225" s="3">
        <v>28.6</v>
      </c>
      <c r="Y225" s="3">
        <v>12.25</v>
      </c>
    </row>
    <row r="226" spans="1:25" ht="36.75" x14ac:dyDescent="0.25">
      <c r="A226" s="3" t="s">
        <v>26</v>
      </c>
      <c r="B226" s="3" t="s">
        <v>27</v>
      </c>
      <c r="C226" s="3" t="s">
        <v>28</v>
      </c>
      <c r="D226" s="3" t="s">
        <v>40</v>
      </c>
      <c r="E226" s="3" t="s">
        <v>41</v>
      </c>
      <c r="F226" s="3" t="s">
        <v>42</v>
      </c>
      <c r="G226" s="3" t="s">
        <v>41</v>
      </c>
      <c r="H226" s="3" t="s">
        <v>32</v>
      </c>
      <c r="I226" s="3">
        <v>2025</v>
      </c>
      <c r="J226" s="3" t="str">
        <f>CONCATENATE("54820420559")</f>
        <v>54820420559</v>
      </c>
      <c r="K226" s="3" t="s">
        <v>33</v>
      </c>
      <c r="L226" s="3"/>
      <c r="M226" s="3" t="s">
        <v>131</v>
      </c>
      <c r="N226" s="3" t="str">
        <f>CONCATENATE("00607760436")</f>
        <v>00607760436</v>
      </c>
      <c r="O226" s="3" t="s">
        <v>330</v>
      </c>
      <c r="P226" s="3" t="s">
        <v>36</v>
      </c>
      <c r="Q226" s="3"/>
      <c r="R226" s="4">
        <v>45996</v>
      </c>
      <c r="S226" s="3" t="s">
        <v>37</v>
      </c>
      <c r="T226" s="3" t="s">
        <v>38</v>
      </c>
      <c r="U226" s="3" t="s">
        <v>39</v>
      </c>
      <c r="V226" s="3">
        <v>459.06</v>
      </c>
      <c r="W226" s="3">
        <v>195.1</v>
      </c>
      <c r="X226" s="3">
        <v>184.77</v>
      </c>
      <c r="Y226" s="3">
        <v>79.19</v>
      </c>
    </row>
    <row r="227" spans="1:25" ht="60.75" x14ac:dyDescent="0.25">
      <c r="A227" s="3" t="s">
        <v>26</v>
      </c>
      <c r="B227" s="3" t="s">
        <v>27</v>
      </c>
      <c r="C227" s="3" t="s">
        <v>28</v>
      </c>
      <c r="D227" s="3" t="s">
        <v>50</v>
      </c>
      <c r="E227" s="3" t="s">
        <v>252</v>
      </c>
      <c r="F227" s="3" t="s">
        <v>52</v>
      </c>
      <c r="G227" s="3" t="s">
        <v>252</v>
      </c>
      <c r="H227" s="3" t="s">
        <v>45</v>
      </c>
      <c r="I227" s="3">
        <v>2025</v>
      </c>
      <c r="J227" s="3" t="str">
        <f>CONCATENATE("54820190483")</f>
        <v>54820190483</v>
      </c>
      <c r="K227" s="3" t="s">
        <v>33</v>
      </c>
      <c r="L227" s="3"/>
      <c r="M227" s="3" t="s">
        <v>131</v>
      </c>
      <c r="N227" s="3" t="str">
        <f>CONCATENATE("GRGVTR59T01D749Y")</f>
        <v>GRGVTR59T01D749Y</v>
      </c>
      <c r="O227" s="3" t="s">
        <v>331</v>
      </c>
      <c r="P227" s="3" t="s">
        <v>36</v>
      </c>
      <c r="Q227" s="3"/>
      <c r="R227" s="4">
        <v>45996</v>
      </c>
      <c r="S227" s="3" t="s">
        <v>37</v>
      </c>
      <c r="T227" s="3" t="s">
        <v>38</v>
      </c>
      <c r="U227" s="3" t="s">
        <v>39</v>
      </c>
      <c r="V227" s="3">
        <v>141.97</v>
      </c>
      <c r="W227" s="3">
        <v>60.34</v>
      </c>
      <c r="X227" s="3">
        <v>57.14</v>
      </c>
      <c r="Y227" s="3">
        <v>24.49</v>
      </c>
    </row>
    <row r="228" spans="1:25" ht="72.75" x14ac:dyDescent="0.25">
      <c r="A228" s="3" t="s">
        <v>26</v>
      </c>
      <c r="B228" s="3" t="s">
        <v>27</v>
      </c>
      <c r="C228" s="3" t="s">
        <v>28</v>
      </c>
      <c r="D228" s="3" t="s">
        <v>29</v>
      </c>
      <c r="E228" s="3" t="s">
        <v>56</v>
      </c>
      <c r="F228" s="3" t="s">
        <v>31</v>
      </c>
      <c r="G228" s="3" t="s">
        <v>56</v>
      </c>
      <c r="H228" s="3" t="s">
        <v>32</v>
      </c>
      <c r="I228" s="3">
        <v>2025</v>
      </c>
      <c r="J228" s="3" t="str">
        <f>CONCATENATE("54820285044")</f>
        <v>54820285044</v>
      </c>
      <c r="K228" s="3" t="s">
        <v>33</v>
      </c>
      <c r="L228" s="3"/>
      <c r="M228" s="3" t="s">
        <v>131</v>
      </c>
      <c r="N228" s="3" t="str">
        <f>CONCATENATE("CRSSRA89H64B474Q")</f>
        <v>CRSSRA89H64B474Q</v>
      </c>
      <c r="O228" s="3" t="s">
        <v>332</v>
      </c>
      <c r="P228" s="3" t="s">
        <v>36</v>
      </c>
      <c r="Q228" s="3"/>
      <c r="R228" s="4">
        <v>45996</v>
      </c>
      <c r="S228" s="3" t="s">
        <v>37</v>
      </c>
      <c r="T228" s="3" t="s">
        <v>38</v>
      </c>
      <c r="U228" s="3" t="s">
        <v>39</v>
      </c>
      <c r="V228" s="3">
        <v>565.32000000000005</v>
      </c>
      <c r="W228" s="3">
        <v>240.26</v>
      </c>
      <c r="X228" s="3">
        <v>227.54</v>
      </c>
      <c r="Y228" s="3">
        <v>97.52</v>
      </c>
    </row>
    <row r="229" spans="1:25" ht="60.75" x14ac:dyDescent="0.25">
      <c r="A229" s="3" t="s">
        <v>26</v>
      </c>
      <c r="B229" s="3" t="s">
        <v>27</v>
      </c>
      <c r="C229" s="3" t="s">
        <v>28</v>
      </c>
      <c r="D229" s="3" t="s">
        <v>29</v>
      </c>
      <c r="E229" s="3" t="s">
        <v>119</v>
      </c>
      <c r="F229" s="3" t="s">
        <v>31</v>
      </c>
      <c r="G229" s="3" t="s">
        <v>119</v>
      </c>
      <c r="H229" s="3" t="s">
        <v>96</v>
      </c>
      <c r="I229" s="3">
        <v>2025</v>
      </c>
      <c r="J229" s="3" t="str">
        <f>CONCATENATE("54820287511")</f>
        <v>54820287511</v>
      </c>
      <c r="K229" s="3" t="s">
        <v>33</v>
      </c>
      <c r="L229" s="3"/>
      <c r="M229" s="3" t="s">
        <v>131</v>
      </c>
      <c r="N229" s="3" t="str">
        <f>CONCATENATE("RSSFNC86H05A252F")</f>
        <v>RSSFNC86H05A252F</v>
      </c>
      <c r="O229" s="3" t="s">
        <v>333</v>
      </c>
      <c r="P229" s="3" t="s">
        <v>36</v>
      </c>
      <c r="Q229" s="3"/>
      <c r="R229" s="4">
        <v>45996</v>
      </c>
      <c r="S229" s="3" t="s">
        <v>37</v>
      </c>
      <c r="T229" s="3" t="s">
        <v>38</v>
      </c>
      <c r="U229" s="3" t="s">
        <v>39</v>
      </c>
      <c r="V229" s="5">
        <v>1071.9100000000001</v>
      </c>
      <c r="W229" s="3">
        <v>455.56</v>
      </c>
      <c r="X229" s="3">
        <v>431.44</v>
      </c>
      <c r="Y229" s="3">
        <v>184.91</v>
      </c>
    </row>
    <row r="230" spans="1:25" ht="60.75" x14ac:dyDescent="0.25">
      <c r="A230" s="3" t="s">
        <v>26</v>
      </c>
      <c r="B230" s="3" t="s">
        <v>27</v>
      </c>
      <c r="C230" s="3" t="s">
        <v>28</v>
      </c>
      <c r="D230" s="3" t="s">
        <v>50</v>
      </c>
      <c r="E230" s="3" t="s">
        <v>147</v>
      </c>
      <c r="F230" s="3" t="s">
        <v>52</v>
      </c>
      <c r="G230" s="3" t="s">
        <v>147</v>
      </c>
      <c r="H230" s="3" t="s">
        <v>45</v>
      </c>
      <c r="I230" s="3">
        <v>2025</v>
      </c>
      <c r="J230" s="3" t="str">
        <f>CONCATENATE("54820187760")</f>
        <v>54820187760</v>
      </c>
      <c r="K230" s="3" t="s">
        <v>33</v>
      </c>
      <c r="L230" s="3"/>
      <c r="M230" s="3" t="s">
        <v>131</v>
      </c>
      <c r="N230" s="3" t="str">
        <f>CONCATENATE("PGNRCR98H29B352Z")</f>
        <v>PGNRCR98H29B352Z</v>
      </c>
      <c r="O230" s="3" t="s">
        <v>334</v>
      </c>
      <c r="P230" s="3" t="s">
        <v>36</v>
      </c>
      <c r="Q230" s="3"/>
      <c r="R230" s="4">
        <v>45996</v>
      </c>
      <c r="S230" s="3" t="s">
        <v>37</v>
      </c>
      <c r="T230" s="3" t="s">
        <v>38</v>
      </c>
      <c r="U230" s="3" t="s">
        <v>39</v>
      </c>
      <c r="V230" s="3">
        <v>285.88</v>
      </c>
      <c r="W230" s="3">
        <v>121.5</v>
      </c>
      <c r="X230" s="3">
        <v>115.07</v>
      </c>
      <c r="Y230" s="3">
        <v>49.31</v>
      </c>
    </row>
    <row r="231" spans="1:25" ht="72.75" x14ac:dyDescent="0.25">
      <c r="A231" s="3" t="s">
        <v>26</v>
      </c>
      <c r="B231" s="3" t="s">
        <v>27</v>
      </c>
      <c r="C231" s="3" t="s">
        <v>28</v>
      </c>
      <c r="D231" s="3" t="s">
        <v>91</v>
      </c>
      <c r="E231" s="3" t="s">
        <v>151</v>
      </c>
      <c r="F231" s="3" t="s">
        <v>93</v>
      </c>
      <c r="G231" s="3" t="s">
        <v>151</v>
      </c>
      <c r="H231" s="3" t="s">
        <v>45</v>
      </c>
      <c r="I231" s="3">
        <v>2025</v>
      </c>
      <c r="J231" s="3" t="str">
        <f>CONCATENATE("54820235163")</f>
        <v>54820235163</v>
      </c>
      <c r="K231" s="3" t="s">
        <v>33</v>
      </c>
      <c r="L231" s="3"/>
      <c r="M231" s="3" t="s">
        <v>131</v>
      </c>
      <c r="N231" s="3" t="str">
        <f>CONCATENATE("PCCRGR42D15G453O")</f>
        <v>PCCRGR42D15G453O</v>
      </c>
      <c r="O231" s="3" t="s">
        <v>335</v>
      </c>
      <c r="P231" s="3" t="s">
        <v>36</v>
      </c>
      <c r="Q231" s="3"/>
      <c r="R231" s="4">
        <v>45996</v>
      </c>
      <c r="S231" s="3" t="s">
        <v>37</v>
      </c>
      <c r="T231" s="3" t="s">
        <v>38</v>
      </c>
      <c r="U231" s="3" t="s">
        <v>39</v>
      </c>
      <c r="V231" s="3">
        <v>258.36</v>
      </c>
      <c r="W231" s="3">
        <v>109.8</v>
      </c>
      <c r="X231" s="3">
        <v>103.99</v>
      </c>
      <c r="Y231" s="3">
        <v>44.57</v>
      </c>
    </row>
    <row r="232" spans="1:25" ht="60.75" x14ac:dyDescent="0.25">
      <c r="A232" s="3" t="s">
        <v>26</v>
      </c>
      <c r="B232" s="3" t="s">
        <v>27</v>
      </c>
      <c r="C232" s="3" t="s">
        <v>28</v>
      </c>
      <c r="D232" s="3" t="s">
        <v>29</v>
      </c>
      <c r="E232" s="3" t="s">
        <v>228</v>
      </c>
      <c r="F232" s="3" t="s">
        <v>31</v>
      </c>
      <c r="G232" s="3" t="s">
        <v>228</v>
      </c>
      <c r="H232" s="3" t="s">
        <v>45</v>
      </c>
      <c r="I232" s="3">
        <v>2025</v>
      </c>
      <c r="J232" s="3" t="str">
        <f>CONCATENATE("54820041165")</f>
        <v>54820041165</v>
      </c>
      <c r="K232" s="3" t="s">
        <v>33</v>
      </c>
      <c r="L232" s="3"/>
      <c r="M232" s="3" t="s">
        <v>131</v>
      </c>
      <c r="N232" s="3" t="str">
        <f>CONCATENATE("MRNPNG55L19B352C")</f>
        <v>MRNPNG55L19B352C</v>
      </c>
      <c r="O232" s="3" t="s">
        <v>336</v>
      </c>
      <c r="P232" s="3" t="s">
        <v>36</v>
      </c>
      <c r="Q232" s="3"/>
      <c r="R232" s="4">
        <v>45996</v>
      </c>
      <c r="S232" s="3" t="s">
        <v>37</v>
      </c>
      <c r="T232" s="3" t="s">
        <v>38</v>
      </c>
      <c r="U232" s="3" t="s">
        <v>39</v>
      </c>
      <c r="V232" s="3">
        <v>783.35</v>
      </c>
      <c r="W232" s="3">
        <v>332.92</v>
      </c>
      <c r="X232" s="3">
        <v>315.3</v>
      </c>
      <c r="Y232" s="3">
        <v>135.13</v>
      </c>
    </row>
    <row r="233" spans="1:25" ht="60.75" x14ac:dyDescent="0.25">
      <c r="A233" s="3" t="s">
        <v>26</v>
      </c>
      <c r="B233" s="3" t="s">
        <v>27</v>
      </c>
      <c r="C233" s="3" t="s">
        <v>28</v>
      </c>
      <c r="D233" s="3" t="s">
        <v>29</v>
      </c>
      <c r="E233" s="3" t="s">
        <v>228</v>
      </c>
      <c r="F233" s="3" t="s">
        <v>31</v>
      </c>
      <c r="G233" s="3" t="s">
        <v>228</v>
      </c>
      <c r="H233" s="3" t="s">
        <v>45</v>
      </c>
      <c r="I233" s="3">
        <v>2025</v>
      </c>
      <c r="J233" s="3" t="str">
        <f>CONCATENATE("54820108816")</f>
        <v>54820108816</v>
      </c>
      <c r="K233" s="3" t="s">
        <v>33</v>
      </c>
      <c r="L233" s="3"/>
      <c r="M233" s="3" t="s">
        <v>131</v>
      </c>
      <c r="N233" s="3" t="str">
        <f>CONCATENATE("GRRLRA77T65D749F")</f>
        <v>GRRLRA77T65D749F</v>
      </c>
      <c r="O233" s="3" t="s">
        <v>337</v>
      </c>
      <c r="P233" s="3" t="s">
        <v>36</v>
      </c>
      <c r="Q233" s="3"/>
      <c r="R233" s="4">
        <v>45996</v>
      </c>
      <c r="S233" s="3" t="s">
        <v>37</v>
      </c>
      <c r="T233" s="3" t="s">
        <v>38</v>
      </c>
      <c r="U233" s="3" t="s">
        <v>39</v>
      </c>
      <c r="V233" s="3">
        <v>125.13</v>
      </c>
      <c r="W233" s="3">
        <v>53.18</v>
      </c>
      <c r="X233" s="3">
        <v>50.36</v>
      </c>
      <c r="Y233" s="3">
        <v>21.59</v>
      </c>
    </row>
    <row r="234" spans="1:25" ht="60.75" x14ac:dyDescent="0.25">
      <c r="A234" s="3" t="s">
        <v>26</v>
      </c>
      <c r="B234" s="3" t="s">
        <v>27</v>
      </c>
      <c r="C234" s="3" t="s">
        <v>28</v>
      </c>
      <c r="D234" s="3" t="s">
        <v>29</v>
      </c>
      <c r="E234" s="3" t="s">
        <v>136</v>
      </c>
      <c r="F234" s="3" t="s">
        <v>31</v>
      </c>
      <c r="G234" s="3" t="s">
        <v>136</v>
      </c>
      <c r="H234" s="3" t="s">
        <v>48</v>
      </c>
      <c r="I234" s="3">
        <v>2025</v>
      </c>
      <c r="J234" s="3" t="str">
        <f>CONCATENATE("54820132477")</f>
        <v>54820132477</v>
      </c>
      <c r="K234" s="3" t="s">
        <v>33</v>
      </c>
      <c r="L234" s="3"/>
      <c r="M234" s="3" t="s">
        <v>131</v>
      </c>
      <c r="N234" s="3" t="str">
        <f>CONCATENATE("MRCVTR61P25G453X")</f>
        <v>MRCVTR61P25G453X</v>
      </c>
      <c r="O234" s="3" t="s">
        <v>338</v>
      </c>
      <c r="P234" s="3" t="s">
        <v>36</v>
      </c>
      <c r="Q234" s="3"/>
      <c r="R234" s="4">
        <v>45996</v>
      </c>
      <c r="S234" s="3" t="s">
        <v>37</v>
      </c>
      <c r="T234" s="3" t="s">
        <v>38</v>
      </c>
      <c r="U234" s="3" t="s">
        <v>39</v>
      </c>
      <c r="V234" s="3">
        <v>52.24</v>
      </c>
      <c r="W234" s="3">
        <v>22.2</v>
      </c>
      <c r="X234" s="3">
        <v>21.03</v>
      </c>
      <c r="Y234" s="3">
        <v>9.01</v>
      </c>
    </row>
    <row r="235" spans="1:25" ht="60.75" x14ac:dyDescent="0.25">
      <c r="A235" s="3" t="s">
        <v>26</v>
      </c>
      <c r="B235" s="3" t="s">
        <v>27</v>
      </c>
      <c r="C235" s="3" t="s">
        <v>28</v>
      </c>
      <c r="D235" s="3" t="s">
        <v>29</v>
      </c>
      <c r="E235" s="3" t="s">
        <v>56</v>
      </c>
      <c r="F235" s="3" t="s">
        <v>31</v>
      </c>
      <c r="G235" s="3" t="s">
        <v>56</v>
      </c>
      <c r="H235" s="3" t="s">
        <v>32</v>
      </c>
      <c r="I235" s="3">
        <v>2025</v>
      </c>
      <c r="J235" s="3" t="str">
        <f>CONCATENATE("54820121355")</f>
        <v>54820121355</v>
      </c>
      <c r="K235" s="3" t="s">
        <v>33</v>
      </c>
      <c r="L235" s="3"/>
      <c r="M235" s="3" t="s">
        <v>131</v>
      </c>
      <c r="N235" s="3" t="str">
        <f>CONCATENATE("PNNDNC51E12B474M")</f>
        <v>PNNDNC51E12B474M</v>
      </c>
      <c r="O235" s="3" t="s">
        <v>339</v>
      </c>
      <c r="P235" s="3" t="s">
        <v>36</v>
      </c>
      <c r="Q235" s="3"/>
      <c r="R235" s="4">
        <v>45996</v>
      </c>
      <c r="S235" s="3" t="s">
        <v>37</v>
      </c>
      <c r="T235" s="3" t="s">
        <v>38</v>
      </c>
      <c r="U235" s="3" t="s">
        <v>39</v>
      </c>
      <c r="V235" s="3">
        <v>173.38</v>
      </c>
      <c r="W235" s="3">
        <v>73.69</v>
      </c>
      <c r="X235" s="3">
        <v>69.790000000000006</v>
      </c>
      <c r="Y235" s="3">
        <v>29.9</v>
      </c>
    </row>
    <row r="236" spans="1:25" ht="60.75" x14ac:dyDescent="0.25">
      <c r="A236" s="3" t="s">
        <v>26</v>
      </c>
      <c r="B236" s="3" t="s">
        <v>27</v>
      </c>
      <c r="C236" s="3" t="s">
        <v>28</v>
      </c>
      <c r="D236" s="3" t="s">
        <v>29</v>
      </c>
      <c r="E236" s="3" t="s">
        <v>119</v>
      </c>
      <c r="F236" s="3" t="s">
        <v>31</v>
      </c>
      <c r="G236" s="3" t="s">
        <v>119</v>
      </c>
      <c r="H236" s="3" t="s">
        <v>96</v>
      </c>
      <c r="I236" s="3">
        <v>2025</v>
      </c>
      <c r="J236" s="3" t="str">
        <f>CONCATENATE("54820073549")</f>
        <v>54820073549</v>
      </c>
      <c r="K236" s="3" t="s">
        <v>33</v>
      </c>
      <c r="L236" s="3"/>
      <c r="M236" s="3" t="s">
        <v>131</v>
      </c>
      <c r="N236" s="3" t="str">
        <f>CONCATENATE("FRRSLV75E59L191C")</f>
        <v>FRRSLV75E59L191C</v>
      </c>
      <c r="O236" s="3" t="s">
        <v>340</v>
      </c>
      <c r="P236" s="3" t="s">
        <v>36</v>
      </c>
      <c r="Q236" s="3"/>
      <c r="R236" s="4">
        <v>45996</v>
      </c>
      <c r="S236" s="3" t="s">
        <v>37</v>
      </c>
      <c r="T236" s="3" t="s">
        <v>38</v>
      </c>
      <c r="U236" s="3" t="s">
        <v>39</v>
      </c>
      <c r="V236" s="3">
        <v>401.56</v>
      </c>
      <c r="W236" s="3">
        <v>170.66</v>
      </c>
      <c r="X236" s="3">
        <v>161.63</v>
      </c>
      <c r="Y236" s="3">
        <v>69.27</v>
      </c>
    </row>
    <row r="237" spans="1:25" ht="60.75" x14ac:dyDescent="0.25">
      <c r="A237" s="3" t="s">
        <v>26</v>
      </c>
      <c r="B237" s="3" t="s">
        <v>27</v>
      </c>
      <c r="C237" s="3" t="s">
        <v>28</v>
      </c>
      <c r="D237" s="3" t="s">
        <v>29</v>
      </c>
      <c r="E237" s="3" t="s">
        <v>341</v>
      </c>
      <c r="F237" s="3" t="s">
        <v>31</v>
      </c>
      <c r="G237" s="3" t="s">
        <v>341</v>
      </c>
      <c r="H237" s="3" t="s">
        <v>45</v>
      </c>
      <c r="I237" s="3">
        <v>2025</v>
      </c>
      <c r="J237" s="3" t="str">
        <f>CONCATENATE("54820110507")</f>
        <v>54820110507</v>
      </c>
      <c r="K237" s="3" t="s">
        <v>33</v>
      </c>
      <c r="L237" s="3"/>
      <c r="M237" s="3" t="s">
        <v>131</v>
      </c>
      <c r="N237" s="3" t="str">
        <f>CONCATENATE("RDNLFA52S09L500Y")</f>
        <v>RDNLFA52S09L500Y</v>
      </c>
      <c r="O237" s="3" t="s">
        <v>342</v>
      </c>
      <c r="P237" s="3" t="s">
        <v>36</v>
      </c>
      <c r="Q237" s="3"/>
      <c r="R237" s="4">
        <v>45996</v>
      </c>
      <c r="S237" s="3" t="s">
        <v>37</v>
      </c>
      <c r="T237" s="3" t="s">
        <v>38</v>
      </c>
      <c r="U237" s="3" t="s">
        <v>39</v>
      </c>
      <c r="V237" s="3">
        <v>131.41</v>
      </c>
      <c r="W237" s="3">
        <v>55.85</v>
      </c>
      <c r="X237" s="3">
        <v>52.89</v>
      </c>
      <c r="Y237" s="3">
        <v>22.67</v>
      </c>
    </row>
    <row r="238" spans="1:25" ht="60.75" x14ac:dyDescent="0.25">
      <c r="A238" s="3" t="s">
        <v>26</v>
      </c>
      <c r="B238" s="3" t="s">
        <v>27</v>
      </c>
      <c r="C238" s="3" t="s">
        <v>28</v>
      </c>
      <c r="D238" s="3" t="s">
        <v>29</v>
      </c>
      <c r="E238" s="3" t="s">
        <v>233</v>
      </c>
      <c r="F238" s="3" t="s">
        <v>31</v>
      </c>
      <c r="G238" s="3" t="s">
        <v>233</v>
      </c>
      <c r="H238" s="3" t="s">
        <v>96</v>
      </c>
      <c r="I238" s="3">
        <v>2025</v>
      </c>
      <c r="J238" s="3" t="str">
        <f>CONCATENATE("54820066493")</f>
        <v>54820066493</v>
      </c>
      <c r="K238" s="3" t="s">
        <v>33</v>
      </c>
      <c r="L238" s="3"/>
      <c r="M238" s="3" t="s">
        <v>131</v>
      </c>
      <c r="N238" s="3" t="str">
        <f>CONCATENATE("RSSPRD81R29A462F")</f>
        <v>RSSPRD81R29A462F</v>
      </c>
      <c r="O238" s="3" t="s">
        <v>343</v>
      </c>
      <c r="P238" s="3" t="s">
        <v>36</v>
      </c>
      <c r="Q238" s="3"/>
      <c r="R238" s="4">
        <v>45996</v>
      </c>
      <c r="S238" s="3" t="s">
        <v>37</v>
      </c>
      <c r="T238" s="3" t="s">
        <v>38</v>
      </c>
      <c r="U238" s="3" t="s">
        <v>39</v>
      </c>
      <c r="V238" s="3">
        <v>66.83</v>
      </c>
      <c r="W238" s="3">
        <v>28.4</v>
      </c>
      <c r="X238" s="3">
        <v>26.9</v>
      </c>
      <c r="Y238" s="3">
        <v>11.53</v>
      </c>
    </row>
    <row r="239" spans="1:25" ht="60.75" x14ac:dyDescent="0.25">
      <c r="A239" s="3" t="s">
        <v>26</v>
      </c>
      <c r="B239" s="3" t="s">
        <v>27</v>
      </c>
      <c r="C239" s="3" t="s">
        <v>28</v>
      </c>
      <c r="D239" s="3" t="s">
        <v>29</v>
      </c>
      <c r="E239" s="3" t="s">
        <v>80</v>
      </c>
      <c r="F239" s="3" t="s">
        <v>31</v>
      </c>
      <c r="G239" s="3" t="s">
        <v>80</v>
      </c>
      <c r="H239" s="3" t="s">
        <v>45</v>
      </c>
      <c r="I239" s="3">
        <v>2025</v>
      </c>
      <c r="J239" s="3" t="str">
        <f>CONCATENATE("54820048426")</f>
        <v>54820048426</v>
      </c>
      <c r="K239" s="3" t="s">
        <v>33</v>
      </c>
      <c r="L239" s="3"/>
      <c r="M239" s="3" t="s">
        <v>131</v>
      </c>
      <c r="N239" s="3" t="str">
        <f>CONCATENATE("BLDGNN43T11G453H")</f>
        <v>BLDGNN43T11G453H</v>
      </c>
      <c r="O239" s="3" t="s">
        <v>344</v>
      </c>
      <c r="P239" s="3" t="s">
        <v>36</v>
      </c>
      <c r="Q239" s="3"/>
      <c r="R239" s="4">
        <v>45996</v>
      </c>
      <c r="S239" s="3" t="s">
        <v>37</v>
      </c>
      <c r="T239" s="3" t="s">
        <v>38</v>
      </c>
      <c r="U239" s="3" t="s">
        <v>39</v>
      </c>
      <c r="V239" s="3">
        <v>374.52</v>
      </c>
      <c r="W239" s="3">
        <v>159.16999999999999</v>
      </c>
      <c r="X239" s="3">
        <v>150.74</v>
      </c>
      <c r="Y239" s="3">
        <v>64.61</v>
      </c>
    </row>
    <row r="240" spans="1:25" ht="60.75" x14ac:dyDescent="0.25">
      <c r="A240" s="3" t="s">
        <v>26</v>
      </c>
      <c r="B240" s="3" t="s">
        <v>27</v>
      </c>
      <c r="C240" s="3" t="s">
        <v>28</v>
      </c>
      <c r="D240" s="3" t="s">
        <v>50</v>
      </c>
      <c r="E240" s="3" t="s">
        <v>173</v>
      </c>
      <c r="F240" s="3" t="s">
        <v>52</v>
      </c>
      <c r="G240" s="3" t="s">
        <v>173</v>
      </c>
      <c r="H240" s="3" t="s">
        <v>45</v>
      </c>
      <c r="I240" s="3">
        <v>2025</v>
      </c>
      <c r="J240" s="3" t="str">
        <f>CONCATENATE("54820065255")</f>
        <v>54820065255</v>
      </c>
      <c r="K240" s="3" t="s">
        <v>33</v>
      </c>
      <c r="L240" s="3"/>
      <c r="M240" s="3" t="s">
        <v>131</v>
      </c>
      <c r="N240" s="3" t="str">
        <f>CONCATENATE("GSTMNT39B64G551X")</f>
        <v>GSTMNT39B64G551X</v>
      </c>
      <c r="O240" s="3" t="s">
        <v>345</v>
      </c>
      <c r="P240" s="3" t="s">
        <v>36</v>
      </c>
      <c r="Q240" s="3"/>
      <c r="R240" s="4">
        <v>45996</v>
      </c>
      <c r="S240" s="3" t="s">
        <v>37</v>
      </c>
      <c r="T240" s="3" t="s">
        <v>38</v>
      </c>
      <c r="U240" s="3" t="s">
        <v>39</v>
      </c>
      <c r="V240" s="3">
        <v>169.12</v>
      </c>
      <c r="W240" s="3">
        <v>71.88</v>
      </c>
      <c r="X240" s="3">
        <v>68.069999999999993</v>
      </c>
      <c r="Y240" s="3">
        <v>29.17</v>
      </c>
    </row>
    <row r="241" spans="1:25" ht="36.75" x14ac:dyDescent="0.25">
      <c r="A241" s="3" t="s">
        <v>26</v>
      </c>
      <c r="B241" s="3" t="s">
        <v>27</v>
      </c>
      <c r="C241" s="3" t="s">
        <v>28</v>
      </c>
      <c r="D241" s="3" t="s">
        <v>40</v>
      </c>
      <c r="E241" s="3" t="s">
        <v>54</v>
      </c>
      <c r="F241" s="3" t="s">
        <v>42</v>
      </c>
      <c r="G241" s="3" t="s">
        <v>54</v>
      </c>
      <c r="H241" s="3" t="s">
        <v>45</v>
      </c>
      <c r="I241" s="3">
        <v>2025</v>
      </c>
      <c r="J241" s="3" t="str">
        <f>CONCATENATE("54820068887")</f>
        <v>54820068887</v>
      </c>
      <c r="K241" s="3" t="s">
        <v>33</v>
      </c>
      <c r="L241" s="3"/>
      <c r="M241" s="3" t="s">
        <v>131</v>
      </c>
      <c r="N241" s="3" t="str">
        <f>CONCATENATE("02468780412")</f>
        <v>02468780412</v>
      </c>
      <c r="O241" s="3" t="s">
        <v>346</v>
      </c>
      <c r="P241" s="3" t="s">
        <v>36</v>
      </c>
      <c r="Q241" s="3"/>
      <c r="R241" s="4">
        <v>45996</v>
      </c>
      <c r="S241" s="3" t="s">
        <v>37</v>
      </c>
      <c r="T241" s="3" t="s">
        <v>38</v>
      </c>
      <c r="U241" s="3" t="s">
        <v>39</v>
      </c>
      <c r="V241" s="3">
        <v>332.53</v>
      </c>
      <c r="W241" s="3">
        <v>141.33000000000001</v>
      </c>
      <c r="X241" s="3">
        <v>133.84</v>
      </c>
      <c r="Y241" s="3">
        <v>57.36</v>
      </c>
    </row>
    <row r="242" spans="1:25" ht="60.75" x14ac:dyDescent="0.25">
      <c r="A242" s="3" t="s">
        <v>26</v>
      </c>
      <c r="B242" s="3" t="s">
        <v>27</v>
      </c>
      <c r="C242" s="3" t="s">
        <v>28</v>
      </c>
      <c r="D242" s="3" t="s">
        <v>91</v>
      </c>
      <c r="E242" s="3" t="s">
        <v>151</v>
      </c>
      <c r="F242" s="3" t="s">
        <v>93</v>
      </c>
      <c r="G242" s="3" t="s">
        <v>151</v>
      </c>
      <c r="H242" s="3" t="s">
        <v>45</v>
      </c>
      <c r="I242" s="3">
        <v>2025</v>
      </c>
      <c r="J242" s="3" t="str">
        <f>CONCATENATE("54820159033")</f>
        <v>54820159033</v>
      </c>
      <c r="K242" s="3" t="s">
        <v>33</v>
      </c>
      <c r="L242" s="3"/>
      <c r="M242" s="3" t="s">
        <v>131</v>
      </c>
      <c r="N242" s="3" t="str">
        <f>CONCATENATE("PGNDRN74T49D488W")</f>
        <v>PGNDRN74T49D488W</v>
      </c>
      <c r="O242" s="3" t="s">
        <v>347</v>
      </c>
      <c r="P242" s="3" t="s">
        <v>36</v>
      </c>
      <c r="Q242" s="3"/>
      <c r="R242" s="4">
        <v>45996</v>
      </c>
      <c r="S242" s="3" t="s">
        <v>37</v>
      </c>
      <c r="T242" s="3" t="s">
        <v>38</v>
      </c>
      <c r="U242" s="3" t="s">
        <v>39</v>
      </c>
      <c r="V242" s="3">
        <v>215.31</v>
      </c>
      <c r="W242" s="3">
        <v>91.51</v>
      </c>
      <c r="X242" s="3">
        <v>86.66</v>
      </c>
      <c r="Y242" s="3">
        <v>37.14</v>
      </c>
    </row>
    <row r="243" spans="1:25" ht="72.75" x14ac:dyDescent="0.25">
      <c r="A243" s="3" t="s">
        <v>26</v>
      </c>
      <c r="B243" s="3" t="s">
        <v>27</v>
      </c>
      <c r="C243" s="3" t="s">
        <v>28</v>
      </c>
      <c r="D243" s="3" t="s">
        <v>50</v>
      </c>
      <c r="E243" s="3" t="s">
        <v>60</v>
      </c>
      <c r="F243" s="3" t="s">
        <v>52</v>
      </c>
      <c r="G243" s="3" t="s">
        <v>60</v>
      </c>
      <c r="H243" s="3" t="s">
        <v>45</v>
      </c>
      <c r="I243" s="3">
        <v>2025</v>
      </c>
      <c r="J243" s="3" t="str">
        <f>CONCATENATE("54820101076")</f>
        <v>54820101076</v>
      </c>
      <c r="K243" s="3" t="s">
        <v>33</v>
      </c>
      <c r="L243" s="3"/>
      <c r="M243" s="3" t="s">
        <v>131</v>
      </c>
      <c r="N243" s="3" t="str">
        <f>CONCATENATE("BEIMRA55M03B636Q")</f>
        <v>BEIMRA55M03B636Q</v>
      </c>
      <c r="O243" s="3" t="s">
        <v>348</v>
      </c>
      <c r="P243" s="3" t="s">
        <v>36</v>
      </c>
      <c r="Q243" s="3"/>
      <c r="R243" s="4">
        <v>45996</v>
      </c>
      <c r="S243" s="3" t="s">
        <v>37</v>
      </c>
      <c r="T243" s="3" t="s">
        <v>38</v>
      </c>
      <c r="U243" s="3" t="s">
        <v>39</v>
      </c>
      <c r="V243" s="3">
        <v>55.21</v>
      </c>
      <c r="W243" s="3">
        <v>23.46</v>
      </c>
      <c r="X243" s="3">
        <v>22.22</v>
      </c>
      <c r="Y243" s="3">
        <v>9.5299999999999994</v>
      </c>
    </row>
    <row r="244" spans="1:25" ht="60.75" x14ac:dyDescent="0.25">
      <c r="A244" s="3" t="s">
        <v>26</v>
      </c>
      <c r="B244" s="3" t="s">
        <v>27</v>
      </c>
      <c r="C244" s="3" t="s">
        <v>28</v>
      </c>
      <c r="D244" s="3" t="s">
        <v>50</v>
      </c>
      <c r="E244" s="3" t="s">
        <v>147</v>
      </c>
      <c r="F244" s="3" t="s">
        <v>52</v>
      </c>
      <c r="G244" s="3" t="s">
        <v>147</v>
      </c>
      <c r="H244" s="3" t="s">
        <v>45</v>
      </c>
      <c r="I244" s="3">
        <v>2025</v>
      </c>
      <c r="J244" s="3" t="str">
        <f>CONCATENATE("54820139910")</f>
        <v>54820139910</v>
      </c>
      <c r="K244" s="3" t="s">
        <v>33</v>
      </c>
      <c r="L244" s="3"/>
      <c r="M244" s="3" t="s">
        <v>131</v>
      </c>
      <c r="N244" s="3" t="str">
        <f>CONCATENATE("STGMLN83T23L500P")</f>
        <v>STGMLN83T23L500P</v>
      </c>
      <c r="O244" s="3" t="s">
        <v>349</v>
      </c>
      <c r="P244" s="3" t="s">
        <v>36</v>
      </c>
      <c r="Q244" s="3"/>
      <c r="R244" s="4">
        <v>45996</v>
      </c>
      <c r="S244" s="3" t="s">
        <v>37</v>
      </c>
      <c r="T244" s="3" t="s">
        <v>38</v>
      </c>
      <c r="U244" s="3" t="s">
        <v>39</v>
      </c>
      <c r="V244" s="3">
        <v>136.85</v>
      </c>
      <c r="W244" s="3">
        <v>58.16</v>
      </c>
      <c r="X244" s="3">
        <v>55.08</v>
      </c>
      <c r="Y244" s="3">
        <v>23.61</v>
      </c>
    </row>
    <row r="245" spans="1:25" ht="60.75" x14ac:dyDescent="0.25">
      <c r="A245" s="3" t="s">
        <v>26</v>
      </c>
      <c r="B245" s="3" t="s">
        <v>27</v>
      </c>
      <c r="C245" s="3" t="s">
        <v>28</v>
      </c>
      <c r="D245" s="3" t="s">
        <v>40</v>
      </c>
      <c r="E245" s="3" t="s">
        <v>44</v>
      </c>
      <c r="F245" s="3" t="s">
        <v>42</v>
      </c>
      <c r="G245" s="3" t="s">
        <v>44</v>
      </c>
      <c r="H245" s="3" t="s">
        <v>32</v>
      </c>
      <c r="I245" s="3">
        <v>2025</v>
      </c>
      <c r="J245" s="3" t="str">
        <f>CONCATENATE("54820015862")</f>
        <v>54820015862</v>
      </c>
      <c r="K245" s="3" t="s">
        <v>33</v>
      </c>
      <c r="L245" s="3"/>
      <c r="M245" s="3" t="s">
        <v>131</v>
      </c>
      <c r="N245" s="3" t="str">
        <f>CONCATENATE("FBACST67S70B474M")</f>
        <v>FBACST67S70B474M</v>
      </c>
      <c r="O245" s="3" t="s">
        <v>350</v>
      </c>
      <c r="P245" s="3" t="s">
        <v>36</v>
      </c>
      <c r="Q245" s="3"/>
      <c r="R245" s="4">
        <v>45996</v>
      </c>
      <c r="S245" s="3" t="s">
        <v>37</v>
      </c>
      <c r="T245" s="3" t="s">
        <v>38</v>
      </c>
      <c r="U245" s="3" t="s">
        <v>39</v>
      </c>
      <c r="V245" s="3">
        <v>113.15</v>
      </c>
      <c r="W245" s="3">
        <v>48.09</v>
      </c>
      <c r="X245" s="3">
        <v>45.54</v>
      </c>
      <c r="Y245" s="3">
        <v>19.52</v>
      </c>
    </row>
    <row r="246" spans="1:25" ht="60.75" x14ac:dyDescent="0.25">
      <c r="A246" s="3" t="s">
        <v>26</v>
      </c>
      <c r="B246" s="3" t="s">
        <v>27</v>
      </c>
      <c r="C246" s="3" t="s">
        <v>28</v>
      </c>
      <c r="D246" s="3" t="s">
        <v>40</v>
      </c>
      <c r="E246" s="3" t="s">
        <v>218</v>
      </c>
      <c r="F246" s="3" t="s">
        <v>42</v>
      </c>
      <c r="G246" s="3" t="s">
        <v>218</v>
      </c>
      <c r="H246" s="3" t="s">
        <v>45</v>
      </c>
      <c r="I246" s="3">
        <v>2025</v>
      </c>
      <c r="J246" s="3" t="str">
        <f>CONCATENATE("54820068945")</f>
        <v>54820068945</v>
      </c>
      <c r="K246" s="3" t="s">
        <v>33</v>
      </c>
      <c r="L246" s="3"/>
      <c r="M246" s="3" t="s">
        <v>131</v>
      </c>
      <c r="N246" s="3" t="str">
        <f>CONCATENATE("FTTFNC83S29L500Z")</f>
        <v>FTTFNC83S29L500Z</v>
      </c>
      <c r="O246" s="3" t="s">
        <v>351</v>
      </c>
      <c r="P246" s="3" t="s">
        <v>36</v>
      </c>
      <c r="Q246" s="3"/>
      <c r="R246" s="4">
        <v>45996</v>
      </c>
      <c r="S246" s="3" t="s">
        <v>37</v>
      </c>
      <c r="T246" s="3" t="s">
        <v>38</v>
      </c>
      <c r="U246" s="3" t="s">
        <v>39</v>
      </c>
      <c r="V246" s="3">
        <v>395.8</v>
      </c>
      <c r="W246" s="3">
        <v>168.22</v>
      </c>
      <c r="X246" s="3">
        <v>159.31</v>
      </c>
      <c r="Y246" s="3">
        <v>68.27</v>
      </c>
    </row>
    <row r="247" spans="1:25" ht="60.75" x14ac:dyDescent="0.25">
      <c r="A247" s="3" t="s">
        <v>26</v>
      </c>
      <c r="B247" s="3" t="s">
        <v>27</v>
      </c>
      <c r="C247" s="3" t="s">
        <v>28</v>
      </c>
      <c r="D247" s="3" t="s">
        <v>29</v>
      </c>
      <c r="E247" s="3" t="s">
        <v>182</v>
      </c>
      <c r="F247" s="3" t="s">
        <v>31</v>
      </c>
      <c r="G247" s="3" t="s">
        <v>182</v>
      </c>
      <c r="H247" s="3" t="s">
        <v>45</v>
      </c>
      <c r="I247" s="3">
        <v>2025</v>
      </c>
      <c r="J247" s="3" t="str">
        <f>CONCATENATE("54820159611")</f>
        <v>54820159611</v>
      </c>
      <c r="K247" s="3" t="s">
        <v>33</v>
      </c>
      <c r="L247" s="3"/>
      <c r="M247" s="3" t="s">
        <v>131</v>
      </c>
      <c r="N247" s="3" t="str">
        <f>CONCATENATE("MZZLLD58H06L500G")</f>
        <v>MZZLLD58H06L500G</v>
      </c>
      <c r="O247" s="3" t="s">
        <v>352</v>
      </c>
      <c r="P247" s="3" t="s">
        <v>36</v>
      </c>
      <c r="Q247" s="3"/>
      <c r="R247" s="4">
        <v>45996</v>
      </c>
      <c r="S247" s="3" t="s">
        <v>37</v>
      </c>
      <c r="T247" s="3" t="s">
        <v>38</v>
      </c>
      <c r="U247" s="3" t="s">
        <v>39</v>
      </c>
      <c r="V247" s="3">
        <v>114.75</v>
      </c>
      <c r="W247" s="3">
        <v>48.77</v>
      </c>
      <c r="X247" s="3">
        <v>46.19</v>
      </c>
      <c r="Y247" s="3">
        <v>19.79</v>
      </c>
    </row>
    <row r="248" spans="1:25" ht="72.75" x14ac:dyDescent="0.25">
      <c r="A248" s="3" t="s">
        <v>26</v>
      </c>
      <c r="B248" s="3" t="s">
        <v>27</v>
      </c>
      <c r="C248" s="3" t="s">
        <v>28</v>
      </c>
      <c r="D248" s="3" t="s">
        <v>29</v>
      </c>
      <c r="E248" s="3" t="s">
        <v>119</v>
      </c>
      <c r="F248" s="3" t="s">
        <v>31</v>
      </c>
      <c r="G248" s="3" t="s">
        <v>119</v>
      </c>
      <c r="H248" s="3" t="s">
        <v>96</v>
      </c>
      <c r="I248" s="3">
        <v>2025</v>
      </c>
      <c r="J248" s="3" t="str">
        <f>CONCATENATE("54820049648")</f>
        <v>54820049648</v>
      </c>
      <c r="K248" s="3" t="s">
        <v>33</v>
      </c>
      <c r="L248" s="3"/>
      <c r="M248" s="3" t="s">
        <v>131</v>
      </c>
      <c r="N248" s="3" t="str">
        <f>CONCATENATE("BNFMSM75D10A252E")</f>
        <v>BNFMSM75D10A252E</v>
      </c>
      <c r="O248" s="3" t="s">
        <v>353</v>
      </c>
      <c r="P248" s="3" t="s">
        <v>36</v>
      </c>
      <c r="Q248" s="3"/>
      <c r="R248" s="4">
        <v>45996</v>
      </c>
      <c r="S248" s="3" t="s">
        <v>37</v>
      </c>
      <c r="T248" s="3" t="s">
        <v>38</v>
      </c>
      <c r="U248" s="3" t="s">
        <v>39</v>
      </c>
      <c r="V248" s="3">
        <v>55.23</v>
      </c>
      <c r="W248" s="3">
        <v>23.47</v>
      </c>
      <c r="X248" s="3">
        <v>22.23</v>
      </c>
      <c r="Y248" s="3">
        <v>9.5299999999999994</v>
      </c>
    </row>
    <row r="249" spans="1:25" ht="72.75" x14ac:dyDescent="0.25">
      <c r="A249" s="3" t="s">
        <v>26</v>
      </c>
      <c r="B249" s="3" t="s">
        <v>27</v>
      </c>
      <c r="C249" s="3" t="s">
        <v>28</v>
      </c>
      <c r="D249" s="3" t="s">
        <v>29</v>
      </c>
      <c r="E249" s="3" t="s">
        <v>80</v>
      </c>
      <c r="F249" s="3" t="s">
        <v>31</v>
      </c>
      <c r="G249" s="3" t="s">
        <v>80</v>
      </c>
      <c r="H249" s="3" t="s">
        <v>45</v>
      </c>
      <c r="I249" s="3">
        <v>2025</v>
      </c>
      <c r="J249" s="3" t="str">
        <f>CONCATENATE("54820111604")</f>
        <v>54820111604</v>
      </c>
      <c r="K249" s="3" t="s">
        <v>33</v>
      </c>
      <c r="L249" s="3"/>
      <c r="M249" s="3" t="s">
        <v>131</v>
      </c>
      <c r="N249" s="3" t="str">
        <f>CONCATENATE("BRLPLG48M11B352W")</f>
        <v>BRLPLG48M11B352W</v>
      </c>
      <c r="O249" s="3" t="s">
        <v>354</v>
      </c>
      <c r="P249" s="3" t="s">
        <v>36</v>
      </c>
      <c r="Q249" s="3"/>
      <c r="R249" s="4">
        <v>45996</v>
      </c>
      <c r="S249" s="3" t="s">
        <v>37</v>
      </c>
      <c r="T249" s="3" t="s">
        <v>38</v>
      </c>
      <c r="U249" s="3" t="s">
        <v>39</v>
      </c>
      <c r="V249" s="3">
        <v>589.88</v>
      </c>
      <c r="W249" s="3">
        <v>250.7</v>
      </c>
      <c r="X249" s="3">
        <v>237.43</v>
      </c>
      <c r="Y249" s="3">
        <v>101.75</v>
      </c>
    </row>
    <row r="250" spans="1:25" ht="72.75" x14ac:dyDescent="0.25">
      <c r="A250" s="3" t="s">
        <v>26</v>
      </c>
      <c r="B250" s="3" t="s">
        <v>27</v>
      </c>
      <c r="C250" s="3" t="s">
        <v>28</v>
      </c>
      <c r="D250" s="3" t="s">
        <v>29</v>
      </c>
      <c r="E250" s="3" t="s">
        <v>80</v>
      </c>
      <c r="F250" s="3" t="s">
        <v>31</v>
      </c>
      <c r="G250" s="3" t="s">
        <v>80</v>
      </c>
      <c r="H250" s="3" t="s">
        <v>45</v>
      </c>
      <c r="I250" s="3">
        <v>2025</v>
      </c>
      <c r="J250" s="3" t="str">
        <f>CONCATENATE("54820067004")</f>
        <v>54820067004</v>
      </c>
      <c r="K250" s="3" t="s">
        <v>33</v>
      </c>
      <c r="L250" s="3"/>
      <c r="M250" s="3" t="s">
        <v>131</v>
      </c>
      <c r="N250" s="3" t="str">
        <f>CONCATENATE("DMNCRN61B51G453G")</f>
        <v>DMNCRN61B51G453G</v>
      </c>
      <c r="O250" s="3" t="s">
        <v>355</v>
      </c>
      <c r="P250" s="3" t="s">
        <v>36</v>
      </c>
      <c r="Q250" s="3"/>
      <c r="R250" s="4">
        <v>45996</v>
      </c>
      <c r="S250" s="3" t="s">
        <v>37</v>
      </c>
      <c r="T250" s="3" t="s">
        <v>38</v>
      </c>
      <c r="U250" s="3" t="s">
        <v>39</v>
      </c>
      <c r="V250" s="3">
        <v>720.8</v>
      </c>
      <c r="W250" s="3">
        <v>306.33999999999997</v>
      </c>
      <c r="X250" s="3">
        <v>290.12</v>
      </c>
      <c r="Y250" s="3">
        <v>124.34</v>
      </c>
    </row>
    <row r="251" spans="1:25" ht="36.75" x14ac:dyDescent="0.25">
      <c r="A251" s="3" t="s">
        <v>26</v>
      </c>
      <c r="B251" s="3" t="s">
        <v>27</v>
      </c>
      <c r="C251" s="3" t="s">
        <v>28</v>
      </c>
      <c r="D251" s="3" t="s">
        <v>50</v>
      </c>
      <c r="E251" s="3" t="s">
        <v>147</v>
      </c>
      <c r="F251" s="3" t="s">
        <v>52</v>
      </c>
      <c r="G251" s="3" t="s">
        <v>147</v>
      </c>
      <c r="H251" s="3" t="s">
        <v>45</v>
      </c>
      <c r="I251" s="3">
        <v>2025</v>
      </c>
      <c r="J251" s="3" t="str">
        <f>CONCATENATE("54820116835")</f>
        <v>54820116835</v>
      </c>
      <c r="K251" s="3" t="s">
        <v>33</v>
      </c>
      <c r="L251" s="3"/>
      <c r="M251" s="3" t="s">
        <v>131</v>
      </c>
      <c r="N251" s="3" t="str">
        <f>CONCATENATE("02100960414")</f>
        <v>02100960414</v>
      </c>
      <c r="O251" s="3" t="s">
        <v>356</v>
      </c>
      <c r="P251" s="3" t="s">
        <v>36</v>
      </c>
      <c r="Q251" s="3"/>
      <c r="R251" s="4">
        <v>45996</v>
      </c>
      <c r="S251" s="3" t="s">
        <v>37</v>
      </c>
      <c r="T251" s="3" t="s">
        <v>38</v>
      </c>
      <c r="U251" s="3" t="s">
        <v>39</v>
      </c>
      <c r="V251" s="3">
        <v>108.43</v>
      </c>
      <c r="W251" s="3">
        <v>46.08</v>
      </c>
      <c r="X251" s="3">
        <v>43.64</v>
      </c>
      <c r="Y251" s="3">
        <v>18.71</v>
      </c>
    </row>
    <row r="252" spans="1:25" ht="72.75" x14ac:dyDescent="0.25">
      <c r="A252" s="3" t="s">
        <v>26</v>
      </c>
      <c r="B252" s="3" t="s">
        <v>27</v>
      </c>
      <c r="C252" s="3" t="s">
        <v>28</v>
      </c>
      <c r="D252" s="3" t="s">
        <v>29</v>
      </c>
      <c r="E252" s="3" t="s">
        <v>208</v>
      </c>
      <c r="F252" s="3" t="s">
        <v>31</v>
      </c>
      <c r="G252" s="3" t="s">
        <v>208</v>
      </c>
      <c r="H252" s="3" t="s">
        <v>45</v>
      </c>
      <c r="I252" s="3">
        <v>2025</v>
      </c>
      <c r="J252" s="3" t="str">
        <f>CONCATENATE("54820055272")</f>
        <v>54820055272</v>
      </c>
      <c r="K252" s="3" t="s">
        <v>33</v>
      </c>
      <c r="L252" s="3"/>
      <c r="M252" s="3" t="s">
        <v>131</v>
      </c>
      <c r="N252" s="3" t="str">
        <f>CONCATENATE("MSCLGU55M26B026D")</f>
        <v>MSCLGU55M26B026D</v>
      </c>
      <c r="O252" s="3" t="s">
        <v>357</v>
      </c>
      <c r="P252" s="3" t="s">
        <v>36</v>
      </c>
      <c r="Q252" s="3"/>
      <c r="R252" s="4">
        <v>45996</v>
      </c>
      <c r="S252" s="3" t="s">
        <v>37</v>
      </c>
      <c r="T252" s="3" t="s">
        <v>38</v>
      </c>
      <c r="U252" s="3" t="s">
        <v>39</v>
      </c>
      <c r="V252" s="3">
        <v>56.78</v>
      </c>
      <c r="W252" s="3">
        <v>24.13</v>
      </c>
      <c r="X252" s="3">
        <v>22.85</v>
      </c>
      <c r="Y252" s="3">
        <v>9.8000000000000007</v>
      </c>
    </row>
    <row r="253" spans="1:25" ht="60.75" x14ac:dyDescent="0.25">
      <c r="A253" s="3" t="s">
        <v>26</v>
      </c>
      <c r="B253" s="3" t="s">
        <v>27</v>
      </c>
      <c r="C253" s="3" t="s">
        <v>28</v>
      </c>
      <c r="D253" s="3" t="s">
        <v>29</v>
      </c>
      <c r="E253" s="3" t="s">
        <v>119</v>
      </c>
      <c r="F253" s="3" t="s">
        <v>31</v>
      </c>
      <c r="G253" s="3" t="s">
        <v>119</v>
      </c>
      <c r="H253" s="3" t="s">
        <v>96</v>
      </c>
      <c r="I253" s="3">
        <v>2025</v>
      </c>
      <c r="J253" s="3" t="str">
        <f>CONCATENATE("54820043153")</f>
        <v>54820043153</v>
      </c>
      <c r="K253" s="3" t="s">
        <v>33</v>
      </c>
      <c r="L253" s="3"/>
      <c r="M253" s="3" t="s">
        <v>131</v>
      </c>
      <c r="N253" s="3" t="str">
        <f>CONCATENATE("MRCSRG54L21F509E")</f>
        <v>MRCSRG54L21F509E</v>
      </c>
      <c r="O253" s="3" t="s">
        <v>358</v>
      </c>
      <c r="P253" s="3" t="s">
        <v>36</v>
      </c>
      <c r="Q253" s="3"/>
      <c r="R253" s="4">
        <v>45996</v>
      </c>
      <c r="S253" s="3" t="s">
        <v>37</v>
      </c>
      <c r="T253" s="3" t="s">
        <v>38</v>
      </c>
      <c r="U253" s="3" t="s">
        <v>39</v>
      </c>
      <c r="V253" s="3">
        <v>173.75</v>
      </c>
      <c r="W253" s="3">
        <v>73.84</v>
      </c>
      <c r="X253" s="3">
        <v>69.930000000000007</v>
      </c>
      <c r="Y253" s="3">
        <v>29.98</v>
      </c>
    </row>
    <row r="254" spans="1:25" ht="60.75" x14ac:dyDescent="0.25">
      <c r="A254" s="3" t="s">
        <v>26</v>
      </c>
      <c r="B254" s="3" t="s">
        <v>27</v>
      </c>
      <c r="C254" s="3" t="s">
        <v>28</v>
      </c>
      <c r="D254" s="3" t="s">
        <v>29</v>
      </c>
      <c r="E254" s="3" t="s">
        <v>47</v>
      </c>
      <c r="F254" s="3" t="s">
        <v>31</v>
      </c>
      <c r="G254" s="3" t="s">
        <v>47</v>
      </c>
      <c r="H254" s="3" t="s">
        <v>48</v>
      </c>
      <c r="I254" s="3">
        <v>2025</v>
      </c>
      <c r="J254" s="3" t="str">
        <f>CONCATENATE("54820050463")</f>
        <v>54820050463</v>
      </c>
      <c r="K254" s="3" t="s">
        <v>33</v>
      </c>
      <c r="L254" s="3"/>
      <c r="M254" s="3" t="s">
        <v>131</v>
      </c>
      <c r="N254" s="3" t="str">
        <f>CONCATENATE("VLCNGL76A26E388O")</f>
        <v>VLCNGL76A26E388O</v>
      </c>
      <c r="O254" s="3" t="s">
        <v>359</v>
      </c>
      <c r="P254" s="3" t="s">
        <v>36</v>
      </c>
      <c r="Q254" s="3"/>
      <c r="R254" s="4">
        <v>45996</v>
      </c>
      <c r="S254" s="3" t="s">
        <v>37</v>
      </c>
      <c r="T254" s="3" t="s">
        <v>38</v>
      </c>
      <c r="U254" s="3" t="s">
        <v>39</v>
      </c>
      <c r="V254" s="3">
        <v>62.7</v>
      </c>
      <c r="W254" s="3">
        <v>26.65</v>
      </c>
      <c r="X254" s="3">
        <v>25.24</v>
      </c>
      <c r="Y254" s="3">
        <v>10.81</v>
      </c>
    </row>
    <row r="255" spans="1:25" ht="60.75" x14ac:dyDescent="0.25">
      <c r="A255" s="3" t="s">
        <v>26</v>
      </c>
      <c r="B255" s="3" t="s">
        <v>27</v>
      </c>
      <c r="C255" s="3" t="s">
        <v>28</v>
      </c>
      <c r="D255" s="3" t="s">
        <v>29</v>
      </c>
      <c r="E255" s="3" t="s">
        <v>228</v>
      </c>
      <c r="F255" s="3" t="s">
        <v>31</v>
      </c>
      <c r="G255" s="3" t="s">
        <v>228</v>
      </c>
      <c r="H255" s="3" t="s">
        <v>45</v>
      </c>
      <c r="I255" s="3">
        <v>2025</v>
      </c>
      <c r="J255" s="3" t="str">
        <f>CONCATENATE("54820039615")</f>
        <v>54820039615</v>
      </c>
      <c r="K255" s="3" t="s">
        <v>33</v>
      </c>
      <c r="L255" s="3"/>
      <c r="M255" s="3" t="s">
        <v>131</v>
      </c>
      <c r="N255" s="3" t="str">
        <f>CONCATENATE("MSCFNC46H30D749T")</f>
        <v>MSCFNC46H30D749T</v>
      </c>
      <c r="O255" s="3" t="s">
        <v>360</v>
      </c>
      <c r="P255" s="3" t="s">
        <v>36</v>
      </c>
      <c r="Q255" s="3"/>
      <c r="R255" s="4">
        <v>45996</v>
      </c>
      <c r="S255" s="3" t="s">
        <v>37</v>
      </c>
      <c r="T255" s="3" t="s">
        <v>38</v>
      </c>
      <c r="U255" s="3" t="s">
        <v>39</v>
      </c>
      <c r="V255" s="3">
        <v>399.65</v>
      </c>
      <c r="W255" s="3">
        <v>169.85</v>
      </c>
      <c r="X255" s="3">
        <v>160.86000000000001</v>
      </c>
      <c r="Y255" s="3">
        <v>68.94</v>
      </c>
    </row>
    <row r="256" spans="1:25" ht="60.75" x14ac:dyDescent="0.25">
      <c r="A256" s="3" t="s">
        <v>26</v>
      </c>
      <c r="B256" s="3" t="s">
        <v>27</v>
      </c>
      <c r="C256" s="3" t="s">
        <v>28</v>
      </c>
      <c r="D256" s="3" t="s">
        <v>29</v>
      </c>
      <c r="E256" s="3" t="s">
        <v>119</v>
      </c>
      <c r="F256" s="3" t="s">
        <v>31</v>
      </c>
      <c r="G256" s="3" t="s">
        <v>119</v>
      </c>
      <c r="H256" s="3" t="s">
        <v>96</v>
      </c>
      <c r="I256" s="3">
        <v>2025</v>
      </c>
      <c r="J256" s="3" t="str">
        <f>CONCATENATE("54820057450")</f>
        <v>54820057450</v>
      </c>
      <c r="K256" s="3" t="s">
        <v>33</v>
      </c>
      <c r="L256" s="3"/>
      <c r="M256" s="3" t="s">
        <v>131</v>
      </c>
      <c r="N256" s="3" t="str">
        <f>CONCATENATE("FNANNL66L67H588K")</f>
        <v>FNANNL66L67H588K</v>
      </c>
      <c r="O256" s="3" t="s">
        <v>361</v>
      </c>
      <c r="P256" s="3" t="s">
        <v>36</v>
      </c>
      <c r="Q256" s="3"/>
      <c r="R256" s="4">
        <v>45996</v>
      </c>
      <c r="S256" s="3" t="s">
        <v>37</v>
      </c>
      <c r="T256" s="3" t="s">
        <v>38</v>
      </c>
      <c r="U256" s="3" t="s">
        <v>39</v>
      </c>
      <c r="V256" s="3">
        <v>76.459999999999994</v>
      </c>
      <c r="W256" s="3">
        <v>32.5</v>
      </c>
      <c r="X256" s="3">
        <v>30.78</v>
      </c>
      <c r="Y256" s="3">
        <v>13.18</v>
      </c>
    </row>
    <row r="257" spans="1:25" ht="60.75" x14ac:dyDescent="0.25">
      <c r="A257" s="3" t="s">
        <v>26</v>
      </c>
      <c r="B257" s="3" t="s">
        <v>27</v>
      </c>
      <c r="C257" s="3" t="s">
        <v>28</v>
      </c>
      <c r="D257" s="3" t="s">
        <v>29</v>
      </c>
      <c r="E257" s="3" t="s">
        <v>136</v>
      </c>
      <c r="F257" s="3" t="s">
        <v>31</v>
      </c>
      <c r="G257" s="3" t="s">
        <v>136</v>
      </c>
      <c r="H257" s="3" t="s">
        <v>48</v>
      </c>
      <c r="I257" s="3">
        <v>2025</v>
      </c>
      <c r="J257" s="3" t="str">
        <f>CONCATENATE("54820014592")</f>
        <v>54820014592</v>
      </c>
      <c r="K257" s="3" t="s">
        <v>33</v>
      </c>
      <c r="L257" s="3"/>
      <c r="M257" s="3" t="s">
        <v>131</v>
      </c>
      <c r="N257" s="3" t="str">
        <f>CONCATENATE("MLTCTN40S05D965T")</f>
        <v>MLTCTN40S05D965T</v>
      </c>
      <c r="O257" s="3" t="s">
        <v>362</v>
      </c>
      <c r="P257" s="3" t="s">
        <v>36</v>
      </c>
      <c r="Q257" s="3"/>
      <c r="R257" s="4">
        <v>45996</v>
      </c>
      <c r="S257" s="3" t="s">
        <v>37</v>
      </c>
      <c r="T257" s="3" t="s">
        <v>38</v>
      </c>
      <c r="U257" s="3" t="s">
        <v>39</v>
      </c>
      <c r="V257" s="3">
        <v>120.2</v>
      </c>
      <c r="W257" s="3">
        <v>51.09</v>
      </c>
      <c r="X257" s="3">
        <v>48.38</v>
      </c>
      <c r="Y257" s="3">
        <v>20.73</v>
      </c>
    </row>
    <row r="258" spans="1:25" ht="60.75" x14ac:dyDescent="0.25">
      <c r="A258" s="3" t="s">
        <v>26</v>
      </c>
      <c r="B258" s="3" t="s">
        <v>27</v>
      </c>
      <c r="C258" s="3" t="s">
        <v>28</v>
      </c>
      <c r="D258" s="3" t="s">
        <v>29</v>
      </c>
      <c r="E258" s="3" t="s">
        <v>136</v>
      </c>
      <c r="F258" s="3" t="s">
        <v>31</v>
      </c>
      <c r="G258" s="3" t="s">
        <v>136</v>
      </c>
      <c r="H258" s="3" t="s">
        <v>48</v>
      </c>
      <c r="I258" s="3">
        <v>2025</v>
      </c>
      <c r="J258" s="3" t="str">
        <f>CONCATENATE("54820175039")</f>
        <v>54820175039</v>
      </c>
      <c r="K258" s="3" t="s">
        <v>33</v>
      </c>
      <c r="L258" s="3"/>
      <c r="M258" s="3" t="s">
        <v>131</v>
      </c>
      <c r="N258" s="3" t="str">
        <f>CONCATENATE("RDCGLI61A20D965T")</f>
        <v>RDCGLI61A20D965T</v>
      </c>
      <c r="O258" s="3" t="s">
        <v>363</v>
      </c>
      <c r="P258" s="3" t="s">
        <v>36</v>
      </c>
      <c r="Q258" s="3"/>
      <c r="R258" s="4">
        <v>45996</v>
      </c>
      <c r="S258" s="3" t="s">
        <v>37</v>
      </c>
      <c r="T258" s="3" t="s">
        <v>38</v>
      </c>
      <c r="U258" s="3" t="s">
        <v>39</v>
      </c>
      <c r="V258" s="3">
        <v>166.33</v>
      </c>
      <c r="W258" s="3">
        <v>70.69</v>
      </c>
      <c r="X258" s="3">
        <v>66.95</v>
      </c>
      <c r="Y258" s="3">
        <v>28.69</v>
      </c>
    </row>
    <row r="259" spans="1:25" ht="36.75" x14ac:dyDescent="0.25">
      <c r="A259" s="3" t="s">
        <v>26</v>
      </c>
      <c r="B259" s="3" t="s">
        <v>27</v>
      </c>
      <c r="C259" s="3" t="s">
        <v>28</v>
      </c>
      <c r="D259" s="3" t="s">
        <v>29</v>
      </c>
      <c r="E259" s="3" t="s">
        <v>182</v>
      </c>
      <c r="F259" s="3" t="s">
        <v>31</v>
      </c>
      <c r="G259" s="3" t="s">
        <v>182</v>
      </c>
      <c r="H259" s="3" t="s">
        <v>45</v>
      </c>
      <c r="I259" s="3">
        <v>2025</v>
      </c>
      <c r="J259" s="3" t="str">
        <f>CONCATENATE("54820160254")</f>
        <v>54820160254</v>
      </c>
      <c r="K259" s="3" t="s">
        <v>33</v>
      </c>
      <c r="L259" s="3"/>
      <c r="M259" s="3" t="s">
        <v>131</v>
      </c>
      <c r="N259" s="3" t="str">
        <f>CONCATENATE("00800390411")</f>
        <v>00800390411</v>
      </c>
      <c r="O259" s="3" t="s">
        <v>364</v>
      </c>
      <c r="P259" s="3" t="s">
        <v>36</v>
      </c>
      <c r="Q259" s="3"/>
      <c r="R259" s="4">
        <v>45996</v>
      </c>
      <c r="S259" s="3" t="s">
        <v>37</v>
      </c>
      <c r="T259" s="3" t="s">
        <v>38</v>
      </c>
      <c r="U259" s="3" t="s">
        <v>39</v>
      </c>
      <c r="V259" s="3">
        <v>277.60000000000002</v>
      </c>
      <c r="W259" s="3">
        <v>117.98</v>
      </c>
      <c r="X259" s="3">
        <v>111.73</v>
      </c>
      <c r="Y259" s="3">
        <v>47.89</v>
      </c>
    </row>
    <row r="260" spans="1:25" ht="60.75" x14ac:dyDescent="0.25">
      <c r="A260" s="3" t="s">
        <v>26</v>
      </c>
      <c r="B260" s="3" t="s">
        <v>27</v>
      </c>
      <c r="C260" s="3" t="s">
        <v>28</v>
      </c>
      <c r="D260" s="3" t="s">
        <v>29</v>
      </c>
      <c r="E260" s="3" t="s">
        <v>47</v>
      </c>
      <c r="F260" s="3" t="s">
        <v>31</v>
      </c>
      <c r="G260" s="3" t="s">
        <v>47</v>
      </c>
      <c r="H260" s="3" t="s">
        <v>48</v>
      </c>
      <c r="I260" s="3">
        <v>2025</v>
      </c>
      <c r="J260" s="3" t="str">
        <f>CONCATENATE("54820192182")</f>
        <v>54820192182</v>
      </c>
      <c r="K260" s="3" t="s">
        <v>33</v>
      </c>
      <c r="L260" s="3"/>
      <c r="M260" s="3" t="s">
        <v>131</v>
      </c>
      <c r="N260" s="3" t="str">
        <f>CONCATENATE("CRRPLA61T04D451B")</f>
        <v>CRRPLA61T04D451B</v>
      </c>
      <c r="O260" s="3" t="s">
        <v>365</v>
      </c>
      <c r="P260" s="3" t="s">
        <v>36</v>
      </c>
      <c r="Q260" s="3"/>
      <c r="R260" s="4">
        <v>45996</v>
      </c>
      <c r="S260" s="3" t="s">
        <v>37</v>
      </c>
      <c r="T260" s="3" t="s">
        <v>38</v>
      </c>
      <c r="U260" s="3" t="s">
        <v>39</v>
      </c>
      <c r="V260" s="3">
        <v>94.65</v>
      </c>
      <c r="W260" s="3">
        <v>40.229999999999997</v>
      </c>
      <c r="X260" s="3">
        <v>38.1</v>
      </c>
      <c r="Y260" s="3">
        <v>16.32</v>
      </c>
    </row>
    <row r="261" spans="1:25" ht="60.75" x14ac:dyDescent="0.25">
      <c r="A261" s="3" t="s">
        <v>26</v>
      </c>
      <c r="B261" s="3" t="s">
        <v>27</v>
      </c>
      <c r="C261" s="3" t="s">
        <v>28</v>
      </c>
      <c r="D261" s="3" t="s">
        <v>29</v>
      </c>
      <c r="E261" s="3" t="s">
        <v>72</v>
      </c>
      <c r="F261" s="3" t="s">
        <v>31</v>
      </c>
      <c r="G261" s="3" t="s">
        <v>72</v>
      </c>
      <c r="H261" s="3" t="s">
        <v>45</v>
      </c>
      <c r="I261" s="3">
        <v>2025</v>
      </c>
      <c r="J261" s="3" t="str">
        <f>CONCATENATE("54820038666")</f>
        <v>54820038666</v>
      </c>
      <c r="K261" s="3" t="s">
        <v>33</v>
      </c>
      <c r="L261" s="3"/>
      <c r="M261" s="3" t="s">
        <v>131</v>
      </c>
      <c r="N261" s="3" t="str">
        <f>CONCATENATE("MRTCRL54H23G618Y")</f>
        <v>MRTCRL54H23G618Y</v>
      </c>
      <c r="O261" s="3" t="s">
        <v>366</v>
      </c>
      <c r="P261" s="3" t="s">
        <v>36</v>
      </c>
      <c r="Q261" s="3"/>
      <c r="R261" s="4">
        <v>45996</v>
      </c>
      <c r="S261" s="3" t="s">
        <v>37</v>
      </c>
      <c r="T261" s="3" t="s">
        <v>38</v>
      </c>
      <c r="U261" s="3" t="s">
        <v>39</v>
      </c>
      <c r="V261" s="3">
        <v>185.31</v>
      </c>
      <c r="W261" s="3">
        <v>78.760000000000005</v>
      </c>
      <c r="X261" s="3">
        <v>74.59</v>
      </c>
      <c r="Y261" s="3">
        <v>31.96</v>
      </c>
    </row>
    <row r="262" spans="1:25" ht="60.75" x14ac:dyDescent="0.25">
      <c r="A262" s="3" t="s">
        <v>26</v>
      </c>
      <c r="B262" s="3" t="s">
        <v>27</v>
      </c>
      <c r="C262" s="3" t="s">
        <v>28</v>
      </c>
      <c r="D262" s="3" t="s">
        <v>50</v>
      </c>
      <c r="E262" s="3" t="s">
        <v>367</v>
      </c>
      <c r="F262" s="3" t="s">
        <v>52</v>
      </c>
      <c r="G262" s="3" t="s">
        <v>367</v>
      </c>
      <c r="H262" s="3" t="s">
        <v>32</v>
      </c>
      <c r="I262" s="3">
        <v>2025</v>
      </c>
      <c r="J262" s="3" t="str">
        <f>CONCATENATE("54820031729")</f>
        <v>54820031729</v>
      </c>
      <c r="K262" s="3" t="s">
        <v>33</v>
      </c>
      <c r="L262" s="3"/>
      <c r="M262" s="3" t="s">
        <v>131</v>
      </c>
      <c r="N262" s="3" t="str">
        <f>CONCATENATE("LSSNLC81T44D653A")</f>
        <v>LSSNLC81T44D653A</v>
      </c>
      <c r="O262" s="3" t="s">
        <v>368</v>
      </c>
      <c r="P262" s="3" t="s">
        <v>36</v>
      </c>
      <c r="Q262" s="3"/>
      <c r="R262" s="4">
        <v>45996</v>
      </c>
      <c r="S262" s="3" t="s">
        <v>37</v>
      </c>
      <c r="T262" s="3" t="s">
        <v>38</v>
      </c>
      <c r="U262" s="3" t="s">
        <v>39</v>
      </c>
      <c r="V262" s="3">
        <v>473.86</v>
      </c>
      <c r="W262" s="3">
        <v>201.39</v>
      </c>
      <c r="X262" s="3">
        <v>190.73</v>
      </c>
      <c r="Y262" s="3">
        <v>81.739999999999995</v>
      </c>
    </row>
    <row r="263" spans="1:25" ht="36.75" x14ac:dyDescent="0.25">
      <c r="A263" s="3" t="s">
        <v>26</v>
      </c>
      <c r="B263" s="3" t="s">
        <v>27</v>
      </c>
      <c r="C263" s="3" t="s">
        <v>28</v>
      </c>
      <c r="D263" s="3" t="s">
        <v>40</v>
      </c>
      <c r="E263" s="3" t="s">
        <v>54</v>
      </c>
      <c r="F263" s="3" t="s">
        <v>42</v>
      </c>
      <c r="G263" s="3" t="s">
        <v>54</v>
      </c>
      <c r="H263" s="3" t="s">
        <v>45</v>
      </c>
      <c r="I263" s="3">
        <v>2025</v>
      </c>
      <c r="J263" s="3" t="str">
        <f>CONCATENATE("54820053384")</f>
        <v>54820053384</v>
      </c>
      <c r="K263" s="3" t="s">
        <v>33</v>
      </c>
      <c r="L263" s="3"/>
      <c r="M263" s="3" t="s">
        <v>131</v>
      </c>
      <c r="N263" s="3" t="str">
        <f>CONCATENATE("02596540415")</f>
        <v>02596540415</v>
      </c>
      <c r="O263" s="3" t="s">
        <v>369</v>
      </c>
      <c r="P263" s="3" t="s">
        <v>36</v>
      </c>
      <c r="Q263" s="3"/>
      <c r="R263" s="4">
        <v>45996</v>
      </c>
      <c r="S263" s="3" t="s">
        <v>37</v>
      </c>
      <c r="T263" s="3" t="s">
        <v>38</v>
      </c>
      <c r="U263" s="3" t="s">
        <v>39</v>
      </c>
      <c r="V263" s="3">
        <v>192.57</v>
      </c>
      <c r="W263" s="3">
        <v>81.84</v>
      </c>
      <c r="X263" s="3">
        <v>77.510000000000005</v>
      </c>
      <c r="Y263" s="3">
        <v>33.22</v>
      </c>
    </row>
    <row r="264" spans="1:25" ht="60.75" x14ac:dyDescent="0.25">
      <c r="A264" s="3" t="s">
        <v>26</v>
      </c>
      <c r="B264" s="3" t="s">
        <v>27</v>
      </c>
      <c r="C264" s="3" t="s">
        <v>28</v>
      </c>
      <c r="D264" s="3" t="s">
        <v>29</v>
      </c>
      <c r="E264" s="3" t="s">
        <v>136</v>
      </c>
      <c r="F264" s="3" t="s">
        <v>31</v>
      </c>
      <c r="G264" s="3" t="s">
        <v>136</v>
      </c>
      <c r="H264" s="3" t="s">
        <v>48</v>
      </c>
      <c r="I264" s="3">
        <v>2025</v>
      </c>
      <c r="J264" s="3" t="str">
        <f>CONCATENATE("54820029806")</f>
        <v>54820029806</v>
      </c>
      <c r="K264" s="3" t="s">
        <v>33</v>
      </c>
      <c r="L264" s="3"/>
      <c r="M264" s="3" t="s">
        <v>131</v>
      </c>
      <c r="N264" s="3" t="str">
        <f>CONCATENATE("CSLNNN59A44I461C")</f>
        <v>CSLNNN59A44I461C</v>
      </c>
      <c r="O264" s="3" t="s">
        <v>370</v>
      </c>
      <c r="P264" s="3" t="s">
        <v>36</v>
      </c>
      <c r="Q264" s="3"/>
      <c r="R264" s="4">
        <v>45996</v>
      </c>
      <c r="S264" s="3" t="s">
        <v>37</v>
      </c>
      <c r="T264" s="3" t="s">
        <v>38</v>
      </c>
      <c r="U264" s="3" t="s">
        <v>39</v>
      </c>
      <c r="V264" s="3">
        <v>55.15</v>
      </c>
      <c r="W264" s="3">
        <v>23.44</v>
      </c>
      <c r="X264" s="3">
        <v>22.2</v>
      </c>
      <c r="Y264" s="3">
        <v>9.51</v>
      </c>
    </row>
    <row r="265" spans="1:25" ht="60.75" x14ac:dyDescent="0.25">
      <c r="A265" s="3" t="s">
        <v>26</v>
      </c>
      <c r="B265" s="3" t="s">
        <v>27</v>
      </c>
      <c r="C265" s="3" t="s">
        <v>28</v>
      </c>
      <c r="D265" s="3" t="s">
        <v>29</v>
      </c>
      <c r="E265" s="3" t="s">
        <v>228</v>
      </c>
      <c r="F265" s="3" t="s">
        <v>31</v>
      </c>
      <c r="G265" s="3" t="s">
        <v>228</v>
      </c>
      <c r="H265" s="3" t="s">
        <v>45</v>
      </c>
      <c r="I265" s="3">
        <v>2025</v>
      </c>
      <c r="J265" s="3" t="str">
        <f>CONCATENATE("54820032123")</f>
        <v>54820032123</v>
      </c>
      <c r="K265" s="3" t="s">
        <v>33</v>
      </c>
      <c r="L265" s="3"/>
      <c r="M265" s="3" t="s">
        <v>131</v>
      </c>
      <c r="N265" s="3" t="str">
        <f>CONCATENATE("LSILRD57E13F497K")</f>
        <v>LSILRD57E13F497K</v>
      </c>
      <c r="O265" s="3" t="s">
        <v>371</v>
      </c>
      <c r="P265" s="3" t="s">
        <v>36</v>
      </c>
      <c r="Q265" s="3"/>
      <c r="R265" s="4">
        <v>45996</v>
      </c>
      <c r="S265" s="3" t="s">
        <v>37</v>
      </c>
      <c r="T265" s="3" t="s">
        <v>38</v>
      </c>
      <c r="U265" s="3" t="s">
        <v>39</v>
      </c>
      <c r="V265" s="3">
        <v>193.68</v>
      </c>
      <c r="W265" s="3">
        <v>82.31</v>
      </c>
      <c r="X265" s="3">
        <v>77.959999999999994</v>
      </c>
      <c r="Y265" s="3">
        <v>33.409999999999997</v>
      </c>
    </row>
    <row r="266" spans="1:25" ht="60.75" x14ac:dyDescent="0.25">
      <c r="A266" s="3" t="s">
        <v>26</v>
      </c>
      <c r="B266" s="3" t="s">
        <v>27</v>
      </c>
      <c r="C266" s="3" t="s">
        <v>28</v>
      </c>
      <c r="D266" s="3" t="s">
        <v>29</v>
      </c>
      <c r="E266" s="3" t="s">
        <v>136</v>
      </c>
      <c r="F266" s="3" t="s">
        <v>31</v>
      </c>
      <c r="G266" s="3" t="s">
        <v>136</v>
      </c>
      <c r="H266" s="3" t="s">
        <v>48</v>
      </c>
      <c r="I266" s="3">
        <v>2025</v>
      </c>
      <c r="J266" s="3" t="str">
        <f>CONCATENATE("54820038971")</f>
        <v>54820038971</v>
      </c>
      <c r="K266" s="3" t="s">
        <v>33</v>
      </c>
      <c r="L266" s="3"/>
      <c r="M266" s="3" t="s">
        <v>131</v>
      </c>
      <c r="N266" s="3" t="str">
        <f>CONCATENATE("GSTGST65A31I461B")</f>
        <v>GSTGST65A31I461B</v>
      </c>
      <c r="O266" s="3" t="s">
        <v>372</v>
      </c>
      <c r="P266" s="3" t="s">
        <v>36</v>
      </c>
      <c r="Q266" s="3"/>
      <c r="R266" s="4">
        <v>45996</v>
      </c>
      <c r="S266" s="3" t="s">
        <v>37</v>
      </c>
      <c r="T266" s="3" t="s">
        <v>38</v>
      </c>
      <c r="U266" s="3" t="s">
        <v>39</v>
      </c>
      <c r="V266" s="3">
        <v>183.11</v>
      </c>
      <c r="W266" s="3">
        <v>77.819999999999993</v>
      </c>
      <c r="X266" s="3">
        <v>73.7</v>
      </c>
      <c r="Y266" s="3">
        <v>31.59</v>
      </c>
    </row>
    <row r="267" spans="1:25" ht="60.75" x14ac:dyDescent="0.25">
      <c r="A267" s="3" t="s">
        <v>26</v>
      </c>
      <c r="B267" s="3" t="s">
        <v>27</v>
      </c>
      <c r="C267" s="3" t="s">
        <v>28</v>
      </c>
      <c r="D267" s="3" t="s">
        <v>40</v>
      </c>
      <c r="E267" s="3" t="s">
        <v>218</v>
      </c>
      <c r="F267" s="3" t="s">
        <v>42</v>
      </c>
      <c r="G267" s="3" t="s">
        <v>218</v>
      </c>
      <c r="H267" s="3" t="s">
        <v>45</v>
      </c>
      <c r="I267" s="3">
        <v>2025</v>
      </c>
      <c r="J267" s="3" t="str">
        <f>CONCATENATE("54820026588")</f>
        <v>54820026588</v>
      </c>
      <c r="K267" s="3" t="s">
        <v>33</v>
      </c>
      <c r="L267" s="3"/>
      <c r="M267" s="3" t="s">
        <v>131</v>
      </c>
      <c r="N267" s="3" t="str">
        <f>CONCATENATE("RGLCRL68C43C830Z")</f>
        <v>RGLCRL68C43C830Z</v>
      </c>
      <c r="O267" s="3" t="s">
        <v>373</v>
      </c>
      <c r="P267" s="3" t="s">
        <v>36</v>
      </c>
      <c r="Q267" s="3"/>
      <c r="R267" s="4">
        <v>45996</v>
      </c>
      <c r="S267" s="3" t="s">
        <v>37</v>
      </c>
      <c r="T267" s="3" t="s">
        <v>38</v>
      </c>
      <c r="U267" s="3" t="s">
        <v>39</v>
      </c>
      <c r="V267" s="3">
        <v>547.5</v>
      </c>
      <c r="W267" s="3">
        <v>232.69</v>
      </c>
      <c r="X267" s="3">
        <v>220.37</v>
      </c>
      <c r="Y267" s="3">
        <v>94.44</v>
      </c>
    </row>
    <row r="268" spans="1:25" ht="60.75" x14ac:dyDescent="0.25">
      <c r="A268" s="3" t="s">
        <v>26</v>
      </c>
      <c r="B268" s="3" t="s">
        <v>27</v>
      </c>
      <c r="C268" s="3" t="s">
        <v>28</v>
      </c>
      <c r="D268" s="3" t="s">
        <v>29</v>
      </c>
      <c r="E268" s="3" t="s">
        <v>186</v>
      </c>
      <c r="F268" s="3" t="s">
        <v>31</v>
      </c>
      <c r="G268" s="3" t="s">
        <v>186</v>
      </c>
      <c r="H268" s="3" t="s">
        <v>45</v>
      </c>
      <c r="I268" s="3">
        <v>2025</v>
      </c>
      <c r="J268" s="3" t="str">
        <f>CONCATENATE("54820143193")</f>
        <v>54820143193</v>
      </c>
      <c r="K268" s="3" t="s">
        <v>33</v>
      </c>
      <c r="L268" s="3"/>
      <c r="M268" s="3" t="s">
        <v>131</v>
      </c>
      <c r="N268" s="3" t="str">
        <f>CONCATENATE("DTLMRZ53H11F467Q")</f>
        <v>DTLMRZ53H11F467Q</v>
      </c>
      <c r="O268" s="3" t="s">
        <v>374</v>
      </c>
      <c r="P268" s="3" t="s">
        <v>36</v>
      </c>
      <c r="Q268" s="3"/>
      <c r="R268" s="4">
        <v>45996</v>
      </c>
      <c r="S268" s="3" t="s">
        <v>37</v>
      </c>
      <c r="T268" s="3" t="s">
        <v>38</v>
      </c>
      <c r="U268" s="3" t="s">
        <v>39</v>
      </c>
      <c r="V268" s="5">
        <v>1389.63</v>
      </c>
      <c r="W268" s="3">
        <v>590.59</v>
      </c>
      <c r="X268" s="3">
        <v>559.33000000000004</v>
      </c>
      <c r="Y268" s="3">
        <v>239.71</v>
      </c>
    </row>
    <row r="269" spans="1:25" ht="60.75" x14ac:dyDescent="0.25">
      <c r="A269" s="3" t="s">
        <v>26</v>
      </c>
      <c r="B269" s="3" t="s">
        <v>27</v>
      </c>
      <c r="C269" s="3" t="s">
        <v>28</v>
      </c>
      <c r="D269" s="3" t="s">
        <v>29</v>
      </c>
      <c r="E269" s="3" t="s">
        <v>47</v>
      </c>
      <c r="F269" s="3" t="s">
        <v>31</v>
      </c>
      <c r="G269" s="3" t="s">
        <v>47</v>
      </c>
      <c r="H269" s="3" t="s">
        <v>48</v>
      </c>
      <c r="I269" s="3">
        <v>2025</v>
      </c>
      <c r="J269" s="3" t="str">
        <f>CONCATENATE("54820029020")</f>
        <v>54820029020</v>
      </c>
      <c r="K269" s="3" t="s">
        <v>33</v>
      </c>
      <c r="L269" s="3"/>
      <c r="M269" s="3" t="s">
        <v>131</v>
      </c>
      <c r="N269" s="3" t="str">
        <f>CONCATENATE("ZMPPTR66T13D451O")</f>
        <v>ZMPPTR66T13D451O</v>
      </c>
      <c r="O269" s="3" t="s">
        <v>375</v>
      </c>
      <c r="P269" s="3" t="s">
        <v>36</v>
      </c>
      <c r="Q269" s="3"/>
      <c r="R269" s="4">
        <v>45996</v>
      </c>
      <c r="S269" s="3" t="s">
        <v>37</v>
      </c>
      <c r="T269" s="3" t="s">
        <v>38</v>
      </c>
      <c r="U269" s="3" t="s">
        <v>39</v>
      </c>
      <c r="V269" s="3">
        <v>58.58</v>
      </c>
      <c r="W269" s="3">
        <v>24.9</v>
      </c>
      <c r="X269" s="3">
        <v>23.58</v>
      </c>
      <c r="Y269" s="3">
        <v>10.1</v>
      </c>
    </row>
    <row r="270" spans="1:25" ht="60.75" x14ac:dyDescent="0.25">
      <c r="A270" s="3" t="s">
        <v>26</v>
      </c>
      <c r="B270" s="3" t="s">
        <v>27</v>
      </c>
      <c r="C270" s="3" t="s">
        <v>28</v>
      </c>
      <c r="D270" s="3" t="s">
        <v>29</v>
      </c>
      <c r="E270" s="3" t="s">
        <v>228</v>
      </c>
      <c r="F270" s="3" t="s">
        <v>31</v>
      </c>
      <c r="G270" s="3" t="s">
        <v>228</v>
      </c>
      <c r="H270" s="3" t="s">
        <v>45</v>
      </c>
      <c r="I270" s="3">
        <v>2025</v>
      </c>
      <c r="J270" s="3" t="str">
        <f>CONCATENATE("54820010822")</f>
        <v>54820010822</v>
      </c>
      <c r="K270" s="3" t="s">
        <v>33</v>
      </c>
      <c r="L270" s="3"/>
      <c r="M270" s="3" t="s">
        <v>131</v>
      </c>
      <c r="N270" s="3" t="str">
        <f>CONCATENATE("PRCGCR67S04G479J")</f>
        <v>PRCGCR67S04G479J</v>
      </c>
      <c r="O270" s="3" t="s">
        <v>376</v>
      </c>
      <c r="P270" s="3" t="s">
        <v>36</v>
      </c>
      <c r="Q270" s="3"/>
      <c r="R270" s="4">
        <v>45996</v>
      </c>
      <c r="S270" s="3" t="s">
        <v>37</v>
      </c>
      <c r="T270" s="3" t="s">
        <v>38</v>
      </c>
      <c r="U270" s="3" t="s">
        <v>39</v>
      </c>
      <c r="V270" s="3">
        <v>76.13</v>
      </c>
      <c r="W270" s="3">
        <v>32.36</v>
      </c>
      <c r="X270" s="3">
        <v>30.64</v>
      </c>
      <c r="Y270" s="3">
        <v>13.13</v>
      </c>
    </row>
    <row r="271" spans="1:25" ht="36.75" x14ac:dyDescent="0.25">
      <c r="A271" s="3" t="s">
        <v>26</v>
      </c>
      <c r="B271" s="3" t="s">
        <v>27</v>
      </c>
      <c r="C271" s="3" t="s">
        <v>28</v>
      </c>
      <c r="D271" s="3" t="s">
        <v>40</v>
      </c>
      <c r="E271" s="3" t="s">
        <v>287</v>
      </c>
      <c r="F271" s="3" t="s">
        <v>42</v>
      </c>
      <c r="G271" s="3" t="s">
        <v>287</v>
      </c>
      <c r="H271" s="3" t="s">
        <v>32</v>
      </c>
      <c r="I271" s="3">
        <v>2025</v>
      </c>
      <c r="J271" s="3" t="str">
        <f>CONCATENATE("54820018346")</f>
        <v>54820018346</v>
      </c>
      <c r="K271" s="3" t="s">
        <v>33</v>
      </c>
      <c r="L271" s="3"/>
      <c r="M271" s="3" t="s">
        <v>131</v>
      </c>
      <c r="N271" s="3" t="str">
        <f>CONCATENATE("01975910439")</f>
        <v>01975910439</v>
      </c>
      <c r="O271" s="3" t="s">
        <v>377</v>
      </c>
      <c r="P271" s="3" t="s">
        <v>36</v>
      </c>
      <c r="Q271" s="3"/>
      <c r="R271" s="4">
        <v>45996</v>
      </c>
      <c r="S271" s="3" t="s">
        <v>37</v>
      </c>
      <c r="T271" s="3" t="s">
        <v>38</v>
      </c>
      <c r="U271" s="3" t="s">
        <v>39</v>
      </c>
      <c r="V271" s="3">
        <v>446.62</v>
      </c>
      <c r="W271" s="3">
        <v>189.81</v>
      </c>
      <c r="X271" s="3">
        <v>179.76</v>
      </c>
      <c r="Y271" s="3">
        <v>77.05</v>
      </c>
    </row>
    <row r="272" spans="1:25" ht="60.75" x14ac:dyDescent="0.25">
      <c r="A272" s="3" t="s">
        <v>26</v>
      </c>
      <c r="B272" s="3" t="s">
        <v>27</v>
      </c>
      <c r="C272" s="3" t="s">
        <v>28</v>
      </c>
      <c r="D272" s="3" t="s">
        <v>40</v>
      </c>
      <c r="E272" s="3" t="s">
        <v>287</v>
      </c>
      <c r="F272" s="3" t="s">
        <v>42</v>
      </c>
      <c r="G272" s="3" t="s">
        <v>287</v>
      </c>
      <c r="H272" s="3" t="s">
        <v>32</v>
      </c>
      <c r="I272" s="3">
        <v>2025</v>
      </c>
      <c r="J272" s="3" t="str">
        <f>CONCATENATE("54820016092")</f>
        <v>54820016092</v>
      </c>
      <c r="K272" s="3" t="s">
        <v>33</v>
      </c>
      <c r="L272" s="3"/>
      <c r="M272" s="3" t="s">
        <v>131</v>
      </c>
      <c r="N272" s="3" t="str">
        <f>CONCATENATE("LNACSR47A24B474Z")</f>
        <v>LNACSR47A24B474Z</v>
      </c>
      <c r="O272" s="3" t="s">
        <v>378</v>
      </c>
      <c r="P272" s="3" t="s">
        <v>36</v>
      </c>
      <c r="Q272" s="3"/>
      <c r="R272" s="4">
        <v>45996</v>
      </c>
      <c r="S272" s="3" t="s">
        <v>37</v>
      </c>
      <c r="T272" s="3" t="s">
        <v>38</v>
      </c>
      <c r="U272" s="3" t="s">
        <v>39</v>
      </c>
      <c r="V272" s="3">
        <v>194.71</v>
      </c>
      <c r="W272" s="3">
        <v>82.75</v>
      </c>
      <c r="X272" s="3">
        <v>78.37</v>
      </c>
      <c r="Y272" s="3">
        <v>33.590000000000003</v>
      </c>
    </row>
    <row r="273" spans="1:25" ht="60.75" x14ac:dyDescent="0.25">
      <c r="A273" s="3" t="s">
        <v>26</v>
      </c>
      <c r="B273" s="3" t="s">
        <v>27</v>
      </c>
      <c r="C273" s="3" t="s">
        <v>28</v>
      </c>
      <c r="D273" s="3" t="s">
        <v>29</v>
      </c>
      <c r="E273" s="3" t="s">
        <v>101</v>
      </c>
      <c r="F273" s="3" t="s">
        <v>31</v>
      </c>
      <c r="G273" s="3" t="s">
        <v>101</v>
      </c>
      <c r="H273" s="3" t="s">
        <v>32</v>
      </c>
      <c r="I273" s="3">
        <v>2025</v>
      </c>
      <c r="J273" s="3" t="str">
        <f>CONCATENATE("54820026224")</f>
        <v>54820026224</v>
      </c>
      <c r="K273" s="3" t="s">
        <v>33</v>
      </c>
      <c r="L273" s="3"/>
      <c r="M273" s="3" t="s">
        <v>131</v>
      </c>
      <c r="N273" s="3" t="str">
        <f>CONCATENATE("FCCCLD64P24I651M")</f>
        <v>FCCCLD64P24I651M</v>
      </c>
      <c r="O273" s="3" t="s">
        <v>379</v>
      </c>
      <c r="P273" s="3" t="s">
        <v>36</v>
      </c>
      <c r="Q273" s="3"/>
      <c r="R273" s="4">
        <v>45996</v>
      </c>
      <c r="S273" s="3" t="s">
        <v>37</v>
      </c>
      <c r="T273" s="3" t="s">
        <v>38</v>
      </c>
      <c r="U273" s="3" t="s">
        <v>39</v>
      </c>
      <c r="V273" s="3">
        <v>312.44</v>
      </c>
      <c r="W273" s="3">
        <v>132.79</v>
      </c>
      <c r="X273" s="3">
        <v>125.76</v>
      </c>
      <c r="Y273" s="3">
        <v>53.89</v>
      </c>
    </row>
    <row r="274" spans="1:25" ht="60.75" x14ac:dyDescent="0.25">
      <c r="A274" s="3" t="s">
        <v>26</v>
      </c>
      <c r="B274" s="3" t="s">
        <v>27</v>
      </c>
      <c r="C274" s="3" t="s">
        <v>28</v>
      </c>
      <c r="D274" s="3" t="s">
        <v>29</v>
      </c>
      <c r="E274" s="3" t="s">
        <v>56</v>
      </c>
      <c r="F274" s="3" t="s">
        <v>31</v>
      </c>
      <c r="G274" s="3" t="s">
        <v>56</v>
      </c>
      <c r="H274" s="3" t="s">
        <v>32</v>
      </c>
      <c r="I274" s="3">
        <v>2025</v>
      </c>
      <c r="J274" s="3" t="str">
        <f>CONCATENATE("54820020409")</f>
        <v>54820020409</v>
      </c>
      <c r="K274" s="3" t="s">
        <v>33</v>
      </c>
      <c r="L274" s="3"/>
      <c r="M274" s="3" t="s">
        <v>131</v>
      </c>
      <c r="N274" s="3" t="str">
        <f>CONCATENATE("CLDRCR55L02B474L")</f>
        <v>CLDRCR55L02B474L</v>
      </c>
      <c r="O274" s="3" t="s">
        <v>380</v>
      </c>
      <c r="P274" s="3" t="s">
        <v>36</v>
      </c>
      <c r="Q274" s="3"/>
      <c r="R274" s="4">
        <v>45996</v>
      </c>
      <c r="S274" s="3" t="s">
        <v>37</v>
      </c>
      <c r="T274" s="3" t="s">
        <v>38</v>
      </c>
      <c r="U274" s="3" t="s">
        <v>39</v>
      </c>
      <c r="V274" s="3">
        <v>114.4</v>
      </c>
      <c r="W274" s="3">
        <v>48.62</v>
      </c>
      <c r="X274" s="3">
        <v>46.05</v>
      </c>
      <c r="Y274" s="3">
        <v>19.73</v>
      </c>
    </row>
    <row r="275" spans="1:25" ht="60.75" x14ac:dyDescent="0.25">
      <c r="A275" s="3" t="s">
        <v>26</v>
      </c>
      <c r="B275" s="3" t="s">
        <v>27</v>
      </c>
      <c r="C275" s="3" t="s">
        <v>28</v>
      </c>
      <c r="D275" s="3" t="s">
        <v>29</v>
      </c>
      <c r="E275" s="3" t="s">
        <v>186</v>
      </c>
      <c r="F275" s="3" t="s">
        <v>31</v>
      </c>
      <c r="G275" s="3" t="s">
        <v>186</v>
      </c>
      <c r="H275" s="3" t="s">
        <v>45</v>
      </c>
      <c r="I275" s="3">
        <v>2025</v>
      </c>
      <c r="J275" s="3" t="str">
        <f>CONCATENATE("54820026786")</f>
        <v>54820026786</v>
      </c>
      <c r="K275" s="3" t="s">
        <v>33</v>
      </c>
      <c r="L275" s="3"/>
      <c r="M275" s="3" t="s">
        <v>131</v>
      </c>
      <c r="N275" s="3" t="str">
        <f>CONCATENATE("CPNSNT49T69B816K")</f>
        <v>CPNSNT49T69B816K</v>
      </c>
      <c r="O275" s="3" t="s">
        <v>381</v>
      </c>
      <c r="P275" s="3" t="s">
        <v>36</v>
      </c>
      <c r="Q275" s="3"/>
      <c r="R275" s="4">
        <v>45996</v>
      </c>
      <c r="S275" s="3" t="s">
        <v>37</v>
      </c>
      <c r="T275" s="3" t="s">
        <v>38</v>
      </c>
      <c r="U275" s="3" t="s">
        <v>39</v>
      </c>
      <c r="V275" s="3">
        <v>80.150000000000006</v>
      </c>
      <c r="W275" s="3">
        <v>34.06</v>
      </c>
      <c r="X275" s="3">
        <v>32.26</v>
      </c>
      <c r="Y275" s="3">
        <v>13.83</v>
      </c>
    </row>
    <row r="276" spans="1:25" ht="72.75" x14ac:dyDescent="0.25">
      <c r="A276" s="3" t="s">
        <v>26</v>
      </c>
      <c r="B276" s="3" t="s">
        <v>27</v>
      </c>
      <c r="C276" s="3" t="s">
        <v>28</v>
      </c>
      <c r="D276" s="3" t="s">
        <v>50</v>
      </c>
      <c r="E276" s="3" t="s">
        <v>149</v>
      </c>
      <c r="F276" s="3" t="s">
        <v>52</v>
      </c>
      <c r="G276" s="3" t="s">
        <v>149</v>
      </c>
      <c r="H276" s="3" t="s">
        <v>96</v>
      </c>
      <c r="I276" s="3">
        <v>2025</v>
      </c>
      <c r="J276" s="3" t="str">
        <f>CONCATENATE("54820040209")</f>
        <v>54820040209</v>
      </c>
      <c r="K276" s="3" t="s">
        <v>33</v>
      </c>
      <c r="L276" s="3"/>
      <c r="M276" s="3" t="s">
        <v>131</v>
      </c>
      <c r="N276" s="3" t="str">
        <f>CONCATENATE("RPNGMR96B06A462Q")</f>
        <v>RPNGMR96B06A462Q</v>
      </c>
      <c r="O276" s="3" t="s">
        <v>382</v>
      </c>
      <c r="P276" s="3" t="s">
        <v>36</v>
      </c>
      <c r="Q276" s="3"/>
      <c r="R276" s="4">
        <v>45996</v>
      </c>
      <c r="S276" s="3" t="s">
        <v>37</v>
      </c>
      <c r="T276" s="3" t="s">
        <v>38</v>
      </c>
      <c r="U276" s="3" t="s">
        <v>39</v>
      </c>
      <c r="V276" s="3">
        <v>55.1</v>
      </c>
      <c r="W276" s="3">
        <v>23.42</v>
      </c>
      <c r="X276" s="3">
        <v>22.18</v>
      </c>
      <c r="Y276" s="3">
        <v>9.5</v>
      </c>
    </row>
    <row r="277" spans="1:25" ht="60.75" x14ac:dyDescent="0.25">
      <c r="A277" s="3" t="s">
        <v>26</v>
      </c>
      <c r="B277" s="3" t="s">
        <v>27</v>
      </c>
      <c r="C277" s="3" t="s">
        <v>28</v>
      </c>
      <c r="D277" s="3" t="s">
        <v>29</v>
      </c>
      <c r="E277" s="3" t="s">
        <v>56</v>
      </c>
      <c r="F277" s="3" t="s">
        <v>31</v>
      </c>
      <c r="G277" s="3" t="s">
        <v>56</v>
      </c>
      <c r="H277" s="3" t="s">
        <v>32</v>
      </c>
      <c r="I277" s="3">
        <v>2025</v>
      </c>
      <c r="J277" s="3" t="str">
        <f>CONCATENATE("54820275284")</f>
        <v>54820275284</v>
      </c>
      <c r="K277" s="3" t="s">
        <v>33</v>
      </c>
      <c r="L277" s="3"/>
      <c r="M277" s="3" t="s">
        <v>131</v>
      </c>
      <c r="N277" s="3" t="str">
        <f>CONCATENATE("CRSRND69S02D429U")</f>
        <v>CRSRND69S02D429U</v>
      </c>
      <c r="O277" s="3" t="s">
        <v>383</v>
      </c>
      <c r="P277" s="3" t="s">
        <v>36</v>
      </c>
      <c r="Q277" s="3"/>
      <c r="R277" s="4">
        <v>45996</v>
      </c>
      <c r="S277" s="3" t="s">
        <v>37</v>
      </c>
      <c r="T277" s="3" t="s">
        <v>38</v>
      </c>
      <c r="U277" s="3" t="s">
        <v>39</v>
      </c>
      <c r="V277" s="5">
        <v>1125.05</v>
      </c>
      <c r="W277" s="3">
        <v>478.15</v>
      </c>
      <c r="X277" s="3">
        <v>452.83</v>
      </c>
      <c r="Y277" s="3">
        <v>194.07</v>
      </c>
    </row>
    <row r="278" spans="1:25" ht="60.75" x14ac:dyDescent="0.25">
      <c r="A278" s="3" t="s">
        <v>26</v>
      </c>
      <c r="B278" s="3" t="s">
        <v>27</v>
      </c>
      <c r="C278" s="3" t="s">
        <v>28</v>
      </c>
      <c r="D278" s="3" t="s">
        <v>50</v>
      </c>
      <c r="E278" s="3" t="s">
        <v>212</v>
      </c>
      <c r="F278" s="3" t="s">
        <v>52</v>
      </c>
      <c r="G278" s="3" t="s">
        <v>212</v>
      </c>
      <c r="H278" s="3" t="s">
        <v>32</v>
      </c>
      <c r="I278" s="3">
        <v>2025</v>
      </c>
      <c r="J278" s="3" t="str">
        <f>CONCATENATE("54820050497")</f>
        <v>54820050497</v>
      </c>
      <c r="K278" s="3" t="s">
        <v>33</v>
      </c>
      <c r="L278" s="3"/>
      <c r="M278" s="3" t="s">
        <v>131</v>
      </c>
      <c r="N278" s="3" t="str">
        <f>CONCATENATE("MRLSVN48C18B474S")</f>
        <v>MRLSVN48C18B474S</v>
      </c>
      <c r="O278" s="3" t="s">
        <v>384</v>
      </c>
      <c r="P278" s="3" t="s">
        <v>36</v>
      </c>
      <c r="Q278" s="3"/>
      <c r="R278" s="4">
        <v>45996</v>
      </c>
      <c r="S278" s="3" t="s">
        <v>37</v>
      </c>
      <c r="T278" s="3" t="s">
        <v>38</v>
      </c>
      <c r="U278" s="3" t="s">
        <v>39</v>
      </c>
      <c r="V278" s="3">
        <v>236.29</v>
      </c>
      <c r="W278" s="3">
        <v>100.42</v>
      </c>
      <c r="X278" s="3">
        <v>95.11</v>
      </c>
      <c r="Y278" s="3">
        <v>40.76</v>
      </c>
    </row>
    <row r="279" spans="1:25" ht="72.75" x14ac:dyDescent="0.25">
      <c r="A279" s="3" t="s">
        <v>26</v>
      </c>
      <c r="B279" s="3" t="s">
        <v>27</v>
      </c>
      <c r="C279" s="3" t="s">
        <v>28</v>
      </c>
      <c r="D279" s="3" t="s">
        <v>29</v>
      </c>
      <c r="E279" s="3" t="s">
        <v>47</v>
      </c>
      <c r="F279" s="3" t="s">
        <v>31</v>
      </c>
      <c r="G279" s="3" t="s">
        <v>47</v>
      </c>
      <c r="H279" s="3" t="s">
        <v>48</v>
      </c>
      <c r="I279" s="3">
        <v>2025</v>
      </c>
      <c r="J279" s="3" t="str">
        <f>CONCATENATE("54820047337")</f>
        <v>54820047337</v>
      </c>
      <c r="K279" s="3" t="s">
        <v>33</v>
      </c>
      <c r="L279" s="3"/>
      <c r="M279" s="3" t="s">
        <v>131</v>
      </c>
      <c r="N279" s="3" t="str">
        <f>CONCATENATE("NGLMNA51R66H501V")</f>
        <v>NGLMNA51R66H501V</v>
      </c>
      <c r="O279" s="3" t="s">
        <v>385</v>
      </c>
      <c r="P279" s="3" t="s">
        <v>36</v>
      </c>
      <c r="Q279" s="3"/>
      <c r="R279" s="4">
        <v>45996</v>
      </c>
      <c r="S279" s="3" t="s">
        <v>37</v>
      </c>
      <c r="T279" s="3" t="s">
        <v>38</v>
      </c>
      <c r="U279" s="3" t="s">
        <v>39</v>
      </c>
      <c r="V279" s="3">
        <v>131.11000000000001</v>
      </c>
      <c r="W279" s="3">
        <v>55.72</v>
      </c>
      <c r="X279" s="3">
        <v>52.77</v>
      </c>
      <c r="Y279" s="3">
        <v>22.62</v>
      </c>
    </row>
    <row r="280" spans="1:25" ht="60.75" x14ac:dyDescent="0.25">
      <c r="A280" s="3" t="s">
        <v>26</v>
      </c>
      <c r="B280" s="3" t="s">
        <v>27</v>
      </c>
      <c r="C280" s="3" t="s">
        <v>28</v>
      </c>
      <c r="D280" s="3" t="s">
        <v>29</v>
      </c>
      <c r="E280" s="3" t="s">
        <v>233</v>
      </c>
      <c r="F280" s="3" t="s">
        <v>31</v>
      </c>
      <c r="G280" s="3" t="s">
        <v>233</v>
      </c>
      <c r="H280" s="3" t="s">
        <v>96</v>
      </c>
      <c r="I280" s="3">
        <v>2025</v>
      </c>
      <c r="J280" s="3" t="str">
        <f>CONCATENATE("54820046149")</f>
        <v>54820046149</v>
      </c>
      <c r="K280" s="3" t="s">
        <v>33</v>
      </c>
      <c r="L280" s="3"/>
      <c r="M280" s="3" t="s">
        <v>131</v>
      </c>
      <c r="N280" s="3" t="str">
        <f>CONCATENATE("FRRDNC64T09H390L")</f>
        <v>FRRDNC64T09H390L</v>
      </c>
      <c r="O280" s="3" t="s">
        <v>386</v>
      </c>
      <c r="P280" s="3" t="s">
        <v>36</v>
      </c>
      <c r="Q280" s="3"/>
      <c r="R280" s="4">
        <v>45996</v>
      </c>
      <c r="S280" s="3" t="s">
        <v>37</v>
      </c>
      <c r="T280" s="3" t="s">
        <v>38</v>
      </c>
      <c r="U280" s="3" t="s">
        <v>39</v>
      </c>
      <c r="V280" s="3">
        <v>80.400000000000006</v>
      </c>
      <c r="W280" s="3">
        <v>34.17</v>
      </c>
      <c r="X280" s="3">
        <v>32.36</v>
      </c>
      <c r="Y280" s="3">
        <v>13.87</v>
      </c>
    </row>
    <row r="281" spans="1:25" ht="60.75" x14ac:dyDescent="0.25">
      <c r="A281" s="3" t="s">
        <v>26</v>
      </c>
      <c r="B281" s="3" t="s">
        <v>27</v>
      </c>
      <c r="C281" s="3" t="s">
        <v>28</v>
      </c>
      <c r="D281" s="3" t="s">
        <v>50</v>
      </c>
      <c r="E281" s="3" t="s">
        <v>173</v>
      </c>
      <c r="F281" s="3" t="s">
        <v>52</v>
      </c>
      <c r="G281" s="3" t="s">
        <v>173</v>
      </c>
      <c r="H281" s="3" t="s">
        <v>45</v>
      </c>
      <c r="I281" s="3">
        <v>2025</v>
      </c>
      <c r="J281" s="3" t="str">
        <f>CONCATENATE("54820024773")</f>
        <v>54820024773</v>
      </c>
      <c r="K281" s="3" t="s">
        <v>33</v>
      </c>
      <c r="L281" s="3"/>
      <c r="M281" s="3" t="s">
        <v>131</v>
      </c>
      <c r="N281" s="3" t="str">
        <f>CONCATENATE("MDRGFR64L03F467C")</f>
        <v>MDRGFR64L03F467C</v>
      </c>
      <c r="O281" s="3" t="s">
        <v>387</v>
      </c>
      <c r="P281" s="3" t="s">
        <v>36</v>
      </c>
      <c r="Q281" s="3"/>
      <c r="R281" s="4">
        <v>45996</v>
      </c>
      <c r="S281" s="3" t="s">
        <v>37</v>
      </c>
      <c r="T281" s="3" t="s">
        <v>38</v>
      </c>
      <c r="U281" s="3" t="s">
        <v>39</v>
      </c>
      <c r="V281" s="3">
        <v>55.91</v>
      </c>
      <c r="W281" s="3">
        <v>23.76</v>
      </c>
      <c r="X281" s="3">
        <v>22.5</v>
      </c>
      <c r="Y281" s="3">
        <v>9.65</v>
      </c>
    </row>
    <row r="282" spans="1:25" ht="60.75" x14ac:dyDescent="0.25">
      <c r="A282" s="3" t="s">
        <v>26</v>
      </c>
      <c r="B282" s="3" t="s">
        <v>27</v>
      </c>
      <c r="C282" s="3" t="s">
        <v>28</v>
      </c>
      <c r="D282" s="3" t="s">
        <v>29</v>
      </c>
      <c r="E282" s="3" t="s">
        <v>119</v>
      </c>
      <c r="F282" s="3" t="s">
        <v>31</v>
      </c>
      <c r="G282" s="3" t="s">
        <v>119</v>
      </c>
      <c r="H282" s="3" t="s">
        <v>96</v>
      </c>
      <c r="I282" s="3">
        <v>2025</v>
      </c>
      <c r="J282" s="3" t="str">
        <f>CONCATENATE("54820022694")</f>
        <v>54820022694</v>
      </c>
      <c r="K282" s="3" t="s">
        <v>33</v>
      </c>
      <c r="L282" s="3"/>
      <c r="M282" s="3" t="s">
        <v>131</v>
      </c>
      <c r="N282" s="3" t="str">
        <f>CONCATENATE("PPRFRC87C02A252O")</f>
        <v>PPRFRC87C02A252O</v>
      </c>
      <c r="O282" s="3" t="s">
        <v>388</v>
      </c>
      <c r="P282" s="3" t="s">
        <v>36</v>
      </c>
      <c r="Q282" s="3"/>
      <c r="R282" s="4">
        <v>45996</v>
      </c>
      <c r="S282" s="3" t="s">
        <v>37</v>
      </c>
      <c r="T282" s="3" t="s">
        <v>38</v>
      </c>
      <c r="U282" s="3" t="s">
        <v>39</v>
      </c>
      <c r="V282" s="3">
        <v>103.68</v>
      </c>
      <c r="W282" s="3">
        <v>44.06</v>
      </c>
      <c r="X282" s="3">
        <v>41.73</v>
      </c>
      <c r="Y282" s="3">
        <v>17.89</v>
      </c>
    </row>
    <row r="283" spans="1:25" ht="60.75" x14ac:dyDescent="0.25">
      <c r="A283" s="3" t="s">
        <v>26</v>
      </c>
      <c r="B283" s="3" t="s">
        <v>27</v>
      </c>
      <c r="C283" s="3" t="s">
        <v>28</v>
      </c>
      <c r="D283" s="3" t="s">
        <v>29</v>
      </c>
      <c r="E283" s="3" t="s">
        <v>80</v>
      </c>
      <c r="F283" s="3" t="s">
        <v>31</v>
      </c>
      <c r="G283" s="3" t="s">
        <v>80</v>
      </c>
      <c r="H283" s="3" t="s">
        <v>45</v>
      </c>
      <c r="I283" s="3">
        <v>2025</v>
      </c>
      <c r="J283" s="3" t="str">
        <f>CONCATENATE("54820041454")</f>
        <v>54820041454</v>
      </c>
      <c r="K283" s="3" t="s">
        <v>33</v>
      </c>
      <c r="L283" s="3"/>
      <c r="M283" s="3" t="s">
        <v>131</v>
      </c>
      <c r="N283" s="3" t="str">
        <f>CONCATENATE("LRNNNA59A65D791P")</f>
        <v>LRNNNA59A65D791P</v>
      </c>
      <c r="O283" s="3" t="s">
        <v>389</v>
      </c>
      <c r="P283" s="3" t="s">
        <v>36</v>
      </c>
      <c r="Q283" s="3"/>
      <c r="R283" s="4">
        <v>45996</v>
      </c>
      <c r="S283" s="3" t="s">
        <v>37</v>
      </c>
      <c r="T283" s="3" t="s">
        <v>38</v>
      </c>
      <c r="U283" s="3" t="s">
        <v>39</v>
      </c>
      <c r="V283" s="3">
        <v>61.27</v>
      </c>
      <c r="W283" s="3">
        <v>26.04</v>
      </c>
      <c r="X283" s="3">
        <v>24.66</v>
      </c>
      <c r="Y283" s="3">
        <v>10.57</v>
      </c>
    </row>
    <row r="284" spans="1:25" ht="60.75" x14ac:dyDescent="0.25">
      <c r="A284" s="3" t="s">
        <v>26</v>
      </c>
      <c r="B284" s="3" t="s">
        <v>27</v>
      </c>
      <c r="C284" s="3" t="s">
        <v>28</v>
      </c>
      <c r="D284" s="3" t="s">
        <v>29</v>
      </c>
      <c r="E284" s="3" t="s">
        <v>390</v>
      </c>
      <c r="F284" s="3" t="s">
        <v>31</v>
      </c>
      <c r="G284" s="3" t="s">
        <v>390</v>
      </c>
      <c r="H284" s="3" t="s">
        <v>96</v>
      </c>
      <c r="I284" s="3">
        <v>2025</v>
      </c>
      <c r="J284" s="3" t="str">
        <f>CONCATENATE("54820047477")</f>
        <v>54820047477</v>
      </c>
      <c r="K284" s="3" t="s">
        <v>33</v>
      </c>
      <c r="L284" s="3"/>
      <c r="M284" s="3" t="s">
        <v>131</v>
      </c>
      <c r="N284" s="3" t="str">
        <f>CONCATENATE("CLLFBA73H26H588W")</f>
        <v>CLLFBA73H26H588W</v>
      </c>
      <c r="O284" s="3" t="s">
        <v>391</v>
      </c>
      <c r="P284" s="3" t="s">
        <v>36</v>
      </c>
      <c r="Q284" s="3"/>
      <c r="R284" s="4">
        <v>45996</v>
      </c>
      <c r="S284" s="3" t="s">
        <v>37</v>
      </c>
      <c r="T284" s="3" t="s">
        <v>38</v>
      </c>
      <c r="U284" s="3" t="s">
        <v>39</v>
      </c>
      <c r="V284" s="3">
        <v>817.17</v>
      </c>
      <c r="W284" s="3">
        <v>347.3</v>
      </c>
      <c r="X284" s="3">
        <v>328.91</v>
      </c>
      <c r="Y284" s="3">
        <v>140.96</v>
      </c>
    </row>
    <row r="285" spans="1:25" ht="60.75" x14ac:dyDescent="0.25">
      <c r="A285" s="3" t="s">
        <v>26</v>
      </c>
      <c r="B285" s="3" t="s">
        <v>27</v>
      </c>
      <c r="C285" s="3" t="s">
        <v>28</v>
      </c>
      <c r="D285" s="3" t="s">
        <v>29</v>
      </c>
      <c r="E285" s="3" t="s">
        <v>72</v>
      </c>
      <c r="F285" s="3" t="s">
        <v>31</v>
      </c>
      <c r="G285" s="3" t="s">
        <v>72</v>
      </c>
      <c r="H285" s="3" t="s">
        <v>45</v>
      </c>
      <c r="I285" s="3">
        <v>2025</v>
      </c>
      <c r="J285" s="3" t="str">
        <f>CONCATENATE("54820022439")</f>
        <v>54820022439</v>
      </c>
      <c r="K285" s="3" t="s">
        <v>33</v>
      </c>
      <c r="L285" s="3"/>
      <c r="M285" s="3" t="s">
        <v>131</v>
      </c>
      <c r="N285" s="3" t="str">
        <f>CONCATENATE("CRRPTR86P04D749C")</f>
        <v>CRRPTR86P04D749C</v>
      </c>
      <c r="O285" s="3" t="s">
        <v>392</v>
      </c>
      <c r="P285" s="3" t="s">
        <v>36</v>
      </c>
      <c r="Q285" s="3"/>
      <c r="R285" s="4">
        <v>45996</v>
      </c>
      <c r="S285" s="3" t="s">
        <v>37</v>
      </c>
      <c r="T285" s="3" t="s">
        <v>38</v>
      </c>
      <c r="U285" s="3" t="s">
        <v>39</v>
      </c>
      <c r="V285" s="3">
        <v>85.99</v>
      </c>
      <c r="W285" s="3">
        <v>36.549999999999997</v>
      </c>
      <c r="X285" s="3">
        <v>34.61</v>
      </c>
      <c r="Y285" s="3">
        <v>14.83</v>
      </c>
    </row>
    <row r="286" spans="1:25" ht="60.75" x14ac:dyDescent="0.25">
      <c r="A286" s="3" t="s">
        <v>26</v>
      </c>
      <c r="B286" s="3" t="s">
        <v>27</v>
      </c>
      <c r="C286" s="3" t="s">
        <v>28</v>
      </c>
      <c r="D286" s="3" t="s">
        <v>29</v>
      </c>
      <c r="E286" s="3" t="s">
        <v>72</v>
      </c>
      <c r="F286" s="3" t="s">
        <v>31</v>
      </c>
      <c r="G286" s="3" t="s">
        <v>72</v>
      </c>
      <c r="H286" s="3" t="s">
        <v>45</v>
      </c>
      <c r="I286" s="3">
        <v>2025</v>
      </c>
      <c r="J286" s="3" t="str">
        <f>CONCATENATE("54820089222")</f>
        <v>54820089222</v>
      </c>
      <c r="K286" s="3" t="s">
        <v>33</v>
      </c>
      <c r="L286" s="3"/>
      <c r="M286" s="3" t="s">
        <v>131</v>
      </c>
      <c r="N286" s="3" t="str">
        <f>CONCATENATE("SLCMRC75D17B352L")</f>
        <v>SLCMRC75D17B352L</v>
      </c>
      <c r="O286" s="3" t="s">
        <v>393</v>
      </c>
      <c r="P286" s="3" t="s">
        <v>36</v>
      </c>
      <c r="Q286" s="3"/>
      <c r="R286" s="4">
        <v>45996</v>
      </c>
      <c r="S286" s="3" t="s">
        <v>37</v>
      </c>
      <c r="T286" s="3" t="s">
        <v>38</v>
      </c>
      <c r="U286" s="3" t="s">
        <v>39</v>
      </c>
      <c r="V286" s="3">
        <v>82.08</v>
      </c>
      <c r="W286" s="3">
        <v>34.880000000000003</v>
      </c>
      <c r="X286" s="3">
        <v>33.04</v>
      </c>
      <c r="Y286" s="3">
        <v>14.16</v>
      </c>
    </row>
    <row r="287" spans="1:25" ht="60.75" x14ac:dyDescent="0.25">
      <c r="A287" s="3" t="s">
        <v>26</v>
      </c>
      <c r="B287" s="3" t="s">
        <v>27</v>
      </c>
      <c r="C287" s="3" t="s">
        <v>28</v>
      </c>
      <c r="D287" s="3" t="s">
        <v>50</v>
      </c>
      <c r="E287" s="3" t="s">
        <v>60</v>
      </c>
      <c r="F287" s="3" t="s">
        <v>52</v>
      </c>
      <c r="G287" s="3" t="s">
        <v>60</v>
      </c>
      <c r="H287" s="3" t="s">
        <v>45</v>
      </c>
      <c r="I287" s="3">
        <v>2025</v>
      </c>
      <c r="J287" s="3" t="str">
        <f>CONCATENATE("54820139290")</f>
        <v>54820139290</v>
      </c>
      <c r="K287" s="3" t="s">
        <v>33</v>
      </c>
      <c r="L287" s="3"/>
      <c r="M287" s="3" t="s">
        <v>131</v>
      </c>
      <c r="N287" s="3" t="str">
        <f>CONCATENATE("GDUMRA61B65I654W")</f>
        <v>GDUMRA61B65I654W</v>
      </c>
      <c r="O287" s="3" t="s">
        <v>394</v>
      </c>
      <c r="P287" s="3" t="s">
        <v>36</v>
      </c>
      <c r="Q287" s="3"/>
      <c r="R287" s="4">
        <v>45996</v>
      </c>
      <c r="S287" s="3" t="s">
        <v>37</v>
      </c>
      <c r="T287" s="3" t="s">
        <v>38</v>
      </c>
      <c r="U287" s="3" t="s">
        <v>39</v>
      </c>
      <c r="V287" s="3">
        <v>174.67</v>
      </c>
      <c r="W287" s="3">
        <v>74.23</v>
      </c>
      <c r="X287" s="3">
        <v>70.3</v>
      </c>
      <c r="Y287" s="3">
        <v>30.14</v>
      </c>
    </row>
    <row r="288" spans="1:25" ht="60.75" x14ac:dyDescent="0.25">
      <c r="A288" s="3" t="s">
        <v>26</v>
      </c>
      <c r="B288" s="3" t="s">
        <v>27</v>
      </c>
      <c r="C288" s="3" t="s">
        <v>28</v>
      </c>
      <c r="D288" s="3" t="s">
        <v>50</v>
      </c>
      <c r="E288" s="3" t="s">
        <v>60</v>
      </c>
      <c r="F288" s="3" t="s">
        <v>52</v>
      </c>
      <c r="G288" s="3" t="s">
        <v>60</v>
      </c>
      <c r="H288" s="3" t="s">
        <v>45</v>
      </c>
      <c r="I288" s="3">
        <v>2025</v>
      </c>
      <c r="J288" s="3" t="str">
        <f>CONCATENATE("54820086509")</f>
        <v>54820086509</v>
      </c>
      <c r="K288" s="3" t="s">
        <v>33</v>
      </c>
      <c r="L288" s="3"/>
      <c r="M288" s="3" t="s">
        <v>131</v>
      </c>
      <c r="N288" s="3" t="str">
        <f>CONCATENATE("CSCGLN51D13I654N")</f>
        <v>CSCGLN51D13I654N</v>
      </c>
      <c r="O288" s="3" t="s">
        <v>395</v>
      </c>
      <c r="P288" s="3" t="s">
        <v>36</v>
      </c>
      <c r="Q288" s="3"/>
      <c r="R288" s="4">
        <v>45996</v>
      </c>
      <c r="S288" s="3" t="s">
        <v>37</v>
      </c>
      <c r="T288" s="3" t="s">
        <v>38</v>
      </c>
      <c r="U288" s="3" t="s">
        <v>39</v>
      </c>
      <c r="V288" s="3">
        <v>156.94999999999999</v>
      </c>
      <c r="W288" s="3">
        <v>66.7</v>
      </c>
      <c r="X288" s="3">
        <v>63.17</v>
      </c>
      <c r="Y288" s="3">
        <v>27.08</v>
      </c>
    </row>
    <row r="289" spans="1:25" ht="60.75" x14ac:dyDescent="0.25">
      <c r="A289" s="3" t="s">
        <v>26</v>
      </c>
      <c r="B289" s="3" t="s">
        <v>27</v>
      </c>
      <c r="C289" s="3" t="s">
        <v>28</v>
      </c>
      <c r="D289" s="3" t="s">
        <v>29</v>
      </c>
      <c r="E289" s="3" t="s">
        <v>228</v>
      </c>
      <c r="F289" s="3" t="s">
        <v>31</v>
      </c>
      <c r="G289" s="3" t="s">
        <v>228</v>
      </c>
      <c r="H289" s="3" t="s">
        <v>45</v>
      </c>
      <c r="I289" s="3">
        <v>2025</v>
      </c>
      <c r="J289" s="3" t="str">
        <f>CONCATENATE("54820034756")</f>
        <v>54820034756</v>
      </c>
      <c r="K289" s="3" t="s">
        <v>33</v>
      </c>
      <c r="L289" s="3"/>
      <c r="M289" s="3" t="s">
        <v>131</v>
      </c>
      <c r="N289" s="3" t="str">
        <f>CONCATENATE("CNTGCR43E23D749F")</f>
        <v>CNTGCR43E23D749F</v>
      </c>
      <c r="O289" s="3" t="s">
        <v>396</v>
      </c>
      <c r="P289" s="3" t="s">
        <v>36</v>
      </c>
      <c r="Q289" s="3"/>
      <c r="R289" s="4">
        <v>45996</v>
      </c>
      <c r="S289" s="3" t="s">
        <v>37</v>
      </c>
      <c r="T289" s="3" t="s">
        <v>38</v>
      </c>
      <c r="U289" s="3" t="s">
        <v>39</v>
      </c>
      <c r="V289" s="3">
        <v>326.27999999999997</v>
      </c>
      <c r="W289" s="3">
        <v>138.66999999999999</v>
      </c>
      <c r="X289" s="3">
        <v>131.33000000000001</v>
      </c>
      <c r="Y289" s="3">
        <v>56.28</v>
      </c>
    </row>
    <row r="290" spans="1:25" ht="60.75" x14ac:dyDescent="0.25">
      <c r="A290" s="3" t="s">
        <v>26</v>
      </c>
      <c r="B290" s="3" t="s">
        <v>27</v>
      </c>
      <c r="C290" s="3" t="s">
        <v>28</v>
      </c>
      <c r="D290" s="3" t="s">
        <v>50</v>
      </c>
      <c r="E290" s="3" t="s">
        <v>147</v>
      </c>
      <c r="F290" s="3" t="s">
        <v>52</v>
      </c>
      <c r="G290" s="3" t="s">
        <v>147</v>
      </c>
      <c r="H290" s="3" t="s">
        <v>45</v>
      </c>
      <c r="I290" s="3">
        <v>2025</v>
      </c>
      <c r="J290" s="3" t="str">
        <f>CONCATENATE("54820146006")</f>
        <v>54820146006</v>
      </c>
      <c r="K290" s="3" t="s">
        <v>33</v>
      </c>
      <c r="L290" s="3"/>
      <c r="M290" s="3" t="s">
        <v>131</v>
      </c>
      <c r="N290" s="3" t="str">
        <f>CONCATENATE("DMPVLR84B26L500Z")</f>
        <v>DMPVLR84B26L500Z</v>
      </c>
      <c r="O290" s="3" t="s">
        <v>397</v>
      </c>
      <c r="P290" s="3" t="s">
        <v>36</v>
      </c>
      <c r="Q290" s="3"/>
      <c r="R290" s="4">
        <v>45996</v>
      </c>
      <c r="S290" s="3" t="s">
        <v>37</v>
      </c>
      <c r="T290" s="3" t="s">
        <v>38</v>
      </c>
      <c r="U290" s="3" t="s">
        <v>39</v>
      </c>
      <c r="V290" s="3">
        <v>813.94</v>
      </c>
      <c r="W290" s="3">
        <v>345.92</v>
      </c>
      <c r="X290" s="3">
        <v>327.61</v>
      </c>
      <c r="Y290" s="3">
        <v>140.41</v>
      </c>
    </row>
    <row r="291" spans="1:25" ht="60.75" x14ac:dyDescent="0.25">
      <c r="A291" s="3" t="s">
        <v>26</v>
      </c>
      <c r="B291" s="3" t="s">
        <v>27</v>
      </c>
      <c r="C291" s="3" t="s">
        <v>28</v>
      </c>
      <c r="D291" s="3" t="s">
        <v>50</v>
      </c>
      <c r="E291" s="3" t="s">
        <v>147</v>
      </c>
      <c r="F291" s="3" t="s">
        <v>52</v>
      </c>
      <c r="G291" s="3" t="s">
        <v>147</v>
      </c>
      <c r="H291" s="3" t="s">
        <v>45</v>
      </c>
      <c r="I291" s="3">
        <v>2025</v>
      </c>
      <c r="J291" s="3" t="str">
        <f>CONCATENATE("54820169479")</f>
        <v>54820169479</v>
      </c>
      <c r="K291" s="3" t="s">
        <v>33</v>
      </c>
      <c r="L291" s="3"/>
      <c r="M291" s="3" t="s">
        <v>131</v>
      </c>
      <c r="N291" s="3" t="str">
        <f>CONCATENATE("CNTRNN02H62L500I")</f>
        <v>CNTRNN02H62L500I</v>
      </c>
      <c r="O291" s="3" t="s">
        <v>398</v>
      </c>
      <c r="P291" s="3" t="s">
        <v>36</v>
      </c>
      <c r="Q291" s="3"/>
      <c r="R291" s="4">
        <v>45996</v>
      </c>
      <c r="S291" s="3" t="s">
        <v>37</v>
      </c>
      <c r="T291" s="3" t="s">
        <v>38</v>
      </c>
      <c r="U291" s="3" t="s">
        <v>39</v>
      </c>
      <c r="V291" s="3">
        <v>401.39</v>
      </c>
      <c r="W291" s="3">
        <v>170.59</v>
      </c>
      <c r="X291" s="3">
        <v>161.56</v>
      </c>
      <c r="Y291" s="3">
        <v>69.239999999999995</v>
      </c>
    </row>
    <row r="292" spans="1:25" ht="60.75" x14ac:dyDescent="0.25">
      <c r="A292" s="3" t="s">
        <v>26</v>
      </c>
      <c r="B292" s="3" t="s">
        <v>27</v>
      </c>
      <c r="C292" s="3" t="s">
        <v>28</v>
      </c>
      <c r="D292" s="3" t="s">
        <v>29</v>
      </c>
      <c r="E292" s="3" t="s">
        <v>136</v>
      </c>
      <c r="F292" s="3" t="s">
        <v>31</v>
      </c>
      <c r="G292" s="3" t="s">
        <v>136</v>
      </c>
      <c r="H292" s="3" t="s">
        <v>48</v>
      </c>
      <c r="I292" s="3">
        <v>2025</v>
      </c>
      <c r="J292" s="3" t="str">
        <f>CONCATENATE("54820110895")</f>
        <v>54820110895</v>
      </c>
      <c r="K292" s="3" t="s">
        <v>33</v>
      </c>
      <c r="L292" s="3"/>
      <c r="M292" s="3" t="s">
        <v>131</v>
      </c>
      <c r="N292" s="3" t="str">
        <f>CONCATENATE("BNDGRL80S19A366W")</f>
        <v>BNDGRL80S19A366W</v>
      </c>
      <c r="O292" s="3" t="s">
        <v>399</v>
      </c>
      <c r="P292" s="3" t="s">
        <v>36</v>
      </c>
      <c r="Q292" s="3"/>
      <c r="R292" s="4">
        <v>45996</v>
      </c>
      <c r="S292" s="3" t="s">
        <v>37</v>
      </c>
      <c r="T292" s="3" t="s">
        <v>38</v>
      </c>
      <c r="U292" s="3" t="s">
        <v>39</v>
      </c>
      <c r="V292" s="3">
        <v>104.97</v>
      </c>
      <c r="W292" s="3">
        <v>44.61</v>
      </c>
      <c r="X292" s="3">
        <v>42.25</v>
      </c>
      <c r="Y292" s="3">
        <v>18.11</v>
      </c>
    </row>
    <row r="293" spans="1:25" ht="60.75" x14ac:dyDescent="0.25">
      <c r="A293" s="3" t="s">
        <v>26</v>
      </c>
      <c r="B293" s="3" t="s">
        <v>27</v>
      </c>
      <c r="C293" s="3" t="s">
        <v>28</v>
      </c>
      <c r="D293" s="3" t="s">
        <v>91</v>
      </c>
      <c r="E293" s="3" t="s">
        <v>151</v>
      </c>
      <c r="F293" s="3" t="s">
        <v>93</v>
      </c>
      <c r="G293" s="3" t="s">
        <v>151</v>
      </c>
      <c r="H293" s="3" t="s">
        <v>45</v>
      </c>
      <c r="I293" s="3">
        <v>2025</v>
      </c>
      <c r="J293" s="3" t="str">
        <f>CONCATENATE("54820211545")</f>
        <v>54820211545</v>
      </c>
      <c r="K293" s="3" t="s">
        <v>33</v>
      </c>
      <c r="L293" s="3"/>
      <c r="M293" s="3" t="s">
        <v>131</v>
      </c>
      <c r="N293" s="3" t="str">
        <f>CONCATENATE("BNNGLN61P12Z404U")</f>
        <v>BNNGLN61P12Z404U</v>
      </c>
      <c r="O293" s="3" t="s">
        <v>400</v>
      </c>
      <c r="P293" s="3" t="s">
        <v>36</v>
      </c>
      <c r="Q293" s="3"/>
      <c r="R293" s="4">
        <v>45996</v>
      </c>
      <c r="S293" s="3" t="s">
        <v>37</v>
      </c>
      <c r="T293" s="3" t="s">
        <v>38</v>
      </c>
      <c r="U293" s="3" t="s">
        <v>39</v>
      </c>
      <c r="V293" s="3">
        <v>51.24</v>
      </c>
      <c r="W293" s="3">
        <v>21.78</v>
      </c>
      <c r="X293" s="3">
        <v>20.62</v>
      </c>
      <c r="Y293" s="3">
        <v>8.84</v>
      </c>
    </row>
    <row r="294" spans="1:25" ht="60.75" x14ac:dyDescent="0.25">
      <c r="A294" s="3" t="s">
        <v>26</v>
      </c>
      <c r="B294" s="3" t="s">
        <v>27</v>
      </c>
      <c r="C294" s="3" t="s">
        <v>28</v>
      </c>
      <c r="D294" s="3" t="s">
        <v>29</v>
      </c>
      <c r="E294" s="3" t="s">
        <v>47</v>
      </c>
      <c r="F294" s="3" t="s">
        <v>31</v>
      </c>
      <c r="G294" s="3" t="s">
        <v>47</v>
      </c>
      <c r="H294" s="3" t="s">
        <v>48</v>
      </c>
      <c r="I294" s="3">
        <v>2025</v>
      </c>
      <c r="J294" s="3" t="str">
        <f>CONCATENATE("54820070297")</f>
        <v>54820070297</v>
      </c>
      <c r="K294" s="3" t="s">
        <v>33</v>
      </c>
      <c r="L294" s="3"/>
      <c r="M294" s="3" t="s">
        <v>131</v>
      </c>
      <c r="N294" s="3" t="str">
        <f>CONCATENATE("STRCLL99C58D451C")</f>
        <v>STRCLL99C58D451C</v>
      </c>
      <c r="O294" s="3" t="s">
        <v>401</v>
      </c>
      <c r="P294" s="3" t="s">
        <v>36</v>
      </c>
      <c r="Q294" s="3"/>
      <c r="R294" s="4">
        <v>45996</v>
      </c>
      <c r="S294" s="3" t="s">
        <v>37</v>
      </c>
      <c r="T294" s="3" t="s">
        <v>38</v>
      </c>
      <c r="U294" s="3" t="s">
        <v>39</v>
      </c>
      <c r="V294" s="3">
        <v>141.49</v>
      </c>
      <c r="W294" s="3">
        <v>60.13</v>
      </c>
      <c r="X294" s="3">
        <v>56.95</v>
      </c>
      <c r="Y294" s="3">
        <v>24.41</v>
      </c>
    </row>
    <row r="295" spans="1:25" ht="60.75" x14ac:dyDescent="0.25">
      <c r="A295" s="3" t="s">
        <v>26</v>
      </c>
      <c r="B295" s="3" t="s">
        <v>27</v>
      </c>
      <c r="C295" s="3" t="s">
        <v>28</v>
      </c>
      <c r="D295" s="3" t="s">
        <v>40</v>
      </c>
      <c r="E295" s="3" t="s">
        <v>41</v>
      </c>
      <c r="F295" s="3" t="s">
        <v>42</v>
      </c>
      <c r="G295" s="3" t="s">
        <v>41</v>
      </c>
      <c r="H295" s="3" t="s">
        <v>32</v>
      </c>
      <c r="I295" s="3">
        <v>2025</v>
      </c>
      <c r="J295" s="3" t="str">
        <f>CONCATENATE("54820231857")</f>
        <v>54820231857</v>
      </c>
      <c r="K295" s="3" t="s">
        <v>33</v>
      </c>
      <c r="L295" s="3"/>
      <c r="M295" s="3" t="s">
        <v>131</v>
      </c>
      <c r="N295" s="3" t="str">
        <f>CONCATENATE("PRSGNN88M09I156J")</f>
        <v>PRSGNN88M09I156J</v>
      </c>
      <c r="O295" s="3" t="s">
        <v>402</v>
      </c>
      <c r="P295" s="3" t="s">
        <v>36</v>
      </c>
      <c r="Q295" s="3"/>
      <c r="R295" s="4">
        <v>45996</v>
      </c>
      <c r="S295" s="3" t="s">
        <v>37</v>
      </c>
      <c r="T295" s="3" t="s">
        <v>38</v>
      </c>
      <c r="U295" s="3" t="s">
        <v>39</v>
      </c>
      <c r="V295" s="5">
        <v>1273.8</v>
      </c>
      <c r="W295" s="3">
        <v>541.37</v>
      </c>
      <c r="X295" s="3">
        <v>512.70000000000005</v>
      </c>
      <c r="Y295" s="3">
        <v>219.73</v>
      </c>
    </row>
    <row r="296" spans="1:25" ht="60.75" x14ac:dyDescent="0.25">
      <c r="A296" s="3" t="s">
        <v>26</v>
      </c>
      <c r="B296" s="3" t="s">
        <v>27</v>
      </c>
      <c r="C296" s="3" t="s">
        <v>28</v>
      </c>
      <c r="D296" s="3" t="s">
        <v>29</v>
      </c>
      <c r="E296" s="3" t="s">
        <v>403</v>
      </c>
      <c r="F296" s="3" t="s">
        <v>31</v>
      </c>
      <c r="G296" s="3" t="s">
        <v>403</v>
      </c>
      <c r="H296" s="3" t="s">
        <v>96</v>
      </c>
      <c r="I296" s="3">
        <v>2025</v>
      </c>
      <c r="J296" s="3" t="str">
        <f>CONCATENATE("54820060504")</f>
        <v>54820060504</v>
      </c>
      <c r="K296" s="3" t="s">
        <v>33</v>
      </c>
      <c r="L296" s="3"/>
      <c r="M296" s="3" t="s">
        <v>131</v>
      </c>
      <c r="N296" s="3" t="str">
        <f>CONCATENATE("DBIVLR72D06H769F")</f>
        <v>DBIVLR72D06H769F</v>
      </c>
      <c r="O296" s="3" t="s">
        <v>404</v>
      </c>
      <c r="P296" s="3" t="s">
        <v>36</v>
      </c>
      <c r="Q296" s="3"/>
      <c r="R296" s="4">
        <v>45996</v>
      </c>
      <c r="S296" s="3" t="s">
        <v>37</v>
      </c>
      <c r="T296" s="3" t="s">
        <v>38</v>
      </c>
      <c r="U296" s="3" t="s">
        <v>39</v>
      </c>
      <c r="V296" s="3">
        <v>303.04000000000002</v>
      </c>
      <c r="W296" s="3">
        <v>128.79</v>
      </c>
      <c r="X296" s="3">
        <v>121.97</v>
      </c>
      <c r="Y296" s="3">
        <v>52.28</v>
      </c>
    </row>
    <row r="297" spans="1:25" ht="72.75" x14ac:dyDescent="0.25">
      <c r="A297" s="3" t="s">
        <v>26</v>
      </c>
      <c r="B297" s="3" t="s">
        <v>27</v>
      </c>
      <c r="C297" s="3" t="s">
        <v>28</v>
      </c>
      <c r="D297" s="3" t="s">
        <v>50</v>
      </c>
      <c r="E297" s="3" t="s">
        <v>252</v>
      </c>
      <c r="F297" s="3" t="s">
        <v>52</v>
      </c>
      <c r="G297" s="3" t="s">
        <v>252</v>
      </c>
      <c r="H297" s="3" t="s">
        <v>45</v>
      </c>
      <c r="I297" s="3">
        <v>2025</v>
      </c>
      <c r="J297" s="3" t="str">
        <f>CONCATENATE("54820174503")</f>
        <v>54820174503</v>
      </c>
      <c r="K297" s="3" t="s">
        <v>33</v>
      </c>
      <c r="L297" s="3"/>
      <c r="M297" s="3" t="s">
        <v>131</v>
      </c>
      <c r="N297" s="3" t="str">
        <f>CONCATENATE("PGNMRS54D54D749U")</f>
        <v>PGNMRS54D54D749U</v>
      </c>
      <c r="O297" s="3" t="s">
        <v>405</v>
      </c>
      <c r="P297" s="3" t="s">
        <v>36</v>
      </c>
      <c r="Q297" s="3"/>
      <c r="R297" s="4">
        <v>45996</v>
      </c>
      <c r="S297" s="3" t="s">
        <v>37</v>
      </c>
      <c r="T297" s="3" t="s">
        <v>38</v>
      </c>
      <c r="U297" s="3" t="s">
        <v>39</v>
      </c>
      <c r="V297" s="3">
        <v>97.25</v>
      </c>
      <c r="W297" s="3">
        <v>41.33</v>
      </c>
      <c r="X297" s="3">
        <v>39.14</v>
      </c>
      <c r="Y297" s="3">
        <v>16.78</v>
      </c>
    </row>
    <row r="298" spans="1:25" ht="60.75" x14ac:dyDescent="0.25">
      <c r="A298" s="3" t="s">
        <v>26</v>
      </c>
      <c r="B298" s="3" t="s">
        <v>27</v>
      </c>
      <c r="C298" s="3" t="s">
        <v>28</v>
      </c>
      <c r="D298" s="3" t="s">
        <v>29</v>
      </c>
      <c r="E298" s="3" t="s">
        <v>136</v>
      </c>
      <c r="F298" s="3" t="s">
        <v>31</v>
      </c>
      <c r="G298" s="3" t="s">
        <v>136</v>
      </c>
      <c r="H298" s="3" t="s">
        <v>48</v>
      </c>
      <c r="I298" s="3">
        <v>2025</v>
      </c>
      <c r="J298" s="3" t="str">
        <f>CONCATENATE("54820115621")</f>
        <v>54820115621</v>
      </c>
      <c r="K298" s="3" t="s">
        <v>33</v>
      </c>
      <c r="L298" s="3"/>
      <c r="M298" s="3" t="s">
        <v>131</v>
      </c>
      <c r="N298" s="3" t="str">
        <f>CONCATENATE("BLDMTT01M27I608O")</f>
        <v>BLDMTT01M27I608O</v>
      </c>
      <c r="O298" s="3" t="s">
        <v>406</v>
      </c>
      <c r="P298" s="3" t="s">
        <v>36</v>
      </c>
      <c r="Q298" s="3"/>
      <c r="R298" s="4">
        <v>45996</v>
      </c>
      <c r="S298" s="3" t="s">
        <v>37</v>
      </c>
      <c r="T298" s="3" t="s">
        <v>38</v>
      </c>
      <c r="U298" s="3" t="s">
        <v>39</v>
      </c>
      <c r="V298" s="3">
        <v>88.36</v>
      </c>
      <c r="W298" s="3">
        <v>37.549999999999997</v>
      </c>
      <c r="X298" s="3">
        <v>35.56</v>
      </c>
      <c r="Y298" s="3">
        <v>15.25</v>
      </c>
    </row>
    <row r="299" spans="1:25" ht="36.75" x14ac:dyDescent="0.25">
      <c r="A299" s="3" t="s">
        <v>26</v>
      </c>
      <c r="B299" s="3" t="s">
        <v>27</v>
      </c>
      <c r="C299" s="3" t="s">
        <v>28</v>
      </c>
      <c r="D299" s="3" t="s">
        <v>29</v>
      </c>
      <c r="E299" s="3" t="s">
        <v>119</v>
      </c>
      <c r="F299" s="3" t="s">
        <v>31</v>
      </c>
      <c r="G299" s="3" t="s">
        <v>119</v>
      </c>
      <c r="H299" s="3" t="s">
        <v>96</v>
      </c>
      <c r="I299" s="3">
        <v>2025</v>
      </c>
      <c r="J299" s="3" t="str">
        <f>CONCATENATE("54820179320")</f>
        <v>54820179320</v>
      </c>
      <c r="K299" s="3" t="s">
        <v>33</v>
      </c>
      <c r="L299" s="3"/>
      <c r="M299" s="3" t="s">
        <v>131</v>
      </c>
      <c r="N299" s="3" t="str">
        <f>CONCATENATE("01235990445")</f>
        <v>01235990445</v>
      </c>
      <c r="O299" s="3" t="s">
        <v>407</v>
      </c>
      <c r="P299" s="3" t="s">
        <v>36</v>
      </c>
      <c r="Q299" s="3"/>
      <c r="R299" s="4">
        <v>45996</v>
      </c>
      <c r="S299" s="3" t="s">
        <v>37</v>
      </c>
      <c r="T299" s="3" t="s">
        <v>38</v>
      </c>
      <c r="U299" s="3" t="s">
        <v>39</v>
      </c>
      <c r="V299" s="3">
        <v>269.98</v>
      </c>
      <c r="W299" s="3">
        <v>114.74</v>
      </c>
      <c r="X299" s="3">
        <v>108.67</v>
      </c>
      <c r="Y299" s="3">
        <v>46.57</v>
      </c>
    </row>
    <row r="300" spans="1:25" ht="60.75" x14ac:dyDescent="0.25">
      <c r="A300" s="3" t="s">
        <v>26</v>
      </c>
      <c r="B300" s="3" t="s">
        <v>27</v>
      </c>
      <c r="C300" s="3" t="s">
        <v>28</v>
      </c>
      <c r="D300" s="3" t="s">
        <v>50</v>
      </c>
      <c r="E300" s="3" t="s">
        <v>147</v>
      </c>
      <c r="F300" s="3" t="s">
        <v>52</v>
      </c>
      <c r="G300" s="3" t="s">
        <v>147</v>
      </c>
      <c r="H300" s="3" t="s">
        <v>45</v>
      </c>
      <c r="I300" s="3">
        <v>2025</v>
      </c>
      <c r="J300" s="3" t="str">
        <f>CONCATENATE("54820160007")</f>
        <v>54820160007</v>
      </c>
      <c r="K300" s="3" t="s">
        <v>33</v>
      </c>
      <c r="L300" s="3"/>
      <c r="M300" s="3" t="s">
        <v>131</v>
      </c>
      <c r="N300" s="3" t="str">
        <f>CONCATENATE("VLNSFN81R06L500X")</f>
        <v>VLNSFN81R06L500X</v>
      </c>
      <c r="O300" s="3" t="s">
        <v>408</v>
      </c>
      <c r="P300" s="3" t="s">
        <v>36</v>
      </c>
      <c r="Q300" s="3"/>
      <c r="R300" s="4">
        <v>45996</v>
      </c>
      <c r="S300" s="3" t="s">
        <v>37</v>
      </c>
      <c r="T300" s="3" t="s">
        <v>38</v>
      </c>
      <c r="U300" s="3" t="s">
        <v>39</v>
      </c>
      <c r="V300" s="3">
        <v>108.47</v>
      </c>
      <c r="W300" s="3">
        <v>46.1</v>
      </c>
      <c r="X300" s="3">
        <v>43.66</v>
      </c>
      <c r="Y300" s="3">
        <v>18.71</v>
      </c>
    </row>
    <row r="301" spans="1:25" ht="60.75" x14ac:dyDescent="0.25">
      <c r="A301" s="3" t="s">
        <v>26</v>
      </c>
      <c r="B301" s="3" t="s">
        <v>27</v>
      </c>
      <c r="C301" s="3" t="s">
        <v>28</v>
      </c>
      <c r="D301" s="3" t="s">
        <v>29</v>
      </c>
      <c r="E301" s="3" t="s">
        <v>119</v>
      </c>
      <c r="F301" s="3" t="s">
        <v>31</v>
      </c>
      <c r="G301" s="3" t="s">
        <v>119</v>
      </c>
      <c r="H301" s="3" t="s">
        <v>96</v>
      </c>
      <c r="I301" s="3">
        <v>2025</v>
      </c>
      <c r="J301" s="3" t="str">
        <f>CONCATENATE("54820101142")</f>
        <v>54820101142</v>
      </c>
      <c r="K301" s="3" t="s">
        <v>33</v>
      </c>
      <c r="L301" s="3"/>
      <c r="M301" s="3" t="s">
        <v>131</v>
      </c>
      <c r="N301" s="3" t="str">
        <f>CONCATENATE("TNTNRC36T65F493K")</f>
        <v>TNTNRC36T65F493K</v>
      </c>
      <c r="O301" s="3" t="s">
        <v>409</v>
      </c>
      <c r="P301" s="3" t="s">
        <v>36</v>
      </c>
      <c r="Q301" s="3"/>
      <c r="R301" s="4">
        <v>45996</v>
      </c>
      <c r="S301" s="3" t="s">
        <v>37</v>
      </c>
      <c r="T301" s="3" t="s">
        <v>38</v>
      </c>
      <c r="U301" s="3" t="s">
        <v>39</v>
      </c>
      <c r="V301" s="3">
        <v>186.7</v>
      </c>
      <c r="W301" s="3">
        <v>79.349999999999994</v>
      </c>
      <c r="X301" s="3">
        <v>75.150000000000006</v>
      </c>
      <c r="Y301" s="3">
        <v>32.200000000000003</v>
      </c>
    </row>
    <row r="302" spans="1:25" ht="60.75" x14ac:dyDescent="0.25">
      <c r="A302" s="3" t="s">
        <v>26</v>
      </c>
      <c r="B302" s="3" t="s">
        <v>27</v>
      </c>
      <c r="C302" s="3" t="s">
        <v>28</v>
      </c>
      <c r="D302" s="3" t="s">
        <v>29</v>
      </c>
      <c r="E302" s="3" t="s">
        <v>80</v>
      </c>
      <c r="F302" s="3" t="s">
        <v>31</v>
      </c>
      <c r="G302" s="3" t="s">
        <v>80</v>
      </c>
      <c r="H302" s="3" t="s">
        <v>45</v>
      </c>
      <c r="I302" s="3">
        <v>2025</v>
      </c>
      <c r="J302" s="3" t="str">
        <f>CONCATENATE("54820074448")</f>
        <v>54820074448</v>
      </c>
      <c r="K302" s="3" t="s">
        <v>33</v>
      </c>
      <c r="L302" s="3"/>
      <c r="M302" s="3" t="s">
        <v>131</v>
      </c>
      <c r="N302" s="3" t="str">
        <f>CONCATENATE("NCLNDE55M42G453S")</f>
        <v>NCLNDE55M42G453S</v>
      </c>
      <c r="O302" s="3" t="s">
        <v>410</v>
      </c>
      <c r="P302" s="3" t="s">
        <v>36</v>
      </c>
      <c r="Q302" s="3"/>
      <c r="R302" s="4">
        <v>45996</v>
      </c>
      <c r="S302" s="3" t="s">
        <v>37</v>
      </c>
      <c r="T302" s="3" t="s">
        <v>38</v>
      </c>
      <c r="U302" s="3" t="s">
        <v>39</v>
      </c>
      <c r="V302" s="3">
        <v>282.27999999999997</v>
      </c>
      <c r="W302" s="3">
        <v>119.97</v>
      </c>
      <c r="X302" s="3">
        <v>113.62</v>
      </c>
      <c r="Y302" s="3">
        <v>48.69</v>
      </c>
    </row>
    <row r="303" spans="1:25" ht="60.75" x14ac:dyDescent="0.25">
      <c r="A303" s="3" t="s">
        <v>26</v>
      </c>
      <c r="B303" s="3" t="s">
        <v>27</v>
      </c>
      <c r="C303" s="3" t="s">
        <v>28</v>
      </c>
      <c r="D303" s="3" t="s">
        <v>50</v>
      </c>
      <c r="E303" s="3" t="s">
        <v>60</v>
      </c>
      <c r="F303" s="3" t="s">
        <v>52</v>
      </c>
      <c r="G303" s="3" t="s">
        <v>60</v>
      </c>
      <c r="H303" s="3" t="s">
        <v>45</v>
      </c>
      <c r="I303" s="3">
        <v>2025</v>
      </c>
      <c r="J303" s="3" t="str">
        <f>CONCATENATE("54820117619")</f>
        <v>54820117619</v>
      </c>
      <c r="K303" s="3" t="s">
        <v>33</v>
      </c>
      <c r="L303" s="3"/>
      <c r="M303" s="3" t="s">
        <v>131</v>
      </c>
      <c r="N303" s="3" t="str">
        <f>CONCATENATE("PLLDNI38H14G618C")</f>
        <v>PLLDNI38H14G618C</v>
      </c>
      <c r="O303" s="3" t="s">
        <v>411</v>
      </c>
      <c r="P303" s="3" t="s">
        <v>36</v>
      </c>
      <c r="Q303" s="3"/>
      <c r="R303" s="4">
        <v>45996</v>
      </c>
      <c r="S303" s="3" t="s">
        <v>37</v>
      </c>
      <c r="T303" s="3" t="s">
        <v>38</v>
      </c>
      <c r="U303" s="3" t="s">
        <v>39</v>
      </c>
      <c r="V303" s="3">
        <v>77.06</v>
      </c>
      <c r="W303" s="3">
        <v>32.75</v>
      </c>
      <c r="X303" s="3">
        <v>31.02</v>
      </c>
      <c r="Y303" s="3">
        <v>13.29</v>
      </c>
    </row>
    <row r="304" spans="1:25" ht="60.75" x14ac:dyDescent="0.25">
      <c r="A304" s="3" t="s">
        <v>26</v>
      </c>
      <c r="B304" s="3" t="s">
        <v>27</v>
      </c>
      <c r="C304" s="3" t="s">
        <v>28</v>
      </c>
      <c r="D304" s="3" t="s">
        <v>50</v>
      </c>
      <c r="E304" s="3" t="s">
        <v>60</v>
      </c>
      <c r="F304" s="3" t="s">
        <v>52</v>
      </c>
      <c r="G304" s="3" t="s">
        <v>60</v>
      </c>
      <c r="H304" s="3" t="s">
        <v>45</v>
      </c>
      <c r="I304" s="3">
        <v>2025</v>
      </c>
      <c r="J304" s="3" t="str">
        <f>CONCATENATE("54820093547")</f>
        <v>54820093547</v>
      </c>
      <c r="K304" s="3" t="s">
        <v>33</v>
      </c>
      <c r="L304" s="3"/>
      <c r="M304" s="3" t="s">
        <v>131</v>
      </c>
      <c r="N304" s="3" t="str">
        <f>CONCATENATE("MZZLDN57T71I654T")</f>
        <v>MZZLDN57T71I654T</v>
      </c>
      <c r="O304" s="3" t="s">
        <v>412</v>
      </c>
      <c r="P304" s="3" t="s">
        <v>36</v>
      </c>
      <c r="Q304" s="3"/>
      <c r="R304" s="4">
        <v>45996</v>
      </c>
      <c r="S304" s="3" t="s">
        <v>37</v>
      </c>
      <c r="T304" s="3" t="s">
        <v>38</v>
      </c>
      <c r="U304" s="3" t="s">
        <v>39</v>
      </c>
      <c r="V304" s="3">
        <v>58</v>
      </c>
      <c r="W304" s="3">
        <v>24.65</v>
      </c>
      <c r="X304" s="3">
        <v>23.35</v>
      </c>
      <c r="Y304" s="3">
        <v>10</v>
      </c>
    </row>
    <row r="305" spans="1:25" ht="60.75" x14ac:dyDescent="0.25">
      <c r="A305" s="3" t="s">
        <v>26</v>
      </c>
      <c r="B305" s="3" t="s">
        <v>27</v>
      </c>
      <c r="C305" s="3" t="s">
        <v>28</v>
      </c>
      <c r="D305" s="3" t="s">
        <v>29</v>
      </c>
      <c r="E305" s="3" t="s">
        <v>233</v>
      </c>
      <c r="F305" s="3" t="s">
        <v>31</v>
      </c>
      <c r="G305" s="3" t="s">
        <v>233</v>
      </c>
      <c r="H305" s="3" t="s">
        <v>96</v>
      </c>
      <c r="I305" s="3">
        <v>2025</v>
      </c>
      <c r="J305" s="3" t="str">
        <f>CONCATENATE("54820057344")</f>
        <v>54820057344</v>
      </c>
      <c r="K305" s="3" t="s">
        <v>33</v>
      </c>
      <c r="L305" s="3"/>
      <c r="M305" s="3" t="s">
        <v>131</v>
      </c>
      <c r="N305" s="3" t="str">
        <f>CONCATENATE("SLVGTA73S54A462P")</f>
        <v>SLVGTA73S54A462P</v>
      </c>
      <c r="O305" s="3" t="s">
        <v>413</v>
      </c>
      <c r="P305" s="3" t="s">
        <v>36</v>
      </c>
      <c r="Q305" s="3"/>
      <c r="R305" s="4">
        <v>45996</v>
      </c>
      <c r="S305" s="3" t="s">
        <v>37</v>
      </c>
      <c r="T305" s="3" t="s">
        <v>38</v>
      </c>
      <c r="U305" s="3" t="s">
        <v>39</v>
      </c>
      <c r="V305" s="3">
        <v>123.4</v>
      </c>
      <c r="W305" s="3">
        <v>52.45</v>
      </c>
      <c r="X305" s="3">
        <v>49.67</v>
      </c>
      <c r="Y305" s="3">
        <v>21.28</v>
      </c>
    </row>
    <row r="306" spans="1:25" ht="72.75" x14ac:dyDescent="0.25">
      <c r="A306" s="3" t="s">
        <v>26</v>
      </c>
      <c r="B306" s="3" t="s">
        <v>27</v>
      </c>
      <c r="C306" s="3" t="s">
        <v>28</v>
      </c>
      <c r="D306" s="3" t="s">
        <v>29</v>
      </c>
      <c r="E306" s="3" t="s">
        <v>56</v>
      </c>
      <c r="F306" s="3" t="s">
        <v>31</v>
      </c>
      <c r="G306" s="3" t="s">
        <v>56</v>
      </c>
      <c r="H306" s="3" t="s">
        <v>32</v>
      </c>
      <c r="I306" s="3">
        <v>2025</v>
      </c>
      <c r="J306" s="3" t="str">
        <f>CONCATENATE("54820129952")</f>
        <v>54820129952</v>
      </c>
      <c r="K306" s="3" t="s">
        <v>33</v>
      </c>
      <c r="L306" s="3"/>
      <c r="M306" s="3" t="s">
        <v>131</v>
      </c>
      <c r="N306" s="3" t="str">
        <f>CONCATENATE("SCPMGR50H44B474A")</f>
        <v>SCPMGR50H44B474A</v>
      </c>
      <c r="O306" s="3" t="s">
        <v>414</v>
      </c>
      <c r="P306" s="3" t="s">
        <v>36</v>
      </c>
      <c r="Q306" s="3"/>
      <c r="R306" s="4">
        <v>45996</v>
      </c>
      <c r="S306" s="3" t="s">
        <v>37</v>
      </c>
      <c r="T306" s="3" t="s">
        <v>38</v>
      </c>
      <c r="U306" s="3" t="s">
        <v>39</v>
      </c>
      <c r="V306" s="3">
        <v>158.22</v>
      </c>
      <c r="W306" s="3">
        <v>67.239999999999995</v>
      </c>
      <c r="X306" s="3">
        <v>63.68</v>
      </c>
      <c r="Y306" s="3">
        <v>27.3</v>
      </c>
    </row>
    <row r="307" spans="1:25" ht="60.75" x14ac:dyDescent="0.25">
      <c r="A307" s="3" t="s">
        <v>26</v>
      </c>
      <c r="B307" s="3" t="s">
        <v>27</v>
      </c>
      <c r="C307" s="3" t="s">
        <v>28</v>
      </c>
      <c r="D307" s="3" t="s">
        <v>50</v>
      </c>
      <c r="E307" s="3" t="s">
        <v>147</v>
      </c>
      <c r="F307" s="3" t="s">
        <v>52</v>
      </c>
      <c r="G307" s="3" t="s">
        <v>147</v>
      </c>
      <c r="H307" s="3" t="s">
        <v>45</v>
      </c>
      <c r="I307" s="3">
        <v>2025</v>
      </c>
      <c r="J307" s="3" t="str">
        <f>CONCATENATE("54820103767")</f>
        <v>54820103767</v>
      </c>
      <c r="K307" s="3" t="s">
        <v>33</v>
      </c>
      <c r="L307" s="3"/>
      <c r="M307" s="3" t="s">
        <v>131</v>
      </c>
      <c r="N307" s="3" t="str">
        <f>CONCATENATE("PRNRNO58C06L500B")</f>
        <v>PRNRNO58C06L500B</v>
      </c>
      <c r="O307" s="3" t="s">
        <v>415</v>
      </c>
      <c r="P307" s="3" t="s">
        <v>36</v>
      </c>
      <c r="Q307" s="3"/>
      <c r="R307" s="4">
        <v>45996</v>
      </c>
      <c r="S307" s="3" t="s">
        <v>37</v>
      </c>
      <c r="T307" s="3" t="s">
        <v>38</v>
      </c>
      <c r="U307" s="3" t="s">
        <v>39</v>
      </c>
      <c r="V307" s="3">
        <v>133.91</v>
      </c>
      <c r="W307" s="3">
        <v>56.91</v>
      </c>
      <c r="X307" s="3">
        <v>53.9</v>
      </c>
      <c r="Y307" s="3">
        <v>23.1</v>
      </c>
    </row>
    <row r="308" spans="1:25" ht="60.75" x14ac:dyDescent="0.25">
      <c r="A308" s="3" t="s">
        <v>26</v>
      </c>
      <c r="B308" s="3" t="s">
        <v>27</v>
      </c>
      <c r="C308" s="3" t="s">
        <v>28</v>
      </c>
      <c r="D308" s="3" t="s">
        <v>29</v>
      </c>
      <c r="E308" s="3" t="s">
        <v>182</v>
      </c>
      <c r="F308" s="3" t="s">
        <v>31</v>
      </c>
      <c r="G308" s="3" t="s">
        <v>182</v>
      </c>
      <c r="H308" s="3" t="s">
        <v>45</v>
      </c>
      <c r="I308" s="3">
        <v>2025</v>
      </c>
      <c r="J308" s="3" t="str">
        <f>CONCATENATE("54820068010")</f>
        <v>54820068010</v>
      </c>
      <c r="K308" s="3" t="s">
        <v>33</v>
      </c>
      <c r="L308" s="3"/>
      <c r="M308" s="3" t="s">
        <v>131</v>
      </c>
      <c r="N308" s="3" t="str">
        <f>CONCATENATE("CNNMRT93A42L500G")</f>
        <v>CNNMRT93A42L500G</v>
      </c>
      <c r="O308" s="3" t="s">
        <v>416</v>
      </c>
      <c r="P308" s="3" t="s">
        <v>36</v>
      </c>
      <c r="Q308" s="3"/>
      <c r="R308" s="4">
        <v>45996</v>
      </c>
      <c r="S308" s="3" t="s">
        <v>37</v>
      </c>
      <c r="T308" s="3" t="s">
        <v>38</v>
      </c>
      <c r="U308" s="3" t="s">
        <v>39</v>
      </c>
      <c r="V308" s="3">
        <v>688.09</v>
      </c>
      <c r="W308" s="3">
        <v>292.44</v>
      </c>
      <c r="X308" s="3">
        <v>276.95999999999998</v>
      </c>
      <c r="Y308" s="3">
        <v>118.69</v>
      </c>
    </row>
    <row r="309" spans="1:25" ht="60.75" x14ac:dyDescent="0.25">
      <c r="A309" s="3" t="s">
        <v>26</v>
      </c>
      <c r="B309" s="3" t="s">
        <v>27</v>
      </c>
      <c r="C309" s="3" t="s">
        <v>28</v>
      </c>
      <c r="D309" s="3" t="s">
        <v>29</v>
      </c>
      <c r="E309" s="3" t="s">
        <v>119</v>
      </c>
      <c r="F309" s="3" t="s">
        <v>31</v>
      </c>
      <c r="G309" s="3" t="s">
        <v>119</v>
      </c>
      <c r="H309" s="3" t="s">
        <v>96</v>
      </c>
      <c r="I309" s="3">
        <v>2025</v>
      </c>
      <c r="J309" s="3" t="str">
        <f>CONCATENATE("54820114152")</f>
        <v>54820114152</v>
      </c>
      <c r="K309" s="3" t="s">
        <v>33</v>
      </c>
      <c r="L309" s="3"/>
      <c r="M309" s="3" t="s">
        <v>131</v>
      </c>
      <c r="N309" s="3" t="str">
        <f>CONCATENATE("MRTLRT62P22L728H")</f>
        <v>MRTLRT62P22L728H</v>
      </c>
      <c r="O309" s="3" t="s">
        <v>417</v>
      </c>
      <c r="P309" s="3" t="s">
        <v>36</v>
      </c>
      <c r="Q309" s="3"/>
      <c r="R309" s="4">
        <v>45996</v>
      </c>
      <c r="S309" s="3" t="s">
        <v>37</v>
      </c>
      <c r="T309" s="3" t="s">
        <v>38</v>
      </c>
      <c r="U309" s="3" t="s">
        <v>39</v>
      </c>
      <c r="V309" s="3">
        <v>99.36</v>
      </c>
      <c r="W309" s="3">
        <v>42.23</v>
      </c>
      <c r="X309" s="3">
        <v>39.99</v>
      </c>
      <c r="Y309" s="3">
        <v>17.14</v>
      </c>
    </row>
    <row r="310" spans="1:25" ht="60.75" x14ac:dyDescent="0.25">
      <c r="A310" s="3" t="s">
        <v>26</v>
      </c>
      <c r="B310" s="3" t="s">
        <v>27</v>
      </c>
      <c r="C310" s="3" t="s">
        <v>28</v>
      </c>
      <c r="D310" s="3" t="s">
        <v>50</v>
      </c>
      <c r="E310" s="3" t="s">
        <v>173</v>
      </c>
      <c r="F310" s="3" t="s">
        <v>52</v>
      </c>
      <c r="G310" s="3" t="s">
        <v>173</v>
      </c>
      <c r="H310" s="3" t="s">
        <v>45</v>
      </c>
      <c r="I310" s="3">
        <v>2025</v>
      </c>
      <c r="J310" s="3" t="str">
        <f>CONCATENATE("54820091053")</f>
        <v>54820091053</v>
      </c>
      <c r="K310" s="3" t="s">
        <v>33</v>
      </c>
      <c r="L310" s="3"/>
      <c r="M310" s="3" t="s">
        <v>131</v>
      </c>
      <c r="N310" s="3" t="str">
        <f>CONCATENATE("PNSPLA75M30E785D")</f>
        <v>PNSPLA75M30E785D</v>
      </c>
      <c r="O310" s="3" t="s">
        <v>418</v>
      </c>
      <c r="P310" s="3" t="s">
        <v>36</v>
      </c>
      <c r="Q310" s="3"/>
      <c r="R310" s="4">
        <v>45996</v>
      </c>
      <c r="S310" s="3" t="s">
        <v>37</v>
      </c>
      <c r="T310" s="3" t="s">
        <v>38</v>
      </c>
      <c r="U310" s="3" t="s">
        <v>39</v>
      </c>
      <c r="V310" s="3">
        <v>409.35</v>
      </c>
      <c r="W310" s="3">
        <v>173.97</v>
      </c>
      <c r="X310" s="3">
        <v>164.76</v>
      </c>
      <c r="Y310" s="3">
        <v>70.62</v>
      </c>
    </row>
    <row r="311" spans="1:25" ht="72.75" x14ac:dyDescent="0.25">
      <c r="A311" s="3" t="s">
        <v>26</v>
      </c>
      <c r="B311" s="3" t="s">
        <v>27</v>
      </c>
      <c r="C311" s="3" t="s">
        <v>28</v>
      </c>
      <c r="D311" s="3" t="s">
        <v>50</v>
      </c>
      <c r="E311" s="3" t="s">
        <v>51</v>
      </c>
      <c r="F311" s="3" t="s">
        <v>52</v>
      </c>
      <c r="G311" s="3" t="s">
        <v>51</v>
      </c>
      <c r="H311" s="3" t="s">
        <v>48</v>
      </c>
      <c r="I311" s="3">
        <v>2025</v>
      </c>
      <c r="J311" s="3" t="str">
        <f>CONCATENATE("54820083464")</f>
        <v>54820083464</v>
      </c>
      <c r="K311" s="3" t="s">
        <v>33</v>
      </c>
      <c r="L311" s="3"/>
      <c r="M311" s="3" t="s">
        <v>131</v>
      </c>
      <c r="N311" s="3" t="str">
        <f>CONCATENATE("RSSMGH90B65D451Z")</f>
        <v>RSSMGH90B65D451Z</v>
      </c>
      <c r="O311" s="3" t="s">
        <v>419</v>
      </c>
      <c r="P311" s="3" t="s">
        <v>36</v>
      </c>
      <c r="Q311" s="3"/>
      <c r="R311" s="4">
        <v>45996</v>
      </c>
      <c r="S311" s="3" t="s">
        <v>37</v>
      </c>
      <c r="T311" s="3" t="s">
        <v>38</v>
      </c>
      <c r="U311" s="3" t="s">
        <v>39</v>
      </c>
      <c r="V311" s="3">
        <v>116</v>
      </c>
      <c r="W311" s="3">
        <v>49.3</v>
      </c>
      <c r="X311" s="3">
        <v>46.69</v>
      </c>
      <c r="Y311" s="3">
        <v>20.010000000000002</v>
      </c>
    </row>
    <row r="312" spans="1:25" ht="60.75" x14ac:dyDescent="0.25">
      <c r="A312" s="3" t="s">
        <v>26</v>
      </c>
      <c r="B312" s="3" t="s">
        <v>27</v>
      </c>
      <c r="C312" s="3" t="s">
        <v>28</v>
      </c>
      <c r="D312" s="3" t="s">
        <v>29</v>
      </c>
      <c r="E312" s="3" t="s">
        <v>182</v>
      </c>
      <c r="F312" s="3" t="s">
        <v>31</v>
      </c>
      <c r="G312" s="3" t="s">
        <v>182</v>
      </c>
      <c r="H312" s="3" t="s">
        <v>45</v>
      </c>
      <c r="I312" s="3">
        <v>2025</v>
      </c>
      <c r="J312" s="3" t="str">
        <f>CONCATENATE("54820083480")</f>
        <v>54820083480</v>
      </c>
      <c r="K312" s="3" t="s">
        <v>33</v>
      </c>
      <c r="L312" s="3"/>
      <c r="M312" s="3" t="s">
        <v>131</v>
      </c>
      <c r="N312" s="3" t="str">
        <f>CONCATENATE("MNRRRT68R27L500C")</f>
        <v>MNRRRT68R27L500C</v>
      </c>
      <c r="O312" s="3" t="s">
        <v>420</v>
      </c>
      <c r="P312" s="3" t="s">
        <v>36</v>
      </c>
      <c r="Q312" s="3"/>
      <c r="R312" s="4">
        <v>45996</v>
      </c>
      <c r="S312" s="3" t="s">
        <v>37</v>
      </c>
      <c r="T312" s="3" t="s">
        <v>38</v>
      </c>
      <c r="U312" s="3" t="s">
        <v>39</v>
      </c>
      <c r="V312" s="3">
        <v>89.77</v>
      </c>
      <c r="W312" s="3">
        <v>38.15</v>
      </c>
      <c r="X312" s="3">
        <v>36.130000000000003</v>
      </c>
      <c r="Y312" s="3">
        <v>15.49</v>
      </c>
    </row>
    <row r="313" spans="1:25" ht="60.75" x14ac:dyDescent="0.25">
      <c r="A313" s="3" t="s">
        <v>26</v>
      </c>
      <c r="B313" s="3" t="s">
        <v>27</v>
      </c>
      <c r="C313" s="3" t="s">
        <v>28</v>
      </c>
      <c r="D313" s="3" t="s">
        <v>40</v>
      </c>
      <c r="E313" s="3" t="s">
        <v>218</v>
      </c>
      <c r="F313" s="3" t="s">
        <v>42</v>
      </c>
      <c r="G313" s="3" t="s">
        <v>218</v>
      </c>
      <c r="H313" s="3" t="s">
        <v>45</v>
      </c>
      <c r="I313" s="3">
        <v>2025</v>
      </c>
      <c r="J313" s="3" t="str">
        <f>CONCATENATE("54820026687")</f>
        <v>54820026687</v>
      </c>
      <c r="K313" s="3" t="s">
        <v>33</v>
      </c>
      <c r="L313" s="3"/>
      <c r="M313" s="3" t="s">
        <v>131</v>
      </c>
      <c r="N313" s="3" t="str">
        <f>CONCATENATE("FGLFST67P22L500M")</f>
        <v>FGLFST67P22L500M</v>
      </c>
      <c r="O313" s="3" t="s">
        <v>421</v>
      </c>
      <c r="P313" s="3" t="s">
        <v>36</v>
      </c>
      <c r="Q313" s="3"/>
      <c r="R313" s="4">
        <v>45996</v>
      </c>
      <c r="S313" s="3" t="s">
        <v>37</v>
      </c>
      <c r="T313" s="3" t="s">
        <v>38</v>
      </c>
      <c r="U313" s="3" t="s">
        <v>39</v>
      </c>
      <c r="V313" s="3">
        <v>314.7</v>
      </c>
      <c r="W313" s="3">
        <v>133.75</v>
      </c>
      <c r="X313" s="3">
        <v>126.67</v>
      </c>
      <c r="Y313" s="3">
        <v>54.28</v>
      </c>
    </row>
    <row r="314" spans="1:25" ht="60.75" x14ac:dyDescent="0.25">
      <c r="A314" s="3" t="s">
        <v>26</v>
      </c>
      <c r="B314" s="3" t="s">
        <v>27</v>
      </c>
      <c r="C314" s="3" t="s">
        <v>28</v>
      </c>
      <c r="D314" s="3" t="s">
        <v>29</v>
      </c>
      <c r="E314" s="3" t="s">
        <v>80</v>
      </c>
      <c r="F314" s="3" t="s">
        <v>31</v>
      </c>
      <c r="G314" s="3" t="s">
        <v>80</v>
      </c>
      <c r="H314" s="3" t="s">
        <v>45</v>
      </c>
      <c r="I314" s="3">
        <v>2025</v>
      </c>
      <c r="J314" s="3" t="str">
        <f>CONCATENATE("54820039359")</f>
        <v>54820039359</v>
      </c>
      <c r="K314" s="3" t="s">
        <v>33</v>
      </c>
      <c r="L314" s="3"/>
      <c r="M314" s="3" t="s">
        <v>131</v>
      </c>
      <c r="N314" s="3" t="str">
        <f>CONCATENATE("MTTLEO80D16D488K")</f>
        <v>MTTLEO80D16D488K</v>
      </c>
      <c r="O314" s="3" t="s">
        <v>422</v>
      </c>
      <c r="P314" s="3" t="s">
        <v>36</v>
      </c>
      <c r="Q314" s="3"/>
      <c r="R314" s="4">
        <v>45996</v>
      </c>
      <c r="S314" s="3" t="s">
        <v>37</v>
      </c>
      <c r="T314" s="3" t="s">
        <v>38</v>
      </c>
      <c r="U314" s="3" t="s">
        <v>39</v>
      </c>
      <c r="V314" s="3">
        <v>77.97</v>
      </c>
      <c r="W314" s="3">
        <v>33.14</v>
      </c>
      <c r="X314" s="3">
        <v>31.38</v>
      </c>
      <c r="Y314" s="3">
        <v>13.45</v>
      </c>
    </row>
    <row r="315" spans="1:25" ht="60.75" x14ac:dyDescent="0.25">
      <c r="A315" s="3" t="s">
        <v>26</v>
      </c>
      <c r="B315" s="3" t="s">
        <v>27</v>
      </c>
      <c r="C315" s="3" t="s">
        <v>28</v>
      </c>
      <c r="D315" s="3" t="s">
        <v>29</v>
      </c>
      <c r="E315" s="3" t="s">
        <v>228</v>
      </c>
      <c r="F315" s="3" t="s">
        <v>31</v>
      </c>
      <c r="G315" s="3" t="s">
        <v>228</v>
      </c>
      <c r="H315" s="3" t="s">
        <v>45</v>
      </c>
      <c r="I315" s="3">
        <v>2025</v>
      </c>
      <c r="J315" s="3" t="str">
        <f>CONCATENATE("54820041991")</f>
        <v>54820041991</v>
      </c>
      <c r="K315" s="3" t="s">
        <v>33</v>
      </c>
      <c r="L315" s="3"/>
      <c r="M315" s="3" t="s">
        <v>131</v>
      </c>
      <c r="N315" s="3" t="str">
        <f>CONCATENATE("PLZSFN66C01L500C")</f>
        <v>PLZSFN66C01L500C</v>
      </c>
      <c r="O315" s="3" t="s">
        <v>423</v>
      </c>
      <c r="P315" s="3" t="s">
        <v>36</v>
      </c>
      <c r="Q315" s="3"/>
      <c r="R315" s="4">
        <v>45996</v>
      </c>
      <c r="S315" s="3" t="s">
        <v>37</v>
      </c>
      <c r="T315" s="3" t="s">
        <v>38</v>
      </c>
      <c r="U315" s="3" t="s">
        <v>39</v>
      </c>
      <c r="V315" s="3">
        <v>72.010000000000005</v>
      </c>
      <c r="W315" s="3">
        <v>30.6</v>
      </c>
      <c r="X315" s="3">
        <v>28.98</v>
      </c>
      <c r="Y315" s="3">
        <v>12.43</v>
      </c>
    </row>
    <row r="316" spans="1:25" ht="60.75" x14ac:dyDescent="0.25">
      <c r="A316" s="3" t="s">
        <v>26</v>
      </c>
      <c r="B316" s="3" t="s">
        <v>27</v>
      </c>
      <c r="C316" s="3" t="s">
        <v>28</v>
      </c>
      <c r="D316" s="3" t="s">
        <v>29</v>
      </c>
      <c r="E316" s="3" t="s">
        <v>47</v>
      </c>
      <c r="F316" s="3" t="s">
        <v>31</v>
      </c>
      <c r="G316" s="3" t="s">
        <v>47</v>
      </c>
      <c r="H316" s="3" t="s">
        <v>48</v>
      </c>
      <c r="I316" s="3">
        <v>2025</v>
      </c>
      <c r="J316" s="3" t="str">
        <f>CONCATENATE("54820067160")</f>
        <v>54820067160</v>
      </c>
      <c r="K316" s="3" t="s">
        <v>33</v>
      </c>
      <c r="L316" s="3"/>
      <c r="M316" s="3" t="s">
        <v>131</v>
      </c>
      <c r="N316" s="3" t="str">
        <f>CONCATENATE("GZZFNC50T41D853Z")</f>
        <v>GZZFNC50T41D853Z</v>
      </c>
      <c r="O316" s="3" t="s">
        <v>424</v>
      </c>
      <c r="P316" s="3" t="s">
        <v>36</v>
      </c>
      <c r="Q316" s="3"/>
      <c r="R316" s="4">
        <v>45996</v>
      </c>
      <c r="S316" s="3" t="s">
        <v>37</v>
      </c>
      <c r="T316" s="3" t="s">
        <v>38</v>
      </c>
      <c r="U316" s="3" t="s">
        <v>39</v>
      </c>
      <c r="V316" s="3">
        <v>188.18</v>
      </c>
      <c r="W316" s="3">
        <v>79.98</v>
      </c>
      <c r="X316" s="3">
        <v>75.739999999999995</v>
      </c>
      <c r="Y316" s="3">
        <v>32.46</v>
      </c>
    </row>
    <row r="317" spans="1:25" ht="72.75" x14ac:dyDescent="0.25">
      <c r="A317" s="3" t="s">
        <v>26</v>
      </c>
      <c r="B317" s="3" t="s">
        <v>27</v>
      </c>
      <c r="C317" s="3" t="s">
        <v>28</v>
      </c>
      <c r="D317" s="3" t="s">
        <v>50</v>
      </c>
      <c r="E317" s="3" t="s">
        <v>51</v>
      </c>
      <c r="F317" s="3" t="s">
        <v>52</v>
      </c>
      <c r="G317" s="3" t="s">
        <v>51</v>
      </c>
      <c r="H317" s="3" t="s">
        <v>48</v>
      </c>
      <c r="I317" s="3">
        <v>2025</v>
      </c>
      <c r="J317" s="3" t="str">
        <f>CONCATENATE("54820039920")</f>
        <v>54820039920</v>
      </c>
      <c r="K317" s="3" t="s">
        <v>33</v>
      </c>
      <c r="L317" s="3"/>
      <c r="M317" s="3" t="s">
        <v>131</v>
      </c>
      <c r="N317" s="3" t="str">
        <f>CONCATENATE("NCCSDR63B07D451R")</f>
        <v>NCCSDR63B07D451R</v>
      </c>
      <c r="O317" s="3" t="s">
        <v>425</v>
      </c>
      <c r="P317" s="3" t="s">
        <v>36</v>
      </c>
      <c r="Q317" s="3"/>
      <c r="R317" s="4">
        <v>45996</v>
      </c>
      <c r="S317" s="3" t="s">
        <v>37</v>
      </c>
      <c r="T317" s="3" t="s">
        <v>38</v>
      </c>
      <c r="U317" s="3" t="s">
        <v>39</v>
      </c>
      <c r="V317" s="3">
        <v>133.47999999999999</v>
      </c>
      <c r="W317" s="3">
        <v>56.73</v>
      </c>
      <c r="X317" s="3">
        <v>53.73</v>
      </c>
      <c r="Y317" s="3">
        <v>23.02</v>
      </c>
    </row>
    <row r="318" spans="1:25" ht="72.75" x14ac:dyDescent="0.25">
      <c r="A318" s="3" t="s">
        <v>26</v>
      </c>
      <c r="B318" s="3" t="s">
        <v>27</v>
      </c>
      <c r="C318" s="3" t="s">
        <v>28</v>
      </c>
      <c r="D318" s="3" t="s">
        <v>50</v>
      </c>
      <c r="E318" s="3" t="s">
        <v>173</v>
      </c>
      <c r="F318" s="3" t="s">
        <v>52</v>
      </c>
      <c r="G318" s="3" t="s">
        <v>173</v>
      </c>
      <c r="H318" s="3" t="s">
        <v>45</v>
      </c>
      <c r="I318" s="3">
        <v>2025</v>
      </c>
      <c r="J318" s="3" t="str">
        <f>CONCATENATE("54820061478")</f>
        <v>54820061478</v>
      </c>
      <c r="K318" s="3" t="s">
        <v>33</v>
      </c>
      <c r="L318" s="3"/>
      <c r="M318" s="3" t="s">
        <v>131</v>
      </c>
      <c r="N318" s="3" t="str">
        <f>CONCATENATE("MGAPTR57D01E785K")</f>
        <v>MGAPTR57D01E785K</v>
      </c>
      <c r="O318" s="3" t="s">
        <v>426</v>
      </c>
      <c r="P318" s="3" t="s">
        <v>36</v>
      </c>
      <c r="Q318" s="3"/>
      <c r="R318" s="4">
        <v>45996</v>
      </c>
      <c r="S318" s="3" t="s">
        <v>37</v>
      </c>
      <c r="T318" s="3" t="s">
        <v>38</v>
      </c>
      <c r="U318" s="3" t="s">
        <v>39</v>
      </c>
      <c r="V318" s="3">
        <v>76.58</v>
      </c>
      <c r="W318" s="3">
        <v>32.549999999999997</v>
      </c>
      <c r="X318" s="3">
        <v>30.82</v>
      </c>
      <c r="Y318" s="3">
        <v>13.21</v>
      </c>
    </row>
    <row r="319" spans="1:25" ht="60.75" x14ac:dyDescent="0.25">
      <c r="A319" s="3" t="s">
        <v>26</v>
      </c>
      <c r="B319" s="3" t="s">
        <v>27</v>
      </c>
      <c r="C319" s="3" t="s">
        <v>28</v>
      </c>
      <c r="D319" s="3" t="s">
        <v>50</v>
      </c>
      <c r="E319" s="3" t="s">
        <v>173</v>
      </c>
      <c r="F319" s="3" t="s">
        <v>52</v>
      </c>
      <c r="G319" s="3" t="s">
        <v>173</v>
      </c>
      <c r="H319" s="3" t="s">
        <v>45</v>
      </c>
      <c r="I319" s="3">
        <v>2025</v>
      </c>
      <c r="J319" s="3" t="str">
        <f>CONCATENATE("54820048152")</f>
        <v>54820048152</v>
      </c>
      <c r="K319" s="3" t="s">
        <v>33</v>
      </c>
      <c r="L319" s="3"/>
      <c r="M319" s="3" t="s">
        <v>131</v>
      </c>
      <c r="N319" s="3" t="str">
        <f>CONCATENATE("SLCMHL52P05G627J")</f>
        <v>SLCMHL52P05G627J</v>
      </c>
      <c r="O319" s="3" t="s">
        <v>427</v>
      </c>
      <c r="P319" s="3" t="s">
        <v>36</v>
      </c>
      <c r="Q319" s="3"/>
      <c r="R319" s="4">
        <v>45996</v>
      </c>
      <c r="S319" s="3" t="s">
        <v>37</v>
      </c>
      <c r="T319" s="3" t="s">
        <v>38</v>
      </c>
      <c r="U319" s="3" t="s">
        <v>39</v>
      </c>
      <c r="V319" s="3">
        <v>134.93</v>
      </c>
      <c r="W319" s="3">
        <v>57.35</v>
      </c>
      <c r="X319" s="3">
        <v>54.31</v>
      </c>
      <c r="Y319" s="3">
        <v>23.27</v>
      </c>
    </row>
    <row r="320" spans="1:25" ht="36.75" x14ac:dyDescent="0.25">
      <c r="A320" s="3" t="s">
        <v>26</v>
      </c>
      <c r="B320" s="3" t="s">
        <v>27</v>
      </c>
      <c r="C320" s="3" t="s">
        <v>28</v>
      </c>
      <c r="D320" s="3" t="s">
        <v>29</v>
      </c>
      <c r="E320" s="3" t="s">
        <v>186</v>
      </c>
      <c r="F320" s="3" t="s">
        <v>31</v>
      </c>
      <c r="G320" s="3" t="s">
        <v>186</v>
      </c>
      <c r="H320" s="3" t="s">
        <v>45</v>
      </c>
      <c r="I320" s="3">
        <v>2025</v>
      </c>
      <c r="J320" s="3" t="str">
        <f>CONCATENATE("54820139977")</f>
        <v>54820139977</v>
      </c>
      <c r="K320" s="3" t="s">
        <v>33</v>
      </c>
      <c r="L320" s="3"/>
      <c r="M320" s="3" t="s">
        <v>131</v>
      </c>
      <c r="N320" s="3" t="str">
        <f>CONCATENATE("02679820411")</f>
        <v>02679820411</v>
      </c>
      <c r="O320" s="3" t="s">
        <v>428</v>
      </c>
      <c r="P320" s="3" t="s">
        <v>36</v>
      </c>
      <c r="Q320" s="3"/>
      <c r="R320" s="4">
        <v>45996</v>
      </c>
      <c r="S320" s="3" t="s">
        <v>37</v>
      </c>
      <c r="T320" s="3" t="s">
        <v>38</v>
      </c>
      <c r="U320" s="3" t="s">
        <v>39</v>
      </c>
      <c r="V320" s="3">
        <v>977.01</v>
      </c>
      <c r="W320" s="3">
        <v>415.23</v>
      </c>
      <c r="X320" s="3">
        <v>393.25</v>
      </c>
      <c r="Y320" s="3">
        <v>168.53</v>
      </c>
    </row>
    <row r="321" spans="1:25" ht="72.75" x14ac:dyDescent="0.25">
      <c r="A321" s="3" t="s">
        <v>26</v>
      </c>
      <c r="B321" s="3" t="s">
        <v>27</v>
      </c>
      <c r="C321" s="3" t="s">
        <v>28</v>
      </c>
      <c r="D321" s="3" t="s">
        <v>29</v>
      </c>
      <c r="E321" s="3" t="s">
        <v>228</v>
      </c>
      <c r="F321" s="3" t="s">
        <v>31</v>
      </c>
      <c r="G321" s="3" t="s">
        <v>228</v>
      </c>
      <c r="H321" s="3" t="s">
        <v>45</v>
      </c>
      <c r="I321" s="3">
        <v>2025</v>
      </c>
      <c r="J321" s="3" t="str">
        <f>CONCATENATE("54820035894")</f>
        <v>54820035894</v>
      </c>
      <c r="K321" s="3" t="s">
        <v>33</v>
      </c>
      <c r="L321" s="3"/>
      <c r="M321" s="3" t="s">
        <v>131</v>
      </c>
      <c r="N321" s="3" t="str">
        <f>CONCATENATE("FLMMSM79H04D749T")</f>
        <v>FLMMSM79H04D749T</v>
      </c>
      <c r="O321" s="3" t="s">
        <v>429</v>
      </c>
      <c r="P321" s="3" t="s">
        <v>36</v>
      </c>
      <c r="Q321" s="3"/>
      <c r="R321" s="4">
        <v>45996</v>
      </c>
      <c r="S321" s="3" t="s">
        <v>37</v>
      </c>
      <c r="T321" s="3" t="s">
        <v>38</v>
      </c>
      <c r="U321" s="3" t="s">
        <v>39</v>
      </c>
      <c r="V321" s="3">
        <v>734.57</v>
      </c>
      <c r="W321" s="3">
        <v>312.19</v>
      </c>
      <c r="X321" s="3">
        <v>295.66000000000003</v>
      </c>
      <c r="Y321" s="3">
        <v>126.72</v>
      </c>
    </row>
    <row r="322" spans="1:25" ht="72.75" x14ac:dyDescent="0.25">
      <c r="A322" s="3" t="s">
        <v>26</v>
      </c>
      <c r="B322" s="3" t="s">
        <v>27</v>
      </c>
      <c r="C322" s="3" t="s">
        <v>28</v>
      </c>
      <c r="D322" s="3" t="s">
        <v>29</v>
      </c>
      <c r="E322" s="3" t="s">
        <v>119</v>
      </c>
      <c r="F322" s="3" t="s">
        <v>31</v>
      </c>
      <c r="G322" s="3" t="s">
        <v>119</v>
      </c>
      <c r="H322" s="3" t="s">
        <v>96</v>
      </c>
      <c r="I322" s="3">
        <v>2025</v>
      </c>
      <c r="J322" s="3" t="str">
        <f>CONCATENATE("54820013560")</f>
        <v>54820013560</v>
      </c>
      <c r="K322" s="3" t="s">
        <v>33</v>
      </c>
      <c r="L322" s="3"/>
      <c r="M322" s="3" t="s">
        <v>131</v>
      </c>
      <c r="N322" s="3" t="str">
        <f>CONCATENATE("SQRNMR58D70F493U")</f>
        <v>SQRNMR58D70F493U</v>
      </c>
      <c r="O322" s="3" t="s">
        <v>430</v>
      </c>
      <c r="P322" s="3" t="s">
        <v>36</v>
      </c>
      <c r="Q322" s="3"/>
      <c r="R322" s="4">
        <v>45996</v>
      </c>
      <c r="S322" s="3" t="s">
        <v>37</v>
      </c>
      <c r="T322" s="3" t="s">
        <v>38</v>
      </c>
      <c r="U322" s="3" t="s">
        <v>39</v>
      </c>
      <c r="V322" s="3">
        <v>157.51</v>
      </c>
      <c r="W322" s="3">
        <v>66.94</v>
      </c>
      <c r="X322" s="3">
        <v>63.4</v>
      </c>
      <c r="Y322" s="3">
        <v>27.17</v>
      </c>
    </row>
    <row r="323" spans="1:25" ht="72.75" x14ac:dyDescent="0.25">
      <c r="A323" s="3" t="s">
        <v>26</v>
      </c>
      <c r="B323" s="3" t="s">
        <v>27</v>
      </c>
      <c r="C323" s="3" t="s">
        <v>28</v>
      </c>
      <c r="D323" s="3" t="s">
        <v>29</v>
      </c>
      <c r="E323" s="3" t="s">
        <v>80</v>
      </c>
      <c r="F323" s="3" t="s">
        <v>31</v>
      </c>
      <c r="G323" s="3" t="s">
        <v>80</v>
      </c>
      <c r="H323" s="3" t="s">
        <v>45</v>
      </c>
      <c r="I323" s="3">
        <v>2025</v>
      </c>
      <c r="J323" s="3" t="str">
        <f>CONCATENATE("54820069281")</f>
        <v>54820069281</v>
      </c>
      <c r="K323" s="3" t="s">
        <v>33</v>
      </c>
      <c r="L323" s="3"/>
      <c r="M323" s="3" t="s">
        <v>131</v>
      </c>
      <c r="N323" s="3" t="str">
        <f>CONCATENATE("VCCDRN63B08G453B")</f>
        <v>VCCDRN63B08G453B</v>
      </c>
      <c r="O323" s="3" t="s">
        <v>431</v>
      </c>
      <c r="P323" s="3" t="s">
        <v>36</v>
      </c>
      <c r="Q323" s="3"/>
      <c r="R323" s="4">
        <v>45996</v>
      </c>
      <c r="S323" s="3" t="s">
        <v>37</v>
      </c>
      <c r="T323" s="3" t="s">
        <v>38</v>
      </c>
      <c r="U323" s="3" t="s">
        <v>39</v>
      </c>
      <c r="V323" s="5">
        <v>1056.1300000000001</v>
      </c>
      <c r="W323" s="3">
        <v>448.86</v>
      </c>
      <c r="X323" s="3">
        <v>425.09</v>
      </c>
      <c r="Y323" s="3">
        <v>182.18</v>
      </c>
    </row>
    <row r="324" spans="1:25" ht="36.75" x14ac:dyDescent="0.25">
      <c r="A324" s="3" t="s">
        <v>26</v>
      </c>
      <c r="B324" s="3" t="s">
        <v>27</v>
      </c>
      <c r="C324" s="3" t="s">
        <v>28</v>
      </c>
      <c r="D324" s="3" t="s">
        <v>50</v>
      </c>
      <c r="E324" s="3" t="s">
        <v>51</v>
      </c>
      <c r="F324" s="3" t="s">
        <v>52</v>
      </c>
      <c r="G324" s="3" t="s">
        <v>51</v>
      </c>
      <c r="H324" s="3" t="s">
        <v>48</v>
      </c>
      <c r="I324" s="3">
        <v>2025</v>
      </c>
      <c r="J324" s="3" t="str">
        <f>CONCATENATE("54820052436")</f>
        <v>54820052436</v>
      </c>
      <c r="K324" s="3" t="s">
        <v>33</v>
      </c>
      <c r="L324" s="3"/>
      <c r="M324" s="3" t="s">
        <v>131</v>
      </c>
      <c r="N324" s="3" t="str">
        <f>CONCATENATE("01745850436")</f>
        <v>01745850436</v>
      </c>
      <c r="O324" s="3" t="s">
        <v>432</v>
      </c>
      <c r="P324" s="3" t="s">
        <v>36</v>
      </c>
      <c r="Q324" s="3"/>
      <c r="R324" s="4">
        <v>45996</v>
      </c>
      <c r="S324" s="3" t="s">
        <v>37</v>
      </c>
      <c r="T324" s="3" t="s">
        <v>38</v>
      </c>
      <c r="U324" s="3" t="s">
        <v>39</v>
      </c>
      <c r="V324" s="3">
        <v>65.69</v>
      </c>
      <c r="W324" s="3">
        <v>27.92</v>
      </c>
      <c r="X324" s="3">
        <v>26.44</v>
      </c>
      <c r="Y324" s="3">
        <v>11.33</v>
      </c>
    </row>
    <row r="325" spans="1:25" ht="60.75" x14ac:dyDescent="0.25">
      <c r="A325" s="3" t="s">
        <v>26</v>
      </c>
      <c r="B325" s="3" t="s">
        <v>27</v>
      </c>
      <c r="C325" s="3" t="s">
        <v>28</v>
      </c>
      <c r="D325" s="3" t="s">
        <v>91</v>
      </c>
      <c r="E325" s="3" t="s">
        <v>92</v>
      </c>
      <c r="F325" s="3" t="s">
        <v>93</v>
      </c>
      <c r="G325" s="3" t="s">
        <v>92</v>
      </c>
      <c r="H325" s="3" t="s">
        <v>48</v>
      </c>
      <c r="I325" s="3">
        <v>2025</v>
      </c>
      <c r="J325" s="3" t="str">
        <f>CONCATENATE("54820019054")</f>
        <v>54820019054</v>
      </c>
      <c r="K325" s="3" t="s">
        <v>33</v>
      </c>
      <c r="L325" s="3"/>
      <c r="M325" s="3" t="s">
        <v>131</v>
      </c>
      <c r="N325" s="3" t="str">
        <f>CONCATENATE("PPLSLN43C55A366Q")</f>
        <v>PPLSLN43C55A366Q</v>
      </c>
      <c r="O325" s="3" t="s">
        <v>433</v>
      </c>
      <c r="P325" s="3" t="s">
        <v>36</v>
      </c>
      <c r="Q325" s="3"/>
      <c r="R325" s="4">
        <v>45996</v>
      </c>
      <c r="S325" s="3" t="s">
        <v>37</v>
      </c>
      <c r="T325" s="3" t="s">
        <v>38</v>
      </c>
      <c r="U325" s="3" t="s">
        <v>39</v>
      </c>
      <c r="V325" s="3">
        <v>530.57000000000005</v>
      </c>
      <c r="W325" s="3">
        <v>225.49</v>
      </c>
      <c r="X325" s="3">
        <v>213.55</v>
      </c>
      <c r="Y325" s="3">
        <v>91.53</v>
      </c>
    </row>
    <row r="326" spans="1:25" ht="60.75" x14ac:dyDescent="0.25">
      <c r="A326" s="3" t="s">
        <v>26</v>
      </c>
      <c r="B326" s="3" t="s">
        <v>27</v>
      </c>
      <c r="C326" s="3" t="s">
        <v>28</v>
      </c>
      <c r="D326" s="3" t="s">
        <v>29</v>
      </c>
      <c r="E326" s="3" t="s">
        <v>68</v>
      </c>
      <c r="F326" s="3" t="s">
        <v>31</v>
      </c>
      <c r="G326" s="3" t="s">
        <v>68</v>
      </c>
      <c r="H326" s="3" t="s">
        <v>32</v>
      </c>
      <c r="I326" s="3">
        <v>2025</v>
      </c>
      <c r="J326" s="3" t="str">
        <f>CONCATENATE("54820104252")</f>
        <v>54820104252</v>
      </c>
      <c r="K326" s="3" t="s">
        <v>33</v>
      </c>
      <c r="L326" s="3"/>
      <c r="M326" s="3" t="s">
        <v>131</v>
      </c>
      <c r="N326" s="3" t="str">
        <f>CONCATENATE("VRLPRZ69B41A252S")</f>
        <v>VRLPRZ69B41A252S</v>
      </c>
      <c r="O326" s="3" t="s">
        <v>434</v>
      </c>
      <c r="P326" s="3" t="s">
        <v>36</v>
      </c>
      <c r="Q326" s="3"/>
      <c r="R326" s="4">
        <v>45996</v>
      </c>
      <c r="S326" s="3" t="s">
        <v>37</v>
      </c>
      <c r="T326" s="3" t="s">
        <v>38</v>
      </c>
      <c r="U326" s="3" t="s">
        <v>39</v>
      </c>
      <c r="V326" s="3">
        <v>108.07</v>
      </c>
      <c r="W326" s="3">
        <v>45.93</v>
      </c>
      <c r="X326" s="3">
        <v>43.5</v>
      </c>
      <c r="Y326" s="3">
        <v>18.64</v>
      </c>
    </row>
    <row r="327" spans="1:25" ht="72.75" x14ac:dyDescent="0.25">
      <c r="A327" s="3" t="s">
        <v>26</v>
      </c>
      <c r="B327" s="3" t="s">
        <v>27</v>
      </c>
      <c r="C327" s="3" t="s">
        <v>28</v>
      </c>
      <c r="D327" s="3" t="s">
        <v>50</v>
      </c>
      <c r="E327" s="3" t="s">
        <v>252</v>
      </c>
      <c r="F327" s="3" t="s">
        <v>52</v>
      </c>
      <c r="G327" s="3" t="s">
        <v>252</v>
      </c>
      <c r="H327" s="3" t="s">
        <v>45</v>
      </c>
      <c r="I327" s="3">
        <v>2025</v>
      </c>
      <c r="J327" s="3" t="str">
        <f>CONCATENATE("54820121421")</f>
        <v>54820121421</v>
      </c>
      <c r="K327" s="3" t="s">
        <v>33</v>
      </c>
      <c r="L327" s="3"/>
      <c r="M327" s="3" t="s">
        <v>131</v>
      </c>
      <c r="N327" s="3" t="str">
        <f>CONCATENATE("MRNCRL53L16D749B")</f>
        <v>MRNCRL53L16D749B</v>
      </c>
      <c r="O327" s="3" t="s">
        <v>435</v>
      </c>
      <c r="P327" s="3" t="s">
        <v>36</v>
      </c>
      <c r="Q327" s="3"/>
      <c r="R327" s="4">
        <v>45996</v>
      </c>
      <c r="S327" s="3" t="s">
        <v>37</v>
      </c>
      <c r="T327" s="3" t="s">
        <v>38</v>
      </c>
      <c r="U327" s="3" t="s">
        <v>39</v>
      </c>
      <c r="V327" s="3">
        <v>74.73</v>
      </c>
      <c r="W327" s="3">
        <v>31.76</v>
      </c>
      <c r="X327" s="3">
        <v>30.08</v>
      </c>
      <c r="Y327" s="3">
        <v>12.89</v>
      </c>
    </row>
    <row r="328" spans="1:25" ht="72.75" x14ac:dyDescent="0.25">
      <c r="A328" s="3" t="s">
        <v>26</v>
      </c>
      <c r="B328" s="3" t="s">
        <v>27</v>
      </c>
      <c r="C328" s="3" t="s">
        <v>28</v>
      </c>
      <c r="D328" s="3" t="s">
        <v>29</v>
      </c>
      <c r="E328" s="3" t="s">
        <v>233</v>
      </c>
      <c r="F328" s="3" t="s">
        <v>31</v>
      </c>
      <c r="G328" s="3" t="s">
        <v>233</v>
      </c>
      <c r="H328" s="3" t="s">
        <v>96</v>
      </c>
      <c r="I328" s="3">
        <v>2025</v>
      </c>
      <c r="J328" s="3" t="str">
        <f>CONCATENATE("54820075320")</f>
        <v>54820075320</v>
      </c>
      <c r="K328" s="3" t="s">
        <v>33</v>
      </c>
      <c r="L328" s="3"/>
      <c r="M328" s="3" t="s">
        <v>131</v>
      </c>
      <c r="N328" s="3" t="str">
        <f>CONCATENATE("LRAGCR73H29A462A")</f>
        <v>LRAGCR73H29A462A</v>
      </c>
      <c r="O328" s="3" t="s">
        <v>436</v>
      </c>
      <c r="P328" s="3" t="s">
        <v>36</v>
      </c>
      <c r="Q328" s="3"/>
      <c r="R328" s="4">
        <v>45996</v>
      </c>
      <c r="S328" s="3" t="s">
        <v>37</v>
      </c>
      <c r="T328" s="3" t="s">
        <v>38</v>
      </c>
      <c r="U328" s="3" t="s">
        <v>39</v>
      </c>
      <c r="V328" s="3">
        <v>653.24</v>
      </c>
      <c r="W328" s="3">
        <v>277.63</v>
      </c>
      <c r="X328" s="3">
        <v>262.93</v>
      </c>
      <c r="Y328" s="3">
        <v>112.68</v>
      </c>
    </row>
    <row r="329" spans="1:25" ht="36.75" x14ac:dyDescent="0.25">
      <c r="A329" s="3" t="s">
        <v>26</v>
      </c>
      <c r="B329" s="3" t="s">
        <v>27</v>
      </c>
      <c r="C329" s="3" t="s">
        <v>28</v>
      </c>
      <c r="D329" s="3" t="s">
        <v>29</v>
      </c>
      <c r="E329" s="3" t="s">
        <v>56</v>
      </c>
      <c r="F329" s="3" t="s">
        <v>31</v>
      </c>
      <c r="G329" s="3" t="s">
        <v>56</v>
      </c>
      <c r="H329" s="3" t="s">
        <v>32</v>
      </c>
      <c r="I329" s="3">
        <v>2025</v>
      </c>
      <c r="J329" s="3" t="str">
        <f>CONCATENATE("54820136759")</f>
        <v>54820136759</v>
      </c>
      <c r="K329" s="3" t="s">
        <v>33</v>
      </c>
      <c r="L329" s="3"/>
      <c r="M329" s="3" t="s">
        <v>131</v>
      </c>
      <c r="N329" s="3" t="str">
        <f>CONCATENATE("00395750433")</f>
        <v>00395750433</v>
      </c>
      <c r="O329" s="3" t="s">
        <v>437</v>
      </c>
      <c r="P329" s="3" t="s">
        <v>36</v>
      </c>
      <c r="Q329" s="3"/>
      <c r="R329" s="4">
        <v>45996</v>
      </c>
      <c r="S329" s="3" t="s">
        <v>37</v>
      </c>
      <c r="T329" s="3" t="s">
        <v>38</v>
      </c>
      <c r="U329" s="3" t="s">
        <v>39</v>
      </c>
      <c r="V329" s="3">
        <v>678.08</v>
      </c>
      <c r="W329" s="3">
        <v>288.18</v>
      </c>
      <c r="X329" s="3">
        <v>272.93</v>
      </c>
      <c r="Y329" s="3">
        <v>116.97</v>
      </c>
    </row>
    <row r="330" spans="1:25" ht="60.75" x14ac:dyDescent="0.25">
      <c r="A330" s="3" t="s">
        <v>26</v>
      </c>
      <c r="B330" s="3" t="s">
        <v>27</v>
      </c>
      <c r="C330" s="3" t="s">
        <v>28</v>
      </c>
      <c r="D330" s="3" t="s">
        <v>50</v>
      </c>
      <c r="E330" s="3" t="s">
        <v>212</v>
      </c>
      <c r="F330" s="3" t="s">
        <v>52</v>
      </c>
      <c r="G330" s="3" t="s">
        <v>212</v>
      </c>
      <c r="H330" s="3" t="s">
        <v>32</v>
      </c>
      <c r="I330" s="3">
        <v>2025</v>
      </c>
      <c r="J330" s="3" t="str">
        <f>CONCATENATE("54820079322")</f>
        <v>54820079322</v>
      </c>
      <c r="K330" s="3" t="s">
        <v>33</v>
      </c>
      <c r="L330" s="3"/>
      <c r="M330" s="3" t="s">
        <v>131</v>
      </c>
      <c r="N330" s="3" t="str">
        <f>CONCATENATE("CRVLRD52T02I651M")</f>
        <v>CRVLRD52T02I651M</v>
      </c>
      <c r="O330" s="3" t="s">
        <v>438</v>
      </c>
      <c r="P330" s="3" t="s">
        <v>36</v>
      </c>
      <c r="Q330" s="3"/>
      <c r="R330" s="4">
        <v>45996</v>
      </c>
      <c r="S330" s="3" t="s">
        <v>37</v>
      </c>
      <c r="T330" s="3" t="s">
        <v>38</v>
      </c>
      <c r="U330" s="3" t="s">
        <v>39</v>
      </c>
      <c r="V330" s="3">
        <v>192.6</v>
      </c>
      <c r="W330" s="3">
        <v>81.86</v>
      </c>
      <c r="X330" s="3">
        <v>77.52</v>
      </c>
      <c r="Y330" s="3">
        <v>33.22</v>
      </c>
    </row>
    <row r="331" spans="1:25" ht="60.75" x14ac:dyDescent="0.25">
      <c r="A331" s="3" t="s">
        <v>26</v>
      </c>
      <c r="B331" s="3" t="s">
        <v>27</v>
      </c>
      <c r="C331" s="3" t="s">
        <v>28</v>
      </c>
      <c r="D331" s="3" t="s">
        <v>29</v>
      </c>
      <c r="E331" s="3" t="s">
        <v>101</v>
      </c>
      <c r="F331" s="3" t="s">
        <v>31</v>
      </c>
      <c r="G331" s="3" t="s">
        <v>101</v>
      </c>
      <c r="H331" s="3" t="s">
        <v>32</v>
      </c>
      <c r="I331" s="3">
        <v>2025</v>
      </c>
      <c r="J331" s="3" t="str">
        <f>CONCATENATE("54820219233")</f>
        <v>54820219233</v>
      </c>
      <c r="K331" s="3" t="s">
        <v>33</v>
      </c>
      <c r="L331" s="3"/>
      <c r="M331" s="3" t="s">
        <v>131</v>
      </c>
      <c r="N331" s="3" t="str">
        <f>CONCATENATE("MRZMLS47T69B398D")</f>
        <v>MRZMLS47T69B398D</v>
      </c>
      <c r="O331" s="3" t="s">
        <v>439</v>
      </c>
      <c r="P331" s="3" t="s">
        <v>36</v>
      </c>
      <c r="Q331" s="3"/>
      <c r="R331" s="4">
        <v>45996</v>
      </c>
      <c r="S331" s="3" t="s">
        <v>37</v>
      </c>
      <c r="T331" s="3" t="s">
        <v>38</v>
      </c>
      <c r="U331" s="3" t="s">
        <v>39</v>
      </c>
      <c r="V331" s="3">
        <v>135.5</v>
      </c>
      <c r="W331" s="3">
        <v>57.59</v>
      </c>
      <c r="X331" s="3">
        <v>54.54</v>
      </c>
      <c r="Y331" s="3">
        <v>23.37</v>
      </c>
    </row>
    <row r="332" spans="1:25" ht="60.75" x14ac:dyDescent="0.25">
      <c r="A332" s="3" t="s">
        <v>26</v>
      </c>
      <c r="B332" s="3" t="s">
        <v>27</v>
      </c>
      <c r="C332" s="3" t="s">
        <v>28</v>
      </c>
      <c r="D332" s="3" t="s">
        <v>29</v>
      </c>
      <c r="E332" s="3" t="s">
        <v>186</v>
      </c>
      <c r="F332" s="3" t="s">
        <v>31</v>
      </c>
      <c r="G332" s="3" t="s">
        <v>186</v>
      </c>
      <c r="H332" s="3" t="s">
        <v>45</v>
      </c>
      <c r="I332" s="3">
        <v>2025</v>
      </c>
      <c r="J332" s="3" t="str">
        <f>CONCATENATE("54820045703")</f>
        <v>54820045703</v>
      </c>
      <c r="K332" s="3" t="s">
        <v>33</v>
      </c>
      <c r="L332" s="3"/>
      <c r="M332" s="3" t="s">
        <v>131</v>
      </c>
      <c r="N332" s="3" t="str">
        <f>CONCATENATE("BLDGNN61D02E785X")</f>
        <v>BLDGNN61D02E785X</v>
      </c>
      <c r="O332" s="3" t="s">
        <v>440</v>
      </c>
      <c r="P332" s="3" t="s">
        <v>36</v>
      </c>
      <c r="Q332" s="3"/>
      <c r="R332" s="4">
        <v>45996</v>
      </c>
      <c r="S332" s="3" t="s">
        <v>37</v>
      </c>
      <c r="T332" s="3" t="s">
        <v>38</v>
      </c>
      <c r="U332" s="3" t="s">
        <v>39</v>
      </c>
      <c r="V332" s="3">
        <v>833.82</v>
      </c>
      <c r="W332" s="3">
        <v>354.37</v>
      </c>
      <c r="X332" s="3">
        <v>335.61</v>
      </c>
      <c r="Y332" s="3">
        <v>143.84</v>
      </c>
    </row>
    <row r="333" spans="1:25" ht="60.75" x14ac:dyDescent="0.25">
      <c r="A333" s="3" t="s">
        <v>26</v>
      </c>
      <c r="B333" s="3" t="s">
        <v>27</v>
      </c>
      <c r="C333" s="3" t="s">
        <v>28</v>
      </c>
      <c r="D333" s="3" t="s">
        <v>29</v>
      </c>
      <c r="E333" s="3" t="s">
        <v>136</v>
      </c>
      <c r="F333" s="3" t="s">
        <v>31</v>
      </c>
      <c r="G333" s="3" t="s">
        <v>136</v>
      </c>
      <c r="H333" s="3" t="s">
        <v>48</v>
      </c>
      <c r="I333" s="3">
        <v>2025</v>
      </c>
      <c r="J333" s="3" t="str">
        <f>CONCATENATE("54820196464")</f>
        <v>54820196464</v>
      </c>
      <c r="K333" s="3" t="s">
        <v>33</v>
      </c>
      <c r="L333" s="3"/>
      <c r="M333" s="3" t="s">
        <v>131</v>
      </c>
      <c r="N333" s="3" t="str">
        <f>CONCATENATE("SNTBRN45A21I461X")</f>
        <v>SNTBRN45A21I461X</v>
      </c>
      <c r="O333" s="3" t="s">
        <v>441</v>
      </c>
      <c r="P333" s="3" t="s">
        <v>36</v>
      </c>
      <c r="Q333" s="3"/>
      <c r="R333" s="4">
        <v>45996</v>
      </c>
      <c r="S333" s="3" t="s">
        <v>37</v>
      </c>
      <c r="T333" s="3" t="s">
        <v>38</v>
      </c>
      <c r="U333" s="3" t="s">
        <v>39</v>
      </c>
      <c r="V333" s="3">
        <v>56.94</v>
      </c>
      <c r="W333" s="3">
        <v>24.2</v>
      </c>
      <c r="X333" s="3">
        <v>22.92</v>
      </c>
      <c r="Y333" s="3">
        <v>9.82</v>
      </c>
    </row>
    <row r="334" spans="1:25" ht="60.75" x14ac:dyDescent="0.25">
      <c r="A334" s="3" t="s">
        <v>26</v>
      </c>
      <c r="B334" s="3" t="s">
        <v>27</v>
      </c>
      <c r="C334" s="3" t="s">
        <v>28</v>
      </c>
      <c r="D334" s="3" t="s">
        <v>50</v>
      </c>
      <c r="E334" s="3" t="s">
        <v>107</v>
      </c>
      <c r="F334" s="3" t="s">
        <v>52</v>
      </c>
      <c r="G334" s="3" t="s">
        <v>107</v>
      </c>
      <c r="H334" s="3" t="s">
        <v>48</v>
      </c>
      <c r="I334" s="3">
        <v>2025</v>
      </c>
      <c r="J334" s="3" t="str">
        <f>CONCATENATE("54820367651")</f>
        <v>54820367651</v>
      </c>
      <c r="K334" s="3" t="s">
        <v>33</v>
      </c>
      <c r="L334" s="3"/>
      <c r="M334" s="3" t="s">
        <v>131</v>
      </c>
      <c r="N334" s="3" t="str">
        <f>CONCATENATE("MNTTZN62M17I653G")</f>
        <v>MNTTZN62M17I653G</v>
      </c>
      <c r="O334" s="3" t="s">
        <v>442</v>
      </c>
      <c r="P334" s="3" t="s">
        <v>36</v>
      </c>
      <c r="Q334" s="3"/>
      <c r="R334" s="4">
        <v>45996</v>
      </c>
      <c r="S334" s="3" t="s">
        <v>37</v>
      </c>
      <c r="T334" s="3" t="s">
        <v>38</v>
      </c>
      <c r="U334" s="3" t="s">
        <v>39</v>
      </c>
      <c r="V334" s="3">
        <v>352.36</v>
      </c>
      <c r="W334" s="3">
        <v>149.75</v>
      </c>
      <c r="X334" s="3">
        <v>141.82</v>
      </c>
      <c r="Y334" s="3">
        <v>60.79</v>
      </c>
    </row>
    <row r="335" spans="1:25" ht="60.75" x14ac:dyDescent="0.25">
      <c r="A335" s="3" t="s">
        <v>26</v>
      </c>
      <c r="B335" s="3" t="s">
        <v>27</v>
      </c>
      <c r="C335" s="3" t="s">
        <v>28</v>
      </c>
      <c r="D335" s="3" t="s">
        <v>264</v>
      </c>
      <c r="E335" s="3" t="s">
        <v>265</v>
      </c>
      <c r="F335" s="3" t="s">
        <v>266</v>
      </c>
      <c r="G335" s="3" t="s">
        <v>265</v>
      </c>
      <c r="H335" s="3" t="s">
        <v>45</v>
      </c>
      <c r="I335" s="3">
        <v>2025</v>
      </c>
      <c r="J335" s="3" t="str">
        <f>CONCATENATE("54820290879")</f>
        <v>54820290879</v>
      </c>
      <c r="K335" s="3" t="s">
        <v>33</v>
      </c>
      <c r="L335" s="3"/>
      <c r="M335" s="3" t="s">
        <v>131</v>
      </c>
      <c r="N335" s="3" t="str">
        <f>CONCATENATE("CNSLGN79T29A952H")</f>
        <v>CNSLGN79T29A952H</v>
      </c>
      <c r="O335" s="3" t="s">
        <v>443</v>
      </c>
      <c r="P335" s="3" t="s">
        <v>36</v>
      </c>
      <c r="Q335" s="3"/>
      <c r="R335" s="4">
        <v>45996</v>
      </c>
      <c r="S335" s="3" t="s">
        <v>37</v>
      </c>
      <c r="T335" s="3" t="s">
        <v>38</v>
      </c>
      <c r="U335" s="3" t="s">
        <v>39</v>
      </c>
      <c r="V335" s="3">
        <v>90.65</v>
      </c>
      <c r="W335" s="3">
        <v>38.53</v>
      </c>
      <c r="X335" s="3">
        <v>36.49</v>
      </c>
      <c r="Y335" s="3">
        <v>15.63</v>
      </c>
    </row>
    <row r="336" spans="1:25" ht="60.75" x14ac:dyDescent="0.25">
      <c r="A336" s="3" t="s">
        <v>26</v>
      </c>
      <c r="B336" s="3" t="s">
        <v>27</v>
      </c>
      <c r="C336" s="3" t="s">
        <v>28</v>
      </c>
      <c r="D336" s="3" t="s">
        <v>29</v>
      </c>
      <c r="E336" s="3" t="s">
        <v>208</v>
      </c>
      <c r="F336" s="3" t="s">
        <v>31</v>
      </c>
      <c r="G336" s="3" t="s">
        <v>208</v>
      </c>
      <c r="H336" s="3" t="s">
        <v>45</v>
      </c>
      <c r="I336" s="3">
        <v>2025</v>
      </c>
      <c r="J336" s="3" t="str">
        <f>CONCATENATE("54820288147")</f>
        <v>54820288147</v>
      </c>
      <c r="K336" s="3" t="s">
        <v>33</v>
      </c>
      <c r="L336" s="3"/>
      <c r="M336" s="3" t="s">
        <v>131</v>
      </c>
      <c r="N336" s="3" t="str">
        <f>CONCATENATE("GRRMSM69C15F135K")</f>
        <v>GRRMSM69C15F135K</v>
      </c>
      <c r="O336" s="3" t="s">
        <v>444</v>
      </c>
      <c r="P336" s="3" t="s">
        <v>36</v>
      </c>
      <c r="Q336" s="3"/>
      <c r="R336" s="4">
        <v>45996</v>
      </c>
      <c r="S336" s="3" t="s">
        <v>37</v>
      </c>
      <c r="T336" s="3" t="s">
        <v>38</v>
      </c>
      <c r="U336" s="3" t="s">
        <v>39</v>
      </c>
      <c r="V336" s="3">
        <v>470.27</v>
      </c>
      <c r="W336" s="3">
        <v>199.86</v>
      </c>
      <c r="X336" s="3">
        <v>189.28</v>
      </c>
      <c r="Y336" s="3">
        <v>81.13</v>
      </c>
    </row>
    <row r="337" spans="1:25" ht="72.75" x14ac:dyDescent="0.25">
      <c r="A337" s="3" t="s">
        <v>26</v>
      </c>
      <c r="B337" s="3" t="s">
        <v>27</v>
      </c>
      <c r="C337" s="3" t="s">
        <v>28</v>
      </c>
      <c r="D337" s="3" t="s">
        <v>29</v>
      </c>
      <c r="E337" s="3" t="s">
        <v>80</v>
      </c>
      <c r="F337" s="3" t="s">
        <v>31</v>
      </c>
      <c r="G337" s="3" t="s">
        <v>80</v>
      </c>
      <c r="H337" s="3" t="s">
        <v>45</v>
      </c>
      <c r="I337" s="3">
        <v>2025</v>
      </c>
      <c r="J337" s="3" t="str">
        <f>CONCATENATE("54820131545")</f>
        <v>54820131545</v>
      </c>
      <c r="K337" s="3" t="s">
        <v>33</v>
      </c>
      <c r="L337" s="3"/>
      <c r="M337" s="3" t="s">
        <v>131</v>
      </c>
      <c r="N337" s="3" t="str">
        <f>CONCATENATE("MNNNDR89C21H501N")</f>
        <v>MNNNDR89C21H501N</v>
      </c>
      <c r="O337" s="3" t="s">
        <v>445</v>
      </c>
      <c r="P337" s="3" t="s">
        <v>36</v>
      </c>
      <c r="Q337" s="3"/>
      <c r="R337" s="4">
        <v>45996</v>
      </c>
      <c r="S337" s="3" t="s">
        <v>37</v>
      </c>
      <c r="T337" s="3" t="s">
        <v>38</v>
      </c>
      <c r="U337" s="3" t="s">
        <v>39</v>
      </c>
      <c r="V337" s="3">
        <v>69.510000000000005</v>
      </c>
      <c r="W337" s="3">
        <v>29.54</v>
      </c>
      <c r="X337" s="3">
        <v>27.98</v>
      </c>
      <c r="Y337" s="3">
        <v>11.99</v>
      </c>
    </row>
    <row r="338" spans="1:25" ht="60.75" x14ac:dyDescent="0.25">
      <c r="A338" s="3" t="s">
        <v>26</v>
      </c>
      <c r="B338" s="3" t="s">
        <v>27</v>
      </c>
      <c r="C338" s="3" t="s">
        <v>28</v>
      </c>
      <c r="D338" s="3" t="s">
        <v>29</v>
      </c>
      <c r="E338" s="3" t="s">
        <v>186</v>
      </c>
      <c r="F338" s="3" t="s">
        <v>31</v>
      </c>
      <c r="G338" s="3" t="s">
        <v>186</v>
      </c>
      <c r="H338" s="3" t="s">
        <v>45</v>
      </c>
      <c r="I338" s="3">
        <v>2025</v>
      </c>
      <c r="J338" s="3" t="str">
        <f>CONCATENATE("54820285887")</f>
        <v>54820285887</v>
      </c>
      <c r="K338" s="3" t="s">
        <v>33</v>
      </c>
      <c r="L338" s="3"/>
      <c r="M338" s="3" t="s">
        <v>131</v>
      </c>
      <c r="N338" s="3" t="str">
        <f>CONCATENATE("MNTFPP67L22E785N")</f>
        <v>MNTFPP67L22E785N</v>
      </c>
      <c r="O338" s="3" t="s">
        <v>446</v>
      </c>
      <c r="P338" s="3" t="s">
        <v>36</v>
      </c>
      <c r="Q338" s="3"/>
      <c r="R338" s="4">
        <v>45996</v>
      </c>
      <c r="S338" s="3" t="s">
        <v>37</v>
      </c>
      <c r="T338" s="3" t="s">
        <v>38</v>
      </c>
      <c r="U338" s="3" t="s">
        <v>39</v>
      </c>
      <c r="V338" s="3">
        <v>304.74</v>
      </c>
      <c r="W338" s="3">
        <v>129.51</v>
      </c>
      <c r="X338" s="3">
        <v>122.66</v>
      </c>
      <c r="Y338" s="3">
        <v>52.57</v>
      </c>
    </row>
    <row r="339" spans="1:25" ht="60.75" x14ac:dyDescent="0.25">
      <c r="A339" s="3" t="s">
        <v>26</v>
      </c>
      <c r="B339" s="3" t="s">
        <v>27</v>
      </c>
      <c r="C339" s="3" t="s">
        <v>28</v>
      </c>
      <c r="D339" s="3" t="s">
        <v>29</v>
      </c>
      <c r="E339" s="3" t="s">
        <v>56</v>
      </c>
      <c r="F339" s="3" t="s">
        <v>31</v>
      </c>
      <c r="G339" s="3" t="s">
        <v>56</v>
      </c>
      <c r="H339" s="3" t="s">
        <v>32</v>
      </c>
      <c r="I339" s="3">
        <v>2025</v>
      </c>
      <c r="J339" s="3" t="str">
        <f>CONCATENATE("54820371422")</f>
        <v>54820371422</v>
      </c>
      <c r="K339" s="3" t="s">
        <v>33</v>
      </c>
      <c r="L339" s="3"/>
      <c r="M339" s="3" t="s">
        <v>131</v>
      </c>
      <c r="N339" s="3" t="str">
        <f>CONCATENATE("CNGDNS86H27F051Q")</f>
        <v>CNGDNS86H27F051Q</v>
      </c>
      <c r="O339" s="3" t="s">
        <v>447</v>
      </c>
      <c r="P339" s="3" t="s">
        <v>36</v>
      </c>
      <c r="Q339" s="3"/>
      <c r="R339" s="4">
        <v>45996</v>
      </c>
      <c r="S339" s="3" t="s">
        <v>37</v>
      </c>
      <c r="T339" s="3" t="s">
        <v>38</v>
      </c>
      <c r="U339" s="3" t="s">
        <v>39</v>
      </c>
      <c r="V339" s="3">
        <v>183.99</v>
      </c>
      <c r="W339" s="3">
        <v>78.2</v>
      </c>
      <c r="X339" s="3">
        <v>74.06</v>
      </c>
      <c r="Y339" s="3">
        <v>31.73</v>
      </c>
    </row>
    <row r="340" spans="1:25" ht="72.75" x14ac:dyDescent="0.25">
      <c r="A340" s="3" t="s">
        <v>26</v>
      </c>
      <c r="B340" s="3" t="s">
        <v>27</v>
      </c>
      <c r="C340" s="3" t="s">
        <v>28</v>
      </c>
      <c r="D340" s="3" t="s">
        <v>50</v>
      </c>
      <c r="E340" s="3" t="s">
        <v>448</v>
      </c>
      <c r="F340" s="3" t="s">
        <v>52</v>
      </c>
      <c r="G340" s="3" t="s">
        <v>448</v>
      </c>
      <c r="H340" s="3" t="s">
        <v>45</v>
      </c>
      <c r="I340" s="3">
        <v>2025</v>
      </c>
      <c r="J340" s="3" t="str">
        <f>CONCATENATE("54820194410")</f>
        <v>54820194410</v>
      </c>
      <c r="K340" s="3" t="s">
        <v>33</v>
      </c>
      <c r="L340" s="3"/>
      <c r="M340" s="3" t="s">
        <v>131</v>
      </c>
      <c r="N340" s="3" t="str">
        <f>CONCATENATE("SPLGMR95R03D749C")</f>
        <v>SPLGMR95R03D749C</v>
      </c>
      <c r="O340" s="3" t="s">
        <v>449</v>
      </c>
      <c r="P340" s="3" t="s">
        <v>36</v>
      </c>
      <c r="Q340" s="3"/>
      <c r="R340" s="4">
        <v>45996</v>
      </c>
      <c r="S340" s="3" t="s">
        <v>37</v>
      </c>
      <c r="T340" s="3" t="s">
        <v>38</v>
      </c>
      <c r="U340" s="3" t="s">
        <v>39</v>
      </c>
      <c r="V340" s="3">
        <v>151.65</v>
      </c>
      <c r="W340" s="3">
        <v>64.45</v>
      </c>
      <c r="X340" s="3">
        <v>61.04</v>
      </c>
      <c r="Y340" s="3">
        <v>26.16</v>
      </c>
    </row>
    <row r="341" spans="1:25" ht="60.75" x14ac:dyDescent="0.25">
      <c r="A341" s="3" t="s">
        <v>26</v>
      </c>
      <c r="B341" s="3" t="s">
        <v>27</v>
      </c>
      <c r="C341" s="3" t="s">
        <v>28</v>
      </c>
      <c r="D341" s="3" t="s">
        <v>50</v>
      </c>
      <c r="E341" s="3" t="s">
        <v>51</v>
      </c>
      <c r="F341" s="3" t="s">
        <v>52</v>
      </c>
      <c r="G341" s="3" t="s">
        <v>51</v>
      </c>
      <c r="H341" s="3" t="s">
        <v>48</v>
      </c>
      <c r="I341" s="3">
        <v>2025</v>
      </c>
      <c r="J341" s="3" t="str">
        <f>CONCATENATE("54820201264")</f>
        <v>54820201264</v>
      </c>
      <c r="K341" s="3" t="s">
        <v>33</v>
      </c>
      <c r="L341" s="3"/>
      <c r="M341" s="3" t="s">
        <v>131</v>
      </c>
      <c r="N341" s="3" t="str">
        <f>CONCATENATE("PSTNRC45S59D451X")</f>
        <v>PSTNRC45S59D451X</v>
      </c>
      <c r="O341" s="3" t="s">
        <v>450</v>
      </c>
      <c r="P341" s="3" t="s">
        <v>36</v>
      </c>
      <c r="Q341" s="3"/>
      <c r="R341" s="4">
        <v>45996</v>
      </c>
      <c r="S341" s="3" t="s">
        <v>37</v>
      </c>
      <c r="T341" s="3" t="s">
        <v>38</v>
      </c>
      <c r="U341" s="3" t="s">
        <v>39</v>
      </c>
      <c r="V341" s="3">
        <v>329.77</v>
      </c>
      <c r="W341" s="3">
        <v>140.15</v>
      </c>
      <c r="X341" s="3">
        <v>132.72999999999999</v>
      </c>
      <c r="Y341" s="3">
        <v>56.89</v>
      </c>
    </row>
    <row r="342" spans="1:25" ht="36.75" x14ac:dyDescent="0.25">
      <c r="A342" s="3" t="s">
        <v>26</v>
      </c>
      <c r="B342" s="3" t="s">
        <v>27</v>
      </c>
      <c r="C342" s="3" t="s">
        <v>28</v>
      </c>
      <c r="D342" s="3" t="s">
        <v>29</v>
      </c>
      <c r="E342" s="3" t="s">
        <v>182</v>
      </c>
      <c r="F342" s="3" t="s">
        <v>31</v>
      </c>
      <c r="G342" s="3" t="s">
        <v>182</v>
      </c>
      <c r="H342" s="3" t="s">
        <v>45</v>
      </c>
      <c r="I342" s="3">
        <v>2025</v>
      </c>
      <c r="J342" s="3" t="str">
        <f>CONCATENATE("54820215579")</f>
        <v>54820215579</v>
      </c>
      <c r="K342" s="3" t="s">
        <v>33</v>
      </c>
      <c r="L342" s="3"/>
      <c r="M342" s="3" t="s">
        <v>131</v>
      </c>
      <c r="N342" s="3" t="str">
        <f>CONCATENATE("02055070417")</f>
        <v>02055070417</v>
      </c>
      <c r="O342" s="3" t="s">
        <v>451</v>
      </c>
      <c r="P342" s="3" t="s">
        <v>36</v>
      </c>
      <c r="Q342" s="3"/>
      <c r="R342" s="4">
        <v>45996</v>
      </c>
      <c r="S342" s="3" t="s">
        <v>37</v>
      </c>
      <c r="T342" s="3" t="s">
        <v>38</v>
      </c>
      <c r="U342" s="3" t="s">
        <v>39</v>
      </c>
      <c r="V342" s="3">
        <v>424.84</v>
      </c>
      <c r="W342" s="3">
        <v>180.56</v>
      </c>
      <c r="X342" s="3">
        <v>171</v>
      </c>
      <c r="Y342" s="3">
        <v>73.28</v>
      </c>
    </row>
    <row r="343" spans="1:25" ht="72.75" x14ac:dyDescent="0.25">
      <c r="A343" s="3" t="s">
        <v>26</v>
      </c>
      <c r="B343" s="3" t="s">
        <v>27</v>
      </c>
      <c r="C343" s="3" t="s">
        <v>28</v>
      </c>
      <c r="D343" s="3" t="s">
        <v>29</v>
      </c>
      <c r="E343" s="3" t="s">
        <v>56</v>
      </c>
      <c r="F343" s="3" t="s">
        <v>31</v>
      </c>
      <c r="G343" s="3" t="s">
        <v>56</v>
      </c>
      <c r="H343" s="3" t="s">
        <v>32</v>
      </c>
      <c r="I343" s="3">
        <v>2025</v>
      </c>
      <c r="J343" s="3" t="str">
        <f>CONCATENATE("54820278148")</f>
        <v>54820278148</v>
      </c>
      <c r="K343" s="3" t="s">
        <v>33</v>
      </c>
      <c r="L343" s="3"/>
      <c r="M343" s="3" t="s">
        <v>131</v>
      </c>
      <c r="N343" s="3" t="str">
        <f>CONCATENATE("DRWRRT55T08D612J")</f>
        <v>DRWRRT55T08D612J</v>
      </c>
      <c r="O343" s="3" t="s">
        <v>452</v>
      </c>
      <c r="P343" s="3" t="s">
        <v>36</v>
      </c>
      <c r="Q343" s="3"/>
      <c r="R343" s="4">
        <v>45996</v>
      </c>
      <c r="S343" s="3" t="s">
        <v>37</v>
      </c>
      <c r="T343" s="3" t="s">
        <v>38</v>
      </c>
      <c r="U343" s="3" t="s">
        <v>39</v>
      </c>
      <c r="V343" s="3">
        <v>463.38</v>
      </c>
      <c r="W343" s="3">
        <v>196.94</v>
      </c>
      <c r="X343" s="3">
        <v>186.51</v>
      </c>
      <c r="Y343" s="3">
        <v>79.930000000000007</v>
      </c>
    </row>
    <row r="344" spans="1:25" ht="72.75" x14ac:dyDescent="0.25">
      <c r="A344" s="3" t="s">
        <v>26</v>
      </c>
      <c r="B344" s="3" t="s">
        <v>27</v>
      </c>
      <c r="C344" s="3" t="s">
        <v>28</v>
      </c>
      <c r="D344" s="3" t="s">
        <v>50</v>
      </c>
      <c r="E344" s="3" t="s">
        <v>60</v>
      </c>
      <c r="F344" s="3" t="s">
        <v>52</v>
      </c>
      <c r="G344" s="3" t="s">
        <v>60</v>
      </c>
      <c r="H344" s="3" t="s">
        <v>45</v>
      </c>
      <c r="I344" s="3">
        <v>2025</v>
      </c>
      <c r="J344" s="3" t="str">
        <f>CONCATENATE("54820207444")</f>
        <v>54820207444</v>
      </c>
      <c r="K344" s="3" t="s">
        <v>33</v>
      </c>
      <c r="L344" s="3"/>
      <c r="M344" s="3" t="s">
        <v>131</v>
      </c>
      <c r="N344" s="3" t="str">
        <f>CONCATENATE("CSTMRO77T13B352F")</f>
        <v>CSTMRO77T13B352F</v>
      </c>
      <c r="O344" s="3" t="s">
        <v>453</v>
      </c>
      <c r="P344" s="3" t="s">
        <v>36</v>
      </c>
      <c r="Q344" s="3"/>
      <c r="R344" s="4">
        <v>45996</v>
      </c>
      <c r="S344" s="3" t="s">
        <v>37</v>
      </c>
      <c r="T344" s="3" t="s">
        <v>38</v>
      </c>
      <c r="U344" s="3" t="s">
        <v>39</v>
      </c>
      <c r="V344" s="3">
        <v>438.82</v>
      </c>
      <c r="W344" s="3">
        <v>186.5</v>
      </c>
      <c r="X344" s="3">
        <v>176.63</v>
      </c>
      <c r="Y344" s="3">
        <v>75.69</v>
      </c>
    </row>
    <row r="345" spans="1:25" ht="72.75" x14ac:dyDescent="0.25">
      <c r="A345" s="3" t="s">
        <v>26</v>
      </c>
      <c r="B345" s="3" t="s">
        <v>27</v>
      </c>
      <c r="C345" s="3" t="s">
        <v>28</v>
      </c>
      <c r="D345" s="3" t="s">
        <v>29</v>
      </c>
      <c r="E345" s="3" t="s">
        <v>47</v>
      </c>
      <c r="F345" s="3" t="s">
        <v>31</v>
      </c>
      <c r="G345" s="3" t="s">
        <v>47</v>
      </c>
      <c r="H345" s="3" t="s">
        <v>48</v>
      </c>
      <c r="I345" s="3">
        <v>2025</v>
      </c>
      <c r="J345" s="3" t="str">
        <f>CONCATENATE("54820211933")</f>
        <v>54820211933</v>
      </c>
      <c r="K345" s="3" t="s">
        <v>33</v>
      </c>
      <c r="L345" s="3"/>
      <c r="M345" s="3" t="s">
        <v>131</v>
      </c>
      <c r="N345" s="3" t="str">
        <f>CONCATENATE("PDCNGL55M22D451G")</f>
        <v>PDCNGL55M22D451G</v>
      </c>
      <c r="O345" s="3" t="s">
        <v>454</v>
      </c>
      <c r="P345" s="3" t="s">
        <v>36</v>
      </c>
      <c r="Q345" s="3"/>
      <c r="R345" s="4">
        <v>45996</v>
      </c>
      <c r="S345" s="3" t="s">
        <v>37</v>
      </c>
      <c r="T345" s="3" t="s">
        <v>38</v>
      </c>
      <c r="U345" s="3" t="s">
        <v>39</v>
      </c>
      <c r="V345" s="3">
        <v>171.88</v>
      </c>
      <c r="W345" s="3">
        <v>73.05</v>
      </c>
      <c r="X345" s="3">
        <v>69.180000000000007</v>
      </c>
      <c r="Y345" s="3">
        <v>29.65</v>
      </c>
    </row>
    <row r="346" spans="1:25" ht="72.75" x14ac:dyDescent="0.25">
      <c r="A346" s="3" t="s">
        <v>26</v>
      </c>
      <c r="B346" s="3" t="s">
        <v>27</v>
      </c>
      <c r="C346" s="3" t="s">
        <v>28</v>
      </c>
      <c r="D346" s="3" t="s">
        <v>91</v>
      </c>
      <c r="E346" s="3" t="s">
        <v>151</v>
      </c>
      <c r="F346" s="3" t="s">
        <v>93</v>
      </c>
      <c r="G346" s="3" t="s">
        <v>151</v>
      </c>
      <c r="H346" s="3" t="s">
        <v>45</v>
      </c>
      <c r="I346" s="3">
        <v>2025</v>
      </c>
      <c r="J346" s="3" t="str">
        <f>CONCATENATE("54820250873")</f>
        <v>54820250873</v>
      </c>
      <c r="K346" s="3" t="s">
        <v>33</v>
      </c>
      <c r="L346" s="3"/>
      <c r="M346" s="3" t="s">
        <v>131</v>
      </c>
      <c r="N346" s="3" t="str">
        <f>CONCATENATE("RCCMRC63H03D488O")</f>
        <v>RCCMRC63H03D488O</v>
      </c>
      <c r="O346" s="3" t="s">
        <v>455</v>
      </c>
      <c r="P346" s="3" t="s">
        <v>36</v>
      </c>
      <c r="Q346" s="3"/>
      <c r="R346" s="4">
        <v>45996</v>
      </c>
      <c r="S346" s="3" t="s">
        <v>37</v>
      </c>
      <c r="T346" s="3" t="s">
        <v>38</v>
      </c>
      <c r="U346" s="3" t="s">
        <v>39</v>
      </c>
      <c r="V346" s="3">
        <v>615.77</v>
      </c>
      <c r="W346" s="3">
        <v>261.7</v>
      </c>
      <c r="X346" s="3">
        <v>247.85</v>
      </c>
      <c r="Y346" s="3">
        <v>106.22</v>
      </c>
    </row>
    <row r="347" spans="1:25" ht="60.75" x14ac:dyDescent="0.25">
      <c r="A347" s="3" t="s">
        <v>26</v>
      </c>
      <c r="B347" s="3" t="s">
        <v>27</v>
      </c>
      <c r="C347" s="3" t="s">
        <v>28</v>
      </c>
      <c r="D347" s="3" t="s">
        <v>91</v>
      </c>
      <c r="E347" s="3" t="s">
        <v>151</v>
      </c>
      <c r="F347" s="3" t="s">
        <v>93</v>
      </c>
      <c r="G347" s="3" t="s">
        <v>151</v>
      </c>
      <c r="H347" s="3" t="s">
        <v>45</v>
      </c>
      <c r="I347" s="3">
        <v>2025</v>
      </c>
      <c r="J347" s="3" t="str">
        <f>CONCATENATE("54820266358")</f>
        <v>54820266358</v>
      </c>
      <c r="K347" s="3" t="s">
        <v>33</v>
      </c>
      <c r="L347" s="3"/>
      <c r="M347" s="3" t="s">
        <v>131</v>
      </c>
      <c r="N347" s="3" t="str">
        <f>CONCATENATE("DNNGRG37S14L500R")</f>
        <v>DNNGRG37S14L500R</v>
      </c>
      <c r="O347" s="3" t="s">
        <v>456</v>
      </c>
      <c r="P347" s="3" t="s">
        <v>36</v>
      </c>
      <c r="Q347" s="3"/>
      <c r="R347" s="4">
        <v>45996</v>
      </c>
      <c r="S347" s="3" t="s">
        <v>37</v>
      </c>
      <c r="T347" s="3" t="s">
        <v>38</v>
      </c>
      <c r="U347" s="3" t="s">
        <v>39</v>
      </c>
      <c r="V347" s="3">
        <v>455.47</v>
      </c>
      <c r="W347" s="3">
        <v>193.57</v>
      </c>
      <c r="X347" s="3">
        <v>183.33</v>
      </c>
      <c r="Y347" s="3">
        <v>78.569999999999993</v>
      </c>
    </row>
    <row r="348" spans="1:25" ht="60.75" x14ac:dyDescent="0.25">
      <c r="A348" s="3" t="s">
        <v>26</v>
      </c>
      <c r="B348" s="3" t="s">
        <v>27</v>
      </c>
      <c r="C348" s="3" t="s">
        <v>28</v>
      </c>
      <c r="D348" s="3" t="s">
        <v>457</v>
      </c>
      <c r="E348" s="3" t="s">
        <v>458</v>
      </c>
      <c r="F348" s="3" t="s">
        <v>459</v>
      </c>
      <c r="G348" s="3" t="s">
        <v>458</v>
      </c>
      <c r="H348" s="3" t="s">
        <v>32</v>
      </c>
      <c r="I348" s="3">
        <v>2025</v>
      </c>
      <c r="J348" s="3" t="str">
        <f>CONCATENATE("54820242862")</f>
        <v>54820242862</v>
      </c>
      <c r="K348" s="3" t="s">
        <v>33</v>
      </c>
      <c r="L348" s="3"/>
      <c r="M348" s="3" t="s">
        <v>131</v>
      </c>
      <c r="N348" s="3" t="str">
        <f>CONCATENATE("MCCLCU70B14B474K")</f>
        <v>MCCLCU70B14B474K</v>
      </c>
      <c r="O348" s="3" t="s">
        <v>460</v>
      </c>
      <c r="P348" s="3" t="s">
        <v>36</v>
      </c>
      <c r="Q348" s="3"/>
      <c r="R348" s="4">
        <v>45996</v>
      </c>
      <c r="S348" s="3" t="s">
        <v>37</v>
      </c>
      <c r="T348" s="3" t="s">
        <v>38</v>
      </c>
      <c r="U348" s="3" t="s">
        <v>39</v>
      </c>
      <c r="V348" s="3">
        <v>312.76</v>
      </c>
      <c r="W348" s="3">
        <v>132.91999999999999</v>
      </c>
      <c r="X348" s="3">
        <v>125.89</v>
      </c>
      <c r="Y348" s="3">
        <v>53.95</v>
      </c>
    </row>
    <row r="349" spans="1:25" ht="72.75" x14ac:dyDescent="0.25">
      <c r="A349" s="3" t="s">
        <v>26</v>
      </c>
      <c r="B349" s="3" t="s">
        <v>27</v>
      </c>
      <c r="C349" s="3" t="s">
        <v>28</v>
      </c>
      <c r="D349" s="3" t="s">
        <v>50</v>
      </c>
      <c r="E349" s="3" t="s">
        <v>448</v>
      </c>
      <c r="F349" s="3" t="s">
        <v>52</v>
      </c>
      <c r="G349" s="3" t="s">
        <v>448</v>
      </c>
      <c r="H349" s="3" t="s">
        <v>45</v>
      </c>
      <c r="I349" s="3">
        <v>2025</v>
      </c>
      <c r="J349" s="3" t="str">
        <f>CONCATENATE("54820264544")</f>
        <v>54820264544</v>
      </c>
      <c r="K349" s="3" t="s">
        <v>33</v>
      </c>
      <c r="L349" s="3"/>
      <c r="M349" s="3" t="s">
        <v>131</v>
      </c>
      <c r="N349" s="3" t="str">
        <f>CONCATENATE("CNCSMN68D07G453Q")</f>
        <v>CNCSMN68D07G453Q</v>
      </c>
      <c r="O349" s="3" t="s">
        <v>461</v>
      </c>
      <c r="P349" s="3" t="s">
        <v>36</v>
      </c>
      <c r="Q349" s="3"/>
      <c r="R349" s="4">
        <v>45996</v>
      </c>
      <c r="S349" s="3" t="s">
        <v>37</v>
      </c>
      <c r="T349" s="3" t="s">
        <v>38</v>
      </c>
      <c r="U349" s="3" t="s">
        <v>39</v>
      </c>
      <c r="V349" s="3">
        <v>448.04</v>
      </c>
      <c r="W349" s="3">
        <v>190.42</v>
      </c>
      <c r="X349" s="3">
        <v>180.34</v>
      </c>
      <c r="Y349" s="3">
        <v>77.28</v>
      </c>
    </row>
    <row r="350" spans="1:25" ht="60.75" x14ac:dyDescent="0.25">
      <c r="A350" s="3" t="s">
        <v>26</v>
      </c>
      <c r="B350" s="3" t="s">
        <v>27</v>
      </c>
      <c r="C350" s="3" t="s">
        <v>28</v>
      </c>
      <c r="D350" s="3" t="s">
        <v>29</v>
      </c>
      <c r="E350" s="3" t="s">
        <v>56</v>
      </c>
      <c r="F350" s="3" t="s">
        <v>31</v>
      </c>
      <c r="G350" s="3" t="s">
        <v>56</v>
      </c>
      <c r="H350" s="3" t="s">
        <v>32</v>
      </c>
      <c r="I350" s="3">
        <v>2025</v>
      </c>
      <c r="J350" s="3" t="str">
        <f>CONCATENATE("54820323282")</f>
        <v>54820323282</v>
      </c>
      <c r="K350" s="3" t="s">
        <v>33</v>
      </c>
      <c r="L350" s="3"/>
      <c r="M350" s="3" t="s">
        <v>131</v>
      </c>
      <c r="N350" s="3" t="str">
        <f>CONCATENATE("DNTMCL45T20C993C")</f>
        <v>DNTMCL45T20C993C</v>
      </c>
      <c r="O350" s="3" t="s">
        <v>462</v>
      </c>
      <c r="P350" s="3" t="s">
        <v>36</v>
      </c>
      <c r="Q350" s="3"/>
      <c r="R350" s="4">
        <v>45996</v>
      </c>
      <c r="S350" s="3" t="s">
        <v>37</v>
      </c>
      <c r="T350" s="3" t="s">
        <v>38</v>
      </c>
      <c r="U350" s="3" t="s">
        <v>39</v>
      </c>
      <c r="V350" s="3">
        <v>215.39</v>
      </c>
      <c r="W350" s="3">
        <v>91.54</v>
      </c>
      <c r="X350" s="3">
        <v>86.69</v>
      </c>
      <c r="Y350" s="3">
        <v>37.159999999999997</v>
      </c>
    </row>
    <row r="351" spans="1:25" ht="60.75" x14ac:dyDescent="0.25">
      <c r="A351" s="3" t="s">
        <v>26</v>
      </c>
      <c r="B351" s="3" t="s">
        <v>27</v>
      </c>
      <c r="C351" s="3" t="s">
        <v>28</v>
      </c>
      <c r="D351" s="3" t="s">
        <v>29</v>
      </c>
      <c r="E351" s="3" t="s">
        <v>47</v>
      </c>
      <c r="F351" s="3" t="s">
        <v>31</v>
      </c>
      <c r="G351" s="3" t="s">
        <v>47</v>
      </c>
      <c r="H351" s="3" t="s">
        <v>48</v>
      </c>
      <c r="I351" s="3">
        <v>2025</v>
      </c>
      <c r="J351" s="3" t="str">
        <f>CONCATENATE("54820198676")</f>
        <v>54820198676</v>
      </c>
      <c r="K351" s="3" t="s">
        <v>33</v>
      </c>
      <c r="L351" s="3"/>
      <c r="M351" s="3" t="s">
        <v>131</v>
      </c>
      <c r="N351" s="3" t="str">
        <f>CONCATENATE("GCMLSE96A70E388G")</f>
        <v>GCMLSE96A70E388G</v>
      </c>
      <c r="O351" s="3" t="s">
        <v>463</v>
      </c>
      <c r="P351" s="3" t="s">
        <v>36</v>
      </c>
      <c r="Q351" s="3"/>
      <c r="R351" s="4">
        <v>45996</v>
      </c>
      <c r="S351" s="3" t="s">
        <v>37</v>
      </c>
      <c r="T351" s="3" t="s">
        <v>38</v>
      </c>
      <c r="U351" s="3" t="s">
        <v>39</v>
      </c>
      <c r="V351" s="3">
        <v>315.88</v>
      </c>
      <c r="W351" s="3">
        <v>134.25</v>
      </c>
      <c r="X351" s="3">
        <v>127.14</v>
      </c>
      <c r="Y351" s="3">
        <v>54.49</v>
      </c>
    </row>
    <row r="352" spans="1:25" ht="60.75" x14ac:dyDescent="0.25">
      <c r="A352" s="3" t="s">
        <v>26</v>
      </c>
      <c r="B352" s="3" t="s">
        <v>27</v>
      </c>
      <c r="C352" s="3" t="s">
        <v>28</v>
      </c>
      <c r="D352" s="3" t="s">
        <v>464</v>
      </c>
      <c r="E352" s="3" t="s">
        <v>465</v>
      </c>
      <c r="F352" s="3" t="s">
        <v>466</v>
      </c>
      <c r="G352" s="3" t="s">
        <v>465</v>
      </c>
      <c r="H352" s="3" t="s">
        <v>96</v>
      </c>
      <c r="I352" s="3">
        <v>2025</v>
      </c>
      <c r="J352" s="3" t="str">
        <f>CONCATENATE("54820192679")</f>
        <v>54820192679</v>
      </c>
      <c r="K352" s="3" t="s">
        <v>33</v>
      </c>
      <c r="L352" s="3"/>
      <c r="M352" s="3" t="s">
        <v>131</v>
      </c>
      <c r="N352" s="3" t="str">
        <f>CONCATENATE("RTLDRN71E30H588D")</f>
        <v>RTLDRN71E30H588D</v>
      </c>
      <c r="O352" s="3" t="s">
        <v>467</v>
      </c>
      <c r="P352" s="3" t="s">
        <v>36</v>
      </c>
      <c r="Q352" s="3"/>
      <c r="R352" s="4">
        <v>45996</v>
      </c>
      <c r="S352" s="3" t="s">
        <v>37</v>
      </c>
      <c r="T352" s="3" t="s">
        <v>38</v>
      </c>
      <c r="U352" s="3" t="s">
        <v>39</v>
      </c>
      <c r="V352" s="3">
        <v>117.23</v>
      </c>
      <c r="W352" s="3">
        <v>49.82</v>
      </c>
      <c r="X352" s="3">
        <v>47.19</v>
      </c>
      <c r="Y352" s="3">
        <v>20.22</v>
      </c>
    </row>
    <row r="353" spans="1:25" ht="60.75" x14ac:dyDescent="0.25">
      <c r="A353" s="3" t="s">
        <v>26</v>
      </c>
      <c r="B353" s="3" t="s">
        <v>27</v>
      </c>
      <c r="C353" s="3" t="s">
        <v>28</v>
      </c>
      <c r="D353" s="3" t="s">
        <v>91</v>
      </c>
      <c r="E353" s="3" t="s">
        <v>151</v>
      </c>
      <c r="F353" s="3" t="s">
        <v>93</v>
      </c>
      <c r="G353" s="3" t="s">
        <v>151</v>
      </c>
      <c r="H353" s="3" t="s">
        <v>45</v>
      </c>
      <c r="I353" s="3">
        <v>2025</v>
      </c>
      <c r="J353" s="3" t="str">
        <f>CONCATENATE("54820213202")</f>
        <v>54820213202</v>
      </c>
      <c r="K353" s="3" t="s">
        <v>33</v>
      </c>
      <c r="L353" s="3"/>
      <c r="M353" s="3" t="s">
        <v>131</v>
      </c>
      <c r="N353" s="3" t="str">
        <f>CONCATENATE("GSTQNT47D12G453C")</f>
        <v>GSTQNT47D12G453C</v>
      </c>
      <c r="O353" s="3" t="s">
        <v>468</v>
      </c>
      <c r="P353" s="3" t="s">
        <v>36</v>
      </c>
      <c r="Q353" s="3"/>
      <c r="R353" s="4">
        <v>45996</v>
      </c>
      <c r="S353" s="3" t="s">
        <v>37</v>
      </c>
      <c r="T353" s="3" t="s">
        <v>38</v>
      </c>
      <c r="U353" s="3" t="s">
        <v>39</v>
      </c>
      <c r="V353" s="3">
        <v>410.08</v>
      </c>
      <c r="W353" s="3">
        <v>174.28</v>
      </c>
      <c r="X353" s="3">
        <v>165.06</v>
      </c>
      <c r="Y353" s="3">
        <v>70.739999999999995</v>
      </c>
    </row>
    <row r="354" spans="1:25" ht="60.75" x14ac:dyDescent="0.25">
      <c r="A354" s="3" t="s">
        <v>26</v>
      </c>
      <c r="B354" s="3" t="s">
        <v>27</v>
      </c>
      <c r="C354" s="3" t="s">
        <v>28</v>
      </c>
      <c r="D354" s="3" t="s">
        <v>40</v>
      </c>
      <c r="E354" s="3" t="s">
        <v>99</v>
      </c>
      <c r="F354" s="3" t="s">
        <v>42</v>
      </c>
      <c r="G354" s="3" t="s">
        <v>99</v>
      </c>
      <c r="H354" s="3" t="s">
        <v>32</v>
      </c>
      <c r="I354" s="3">
        <v>2025</v>
      </c>
      <c r="J354" s="3" t="str">
        <f>CONCATENATE("54820375373")</f>
        <v>54820375373</v>
      </c>
      <c r="K354" s="3" t="s">
        <v>33</v>
      </c>
      <c r="L354" s="3"/>
      <c r="M354" s="3" t="s">
        <v>131</v>
      </c>
      <c r="N354" s="3" t="str">
        <f>CONCATENATE("NGLLCU81S09B474P")</f>
        <v>NGLLCU81S09B474P</v>
      </c>
      <c r="O354" s="3" t="s">
        <v>469</v>
      </c>
      <c r="P354" s="3" t="s">
        <v>36</v>
      </c>
      <c r="Q354" s="3"/>
      <c r="R354" s="4">
        <v>45996</v>
      </c>
      <c r="S354" s="3" t="s">
        <v>37</v>
      </c>
      <c r="T354" s="3" t="s">
        <v>38</v>
      </c>
      <c r="U354" s="3" t="s">
        <v>39</v>
      </c>
      <c r="V354" s="3">
        <v>780.85</v>
      </c>
      <c r="W354" s="3">
        <v>331.86</v>
      </c>
      <c r="X354" s="3">
        <v>314.29000000000002</v>
      </c>
      <c r="Y354" s="3">
        <v>134.69999999999999</v>
      </c>
    </row>
    <row r="355" spans="1:25" ht="36.75" x14ac:dyDescent="0.25">
      <c r="A355" s="3" t="s">
        <v>26</v>
      </c>
      <c r="B355" s="3" t="s">
        <v>27</v>
      </c>
      <c r="C355" s="3" t="s">
        <v>28</v>
      </c>
      <c r="D355" s="3" t="s">
        <v>91</v>
      </c>
      <c r="E355" s="3" t="s">
        <v>151</v>
      </c>
      <c r="F355" s="3" t="s">
        <v>93</v>
      </c>
      <c r="G355" s="3" t="s">
        <v>151</v>
      </c>
      <c r="H355" s="3" t="s">
        <v>45</v>
      </c>
      <c r="I355" s="3">
        <v>2025</v>
      </c>
      <c r="J355" s="3" t="str">
        <f>CONCATENATE("54820201918")</f>
        <v>54820201918</v>
      </c>
      <c r="K355" s="3" t="s">
        <v>33</v>
      </c>
      <c r="L355" s="3"/>
      <c r="M355" s="3" t="s">
        <v>131</v>
      </c>
      <c r="N355" s="3" t="str">
        <f>CONCATENATE("00452950413")</f>
        <v>00452950413</v>
      </c>
      <c r="O355" s="3" t="s">
        <v>470</v>
      </c>
      <c r="P355" s="3" t="s">
        <v>36</v>
      </c>
      <c r="Q355" s="3"/>
      <c r="R355" s="4">
        <v>45996</v>
      </c>
      <c r="S355" s="3" t="s">
        <v>37</v>
      </c>
      <c r="T355" s="3" t="s">
        <v>38</v>
      </c>
      <c r="U355" s="3" t="s">
        <v>39</v>
      </c>
      <c r="V355" s="5">
        <v>1877.59</v>
      </c>
      <c r="W355" s="3">
        <v>797.98</v>
      </c>
      <c r="X355" s="3">
        <v>755.73</v>
      </c>
      <c r="Y355" s="3">
        <v>323.88</v>
      </c>
    </row>
    <row r="356" spans="1:25" ht="60.75" x14ac:dyDescent="0.25">
      <c r="A356" s="3" t="s">
        <v>26</v>
      </c>
      <c r="B356" s="3" t="s">
        <v>27</v>
      </c>
      <c r="C356" s="3" t="s">
        <v>28</v>
      </c>
      <c r="D356" s="3" t="s">
        <v>50</v>
      </c>
      <c r="E356" s="3" t="s">
        <v>147</v>
      </c>
      <c r="F356" s="3" t="s">
        <v>52</v>
      </c>
      <c r="G356" s="3" t="s">
        <v>147</v>
      </c>
      <c r="H356" s="3" t="s">
        <v>45</v>
      </c>
      <c r="I356" s="3">
        <v>2025</v>
      </c>
      <c r="J356" s="3" t="str">
        <f>CONCATENATE("54820191002")</f>
        <v>54820191002</v>
      </c>
      <c r="K356" s="3" t="s">
        <v>33</v>
      </c>
      <c r="L356" s="3"/>
      <c r="M356" s="3" t="s">
        <v>131</v>
      </c>
      <c r="N356" s="3" t="str">
        <f>CONCATENATE("FRMFBA63T16B352P")</f>
        <v>FRMFBA63T16B352P</v>
      </c>
      <c r="O356" s="3" t="s">
        <v>471</v>
      </c>
      <c r="P356" s="3" t="s">
        <v>36</v>
      </c>
      <c r="Q356" s="3"/>
      <c r="R356" s="4">
        <v>45996</v>
      </c>
      <c r="S356" s="3" t="s">
        <v>37</v>
      </c>
      <c r="T356" s="3" t="s">
        <v>38</v>
      </c>
      <c r="U356" s="3" t="s">
        <v>39</v>
      </c>
      <c r="V356" s="3">
        <v>179.05</v>
      </c>
      <c r="W356" s="3">
        <v>76.099999999999994</v>
      </c>
      <c r="X356" s="3">
        <v>72.069999999999993</v>
      </c>
      <c r="Y356" s="3">
        <v>30.88</v>
      </c>
    </row>
    <row r="357" spans="1:25" ht="60.75" x14ac:dyDescent="0.25">
      <c r="A357" s="3" t="s">
        <v>26</v>
      </c>
      <c r="B357" s="3" t="s">
        <v>27</v>
      </c>
      <c r="C357" s="3" t="s">
        <v>28</v>
      </c>
      <c r="D357" s="3" t="s">
        <v>50</v>
      </c>
      <c r="E357" s="3" t="s">
        <v>60</v>
      </c>
      <c r="F357" s="3" t="s">
        <v>52</v>
      </c>
      <c r="G357" s="3" t="s">
        <v>60</v>
      </c>
      <c r="H357" s="3" t="s">
        <v>45</v>
      </c>
      <c r="I357" s="3">
        <v>2025</v>
      </c>
      <c r="J357" s="3" t="str">
        <f>CONCATENATE("54820255245")</f>
        <v>54820255245</v>
      </c>
      <c r="K357" s="3" t="s">
        <v>33</v>
      </c>
      <c r="L357" s="3"/>
      <c r="M357" s="3" t="s">
        <v>131</v>
      </c>
      <c r="N357" s="3" t="str">
        <f>CONCATENATE("GNTGPP55P25B636G")</f>
        <v>GNTGPP55P25B636G</v>
      </c>
      <c r="O357" s="3" t="s">
        <v>62</v>
      </c>
      <c r="P357" s="3" t="s">
        <v>36</v>
      </c>
      <c r="Q357" s="3"/>
      <c r="R357" s="4">
        <v>45996</v>
      </c>
      <c r="S357" s="3" t="s">
        <v>37</v>
      </c>
      <c r="T357" s="3" t="s">
        <v>38</v>
      </c>
      <c r="U357" s="3" t="s">
        <v>39</v>
      </c>
      <c r="V357" s="3">
        <v>853.12</v>
      </c>
      <c r="W357" s="3">
        <v>362.58</v>
      </c>
      <c r="X357" s="3">
        <v>343.38</v>
      </c>
      <c r="Y357" s="3">
        <v>147.16</v>
      </c>
    </row>
    <row r="358" spans="1:25" ht="36.75" x14ac:dyDescent="0.25">
      <c r="A358" s="3" t="s">
        <v>26</v>
      </c>
      <c r="B358" s="3" t="s">
        <v>27</v>
      </c>
      <c r="C358" s="3" t="s">
        <v>28</v>
      </c>
      <c r="D358" s="3" t="s">
        <v>29</v>
      </c>
      <c r="E358" s="3" t="s">
        <v>228</v>
      </c>
      <c r="F358" s="3" t="s">
        <v>31</v>
      </c>
      <c r="G358" s="3" t="s">
        <v>228</v>
      </c>
      <c r="H358" s="3" t="s">
        <v>45</v>
      </c>
      <c r="I358" s="3">
        <v>2025</v>
      </c>
      <c r="J358" s="3" t="str">
        <f>CONCATENATE("54820206883")</f>
        <v>54820206883</v>
      </c>
      <c r="K358" s="3" t="s">
        <v>33</v>
      </c>
      <c r="L358" s="3"/>
      <c r="M358" s="3" t="s">
        <v>131</v>
      </c>
      <c r="N358" s="3" t="str">
        <f>CONCATENATE("02694150414")</f>
        <v>02694150414</v>
      </c>
      <c r="O358" s="3" t="s">
        <v>472</v>
      </c>
      <c r="P358" s="3" t="s">
        <v>36</v>
      </c>
      <c r="Q358" s="3"/>
      <c r="R358" s="4">
        <v>45996</v>
      </c>
      <c r="S358" s="3" t="s">
        <v>37</v>
      </c>
      <c r="T358" s="3" t="s">
        <v>38</v>
      </c>
      <c r="U358" s="3" t="s">
        <v>39</v>
      </c>
      <c r="V358" s="5">
        <v>1171.58</v>
      </c>
      <c r="W358" s="3">
        <v>497.92</v>
      </c>
      <c r="X358" s="3">
        <v>471.56</v>
      </c>
      <c r="Y358" s="3">
        <v>202.1</v>
      </c>
    </row>
    <row r="359" spans="1:25" ht="36.75" x14ac:dyDescent="0.25">
      <c r="A359" s="3" t="s">
        <v>26</v>
      </c>
      <c r="B359" s="3" t="s">
        <v>27</v>
      </c>
      <c r="C359" s="3" t="s">
        <v>28</v>
      </c>
      <c r="D359" s="3" t="s">
        <v>104</v>
      </c>
      <c r="E359" s="3" t="s">
        <v>141</v>
      </c>
      <c r="F359" s="3" t="s">
        <v>104</v>
      </c>
      <c r="G359" s="3" t="s">
        <v>141</v>
      </c>
      <c r="H359" s="3" t="s">
        <v>96</v>
      </c>
      <c r="I359" s="3">
        <v>2025</v>
      </c>
      <c r="J359" s="3" t="str">
        <f>CONCATENATE("54820282090")</f>
        <v>54820282090</v>
      </c>
      <c r="K359" s="3" t="s">
        <v>33</v>
      </c>
      <c r="L359" s="3"/>
      <c r="M359" s="3" t="s">
        <v>131</v>
      </c>
      <c r="N359" s="3" t="str">
        <f>CONCATENATE("02271980449")</f>
        <v>02271980449</v>
      </c>
      <c r="O359" s="3" t="s">
        <v>473</v>
      </c>
      <c r="P359" s="3" t="s">
        <v>36</v>
      </c>
      <c r="Q359" s="3"/>
      <c r="R359" s="4">
        <v>45996</v>
      </c>
      <c r="S359" s="3" t="s">
        <v>37</v>
      </c>
      <c r="T359" s="3" t="s">
        <v>38</v>
      </c>
      <c r="U359" s="3" t="s">
        <v>39</v>
      </c>
      <c r="V359" s="3">
        <v>273.32</v>
      </c>
      <c r="W359" s="3">
        <v>116.16</v>
      </c>
      <c r="X359" s="3">
        <v>110.01</v>
      </c>
      <c r="Y359" s="3">
        <v>47.15</v>
      </c>
    </row>
    <row r="360" spans="1:25" ht="60.75" x14ac:dyDescent="0.25">
      <c r="A360" s="3" t="s">
        <v>26</v>
      </c>
      <c r="B360" s="3" t="s">
        <v>27</v>
      </c>
      <c r="C360" s="3" t="s">
        <v>28</v>
      </c>
      <c r="D360" s="3" t="s">
        <v>40</v>
      </c>
      <c r="E360" s="3" t="s">
        <v>287</v>
      </c>
      <c r="F360" s="3" t="s">
        <v>42</v>
      </c>
      <c r="G360" s="3" t="s">
        <v>287</v>
      </c>
      <c r="H360" s="3" t="s">
        <v>32</v>
      </c>
      <c r="I360" s="3">
        <v>2025</v>
      </c>
      <c r="J360" s="3" t="str">
        <f>CONCATENATE("54820014006")</f>
        <v>54820014006</v>
      </c>
      <c r="K360" s="3" t="s">
        <v>33</v>
      </c>
      <c r="L360" s="3"/>
      <c r="M360" s="3" t="s">
        <v>131</v>
      </c>
      <c r="N360" s="3" t="str">
        <f>CONCATENATE("MCALSN77L71B474O")</f>
        <v>MCALSN77L71B474O</v>
      </c>
      <c r="O360" s="3" t="s">
        <v>474</v>
      </c>
      <c r="P360" s="3" t="s">
        <v>36</v>
      </c>
      <c r="Q360" s="3"/>
      <c r="R360" s="4">
        <v>45996</v>
      </c>
      <c r="S360" s="3" t="s">
        <v>37</v>
      </c>
      <c r="T360" s="3" t="s">
        <v>38</v>
      </c>
      <c r="U360" s="3" t="s">
        <v>39</v>
      </c>
      <c r="V360" s="3">
        <v>467.23</v>
      </c>
      <c r="W360" s="3">
        <v>198.57</v>
      </c>
      <c r="X360" s="3">
        <v>188.06</v>
      </c>
      <c r="Y360" s="3">
        <v>80.599999999999994</v>
      </c>
    </row>
    <row r="361" spans="1:25" ht="60.75" x14ac:dyDescent="0.25">
      <c r="A361" s="3" t="s">
        <v>26</v>
      </c>
      <c r="B361" s="3" t="s">
        <v>27</v>
      </c>
      <c r="C361" s="3" t="s">
        <v>28</v>
      </c>
      <c r="D361" s="3" t="s">
        <v>50</v>
      </c>
      <c r="E361" s="3" t="s">
        <v>252</v>
      </c>
      <c r="F361" s="3" t="s">
        <v>52</v>
      </c>
      <c r="G361" s="3" t="s">
        <v>252</v>
      </c>
      <c r="H361" s="3" t="s">
        <v>45</v>
      </c>
      <c r="I361" s="3">
        <v>2025</v>
      </c>
      <c r="J361" s="3" t="str">
        <f>CONCATENATE("54820159256")</f>
        <v>54820159256</v>
      </c>
      <c r="K361" s="3" t="s">
        <v>33</v>
      </c>
      <c r="L361" s="3"/>
      <c r="M361" s="3" t="s">
        <v>131</v>
      </c>
      <c r="N361" s="3" t="str">
        <f>CONCATENATE("BNDDNL67T57D749B")</f>
        <v>BNDDNL67T57D749B</v>
      </c>
      <c r="O361" s="3" t="s">
        <v>475</v>
      </c>
      <c r="P361" s="3" t="s">
        <v>36</v>
      </c>
      <c r="Q361" s="3"/>
      <c r="R361" s="4">
        <v>45996</v>
      </c>
      <c r="S361" s="3" t="s">
        <v>37</v>
      </c>
      <c r="T361" s="3" t="s">
        <v>38</v>
      </c>
      <c r="U361" s="3" t="s">
        <v>39</v>
      </c>
      <c r="V361" s="3">
        <v>138.41999999999999</v>
      </c>
      <c r="W361" s="3">
        <v>58.83</v>
      </c>
      <c r="X361" s="3">
        <v>55.71</v>
      </c>
      <c r="Y361" s="3">
        <v>23.88</v>
      </c>
    </row>
    <row r="362" spans="1:25" ht="60.75" x14ac:dyDescent="0.25">
      <c r="A362" s="3" t="s">
        <v>26</v>
      </c>
      <c r="B362" s="3" t="s">
        <v>27</v>
      </c>
      <c r="C362" s="3" t="s">
        <v>28</v>
      </c>
      <c r="D362" s="3" t="s">
        <v>29</v>
      </c>
      <c r="E362" s="3" t="s">
        <v>476</v>
      </c>
      <c r="F362" s="3" t="s">
        <v>31</v>
      </c>
      <c r="G362" s="3" t="s">
        <v>476</v>
      </c>
      <c r="H362" s="3" t="s">
        <v>48</v>
      </c>
      <c r="I362" s="3">
        <v>2025</v>
      </c>
      <c r="J362" s="3" t="str">
        <f>CONCATENATE("54820045653")</f>
        <v>54820045653</v>
      </c>
      <c r="K362" s="3" t="s">
        <v>33</v>
      </c>
      <c r="L362" s="3"/>
      <c r="M362" s="3" t="s">
        <v>131</v>
      </c>
      <c r="N362" s="3" t="str">
        <f>CONCATENATE("FCLFNC70E05A329L")</f>
        <v>FCLFNC70E05A329L</v>
      </c>
      <c r="O362" s="3" t="s">
        <v>477</v>
      </c>
      <c r="P362" s="3" t="s">
        <v>36</v>
      </c>
      <c r="Q362" s="3"/>
      <c r="R362" s="4">
        <v>45996</v>
      </c>
      <c r="S362" s="3" t="s">
        <v>37</v>
      </c>
      <c r="T362" s="3" t="s">
        <v>38</v>
      </c>
      <c r="U362" s="3" t="s">
        <v>39</v>
      </c>
      <c r="V362" s="3">
        <v>588.27</v>
      </c>
      <c r="W362" s="3">
        <v>250.01</v>
      </c>
      <c r="X362" s="3">
        <v>236.78</v>
      </c>
      <c r="Y362" s="3">
        <v>101.48</v>
      </c>
    </row>
    <row r="363" spans="1:25" ht="60.75" x14ac:dyDescent="0.25">
      <c r="A363" s="3" t="s">
        <v>26</v>
      </c>
      <c r="B363" s="3" t="s">
        <v>27</v>
      </c>
      <c r="C363" s="3" t="s">
        <v>28</v>
      </c>
      <c r="D363" s="3" t="s">
        <v>29</v>
      </c>
      <c r="E363" s="3" t="s">
        <v>182</v>
      </c>
      <c r="F363" s="3" t="s">
        <v>31</v>
      </c>
      <c r="G363" s="3" t="s">
        <v>182</v>
      </c>
      <c r="H363" s="3" t="s">
        <v>45</v>
      </c>
      <c r="I363" s="3">
        <v>2025</v>
      </c>
      <c r="J363" s="3" t="str">
        <f>CONCATENATE("54820152095")</f>
        <v>54820152095</v>
      </c>
      <c r="K363" s="3" t="s">
        <v>33</v>
      </c>
      <c r="L363" s="3"/>
      <c r="M363" s="3" t="s">
        <v>131</v>
      </c>
      <c r="N363" s="3" t="str">
        <f>CONCATENATE("PGNCRL59D28L500V")</f>
        <v>PGNCRL59D28L500V</v>
      </c>
      <c r="O363" s="3" t="s">
        <v>478</v>
      </c>
      <c r="P363" s="3" t="s">
        <v>36</v>
      </c>
      <c r="Q363" s="3"/>
      <c r="R363" s="4">
        <v>45996</v>
      </c>
      <c r="S363" s="3" t="s">
        <v>37</v>
      </c>
      <c r="T363" s="3" t="s">
        <v>38</v>
      </c>
      <c r="U363" s="3" t="s">
        <v>39</v>
      </c>
      <c r="V363" s="3">
        <v>86.22</v>
      </c>
      <c r="W363" s="3">
        <v>36.64</v>
      </c>
      <c r="X363" s="3">
        <v>34.700000000000003</v>
      </c>
      <c r="Y363" s="3">
        <v>14.88</v>
      </c>
    </row>
    <row r="364" spans="1:25" ht="60.75" x14ac:dyDescent="0.25">
      <c r="A364" s="3" t="s">
        <v>26</v>
      </c>
      <c r="B364" s="3" t="s">
        <v>27</v>
      </c>
      <c r="C364" s="3" t="s">
        <v>28</v>
      </c>
      <c r="D364" s="3" t="s">
        <v>29</v>
      </c>
      <c r="E364" s="3" t="s">
        <v>68</v>
      </c>
      <c r="F364" s="3" t="s">
        <v>31</v>
      </c>
      <c r="G364" s="3" t="s">
        <v>68</v>
      </c>
      <c r="H364" s="3" t="s">
        <v>32</v>
      </c>
      <c r="I364" s="3">
        <v>2025</v>
      </c>
      <c r="J364" s="3" t="str">
        <f>CONCATENATE("54820117189")</f>
        <v>54820117189</v>
      </c>
      <c r="K364" s="3" t="s">
        <v>33</v>
      </c>
      <c r="L364" s="3"/>
      <c r="M364" s="3" t="s">
        <v>131</v>
      </c>
      <c r="N364" s="3" t="str">
        <f>CONCATENATE("LMBGRG78C30I436B")</f>
        <v>LMBGRG78C30I436B</v>
      </c>
      <c r="O364" s="3" t="s">
        <v>479</v>
      </c>
      <c r="P364" s="3" t="s">
        <v>36</v>
      </c>
      <c r="Q364" s="3"/>
      <c r="R364" s="4">
        <v>45996</v>
      </c>
      <c r="S364" s="3" t="s">
        <v>37</v>
      </c>
      <c r="T364" s="3" t="s">
        <v>38</v>
      </c>
      <c r="U364" s="3" t="s">
        <v>39</v>
      </c>
      <c r="V364" s="3">
        <v>57.73</v>
      </c>
      <c r="W364" s="3">
        <v>24.54</v>
      </c>
      <c r="X364" s="3">
        <v>23.24</v>
      </c>
      <c r="Y364" s="3">
        <v>9.9499999999999993</v>
      </c>
    </row>
    <row r="365" spans="1:25" ht="60.75" x14ac:dyDescent="0.25">
      <c r="A365" s="3" t="s">
        <v>26</v>
      </c>
      <c r="B365" s="3" t="s">
        <v>27</v>
      </c>
      <c r="C365" s="3" t="s">
        <v>28</v>
      </c>
      <c r="D365" s="3" t="s">
        <v>50</v>
      </c>
      <c r="E365" s="3" t="s">
        <v>173</v>
      </c>
      <c r="F365" s="3" t="s">
        <v>52</v>
      </c>
      <c r="G365" s="3" t="s">
        <v>173</v>
      </c>
      <c r="H365" s="3" t="s">
        <v>45</v>
      </c>
      <c r="I365" s="3">
        <v>2025</v>
      </c>
      <c r="J365" s="3" t="str">
        <f>CONCATENATE("54820056783")</f>
        <v>54820056783</v>
      </c>
      <c r="K365" s="3" t="s">
        <v>33</v>
      </c>
      <c r="L365" s="3"/>
      <c r="M365" s="3" t="s">
        <v>131</v>
      </c>
      <c r="N365" s="3" t="str">
        <f>CONCATENATE("TTVFRC78R27I459X")</f>
        <v>TTVFRC78R27I459X</v>
      </c>
      <c r="O365" s="3" t="s">
        <v>480</v>
      </c>
      <c r="P365" s="3" t="s">
        <v>36</v>
      </c>
      <c r="Q365" s="3"/>
      <c r="R365" s="4">
        <v>45996</v>
      </c>
      <c r="S365" s="3" t="s">
        <v>37</v>
      </c>
      <c r="T365" s="3" t="s">
        <v>38</v>
      </c>
      <c r="U365" s="3" t="s">
        <v>39</v>
      </c>
      <c r="V365" s="3">
        <v>120.76</v>
      </c>
      <c r="W365" s="3">
        <v>51.32</v>
      </c>
      <c r="X365" s="3">
        <v>48.61</v>
      </c>
      <c r="Y365" s="3">
        <v>20.83</v>
      </c>
    </row>
    <row r="366" spans="1:25" ht="72.75" x14ac:dyDescent="0.25">
      <c r="A366" s="3" t="s">
        <v>26</v>
      </c>
      <c r="B366" s="3" t="s">
        <v>27</v>
      </c>
      <c r="C366" s="3" t="s">
        <v>28</v>
      </c>
      <c r="D366" s="3" t="s">
        <v>104</v>
      </c>
      <c r="E366" s="3" t="s">
        <v>141</v>
      </c>
      <c r="F366" s="3" t="s">
        <v>104</v>
      </c>
      <c r="G366" s="3" t="s">
        <v>141</v>
      </c>
      <c r="H366" s="3" t="s">
        <v>96</v>
      </c>
      <c r="I366" s="3">
        <v>2025</v>
      </c>
      <c r="J366" s="3" t="str">
        <f>CONCATENATE("54820133285")</f>
        <v>54820133285</v>
      </c>
      <c r="K366" s="3" t="s">
        <v>33</v>
      </c>
      <c r="L366" s="3"/>
      <c r="M366" s="3" t="s">
        <v>131</v>
      </c>
      <c r="N366" s="3" t="str">
        <f>CONCATENATE("GNNDNC59D28D691U")</f>
        <v>GNNDNC59D28D691U</v>
      </c>
      <c r="O366" s="3" t="s">
        <v>481</v>
      </c>
      <c r="P366" s="3" t="s">
        <v>36</v>
      </c>
      <c r="Q366" s="3"/>
      <c r="R366" s="4">
        <v>45996</v>
      </c>
      <c r="S366" s="3" t="s">
        <v>37</v>
      </c>
      <c r="T366" s="3" t="s">
        <v>38</v>
      </c>
      <c r="U366" s="3" t="s">
        <v>39</v>
      </c>
      <c r="V366" s="3">
        <v>138.1</v>
      </c>
      <c r="W366" s="3">
        <v>58.69</v>
      </c>
      <c r="X366" s="3">
        <v>55.59</v>
      </c>
      <c r="Y366" s="3">
        <v>23.82</v>
      </c>
    </row>
    <row r="367" spans="1:25" ht="60.75" x14ac:dyDescent="0.25">
      <c r="A367" s="3" t="s">
        <v>26</v>
      </c>
      <c r="B367" s="3" t="s">
        <v>27</v>
      </c>
      <c r="C367" s="3" t="s">
        <v>28</v>
      </c>
      <c r="D367" s="3" t="s">
        <v>29</v>
      </c>
      <c r="E367" s="3" t="s">
        <v>136</v>
      </c>
      <c r="F367" s="3" t="s">
        <v>31</v>
      </c>
      <c r="G367" s="3" t="s">
        <v>136</v>
      </c>
      <c r="H367" s="3" t="s">
        <v>48</v>
      </c>
      <c r="I367" s="3">
        <v>2025</v>
      </c>
      <c r="J367" s="3" t="str">
        <f>CONCATENATE("54820122627")</f>
        <v>54820122627</v>
      </c>
      <c r="K367" s="3" t="s">
        <v>33</v>
      </c>
      <c r="L367" s="3"/>
      <c r="M367" s="3" t="s">
        <v>131</v>
      </c>
      <c r="N367" s="3" t="str">
        <f>CONCATENATE("BDCNDR73T03A366K")</f>
        <v>BDCNDR73T03A366K</v>
      </c>
      <c r="O367" s="3" t="s">
        <v>482</v>
      </c>
      <c r="P367" s="3" t="s">
        <v>36</v>
      </c>
      <c r="Q367" s="3"/>
      <c r="R367" s="4">
        <v>45996</v>
      </c>
      <c r="S367" s="3" t="s">
        <v>37</v>
      </c>
      <c r="T367" s="3" t="s">
        <v>38</v>
      </c>
      <c r="U367" s="3" t="s">
        <v>39</v>
      </c>
      <c r="V367" s="3">
        <v>155.35</v>
      </c>
      <c r="W367" s="3">
        <v>66.02</v>
      </c>
      <c r="X367" s="3">
        <v>62.53</v>
      </c>
      <c r="Y367" s="3">
        <v>26.8</v>
      </c>
    </row>
    <row r="368" spans="1:25" ht="60.75" x14ac:dyDescent="0.25">
      <c r="A368" s="3" t="s">
        <v>26</v>
      </c>
      <c r="B368" s="3" t="s">
        <v>27</v>
      </c>
      <c r="C368" s="3" t="s">
        <v>28</v>
      </c>
      <c r="D368" s="3" t="s">
        <v>50</v>
      </c>
      <c r="E368" s="3" t="s">
        <v>60</v>
      </c>
      <c r="F368" s="3" t="s">
        <v>52</v>
      </c>
      <c r="G368" s="3" t="s">
        <v>60</v>
      </c>
      <c r="H368" s="3" t="s">
        <v>45</v>
      </c>
      <c r="I368" s="3">
        <v>2025</v>
      </c>
      <c r="J368" s="3" t="str">
        <f>CONCATENATE("54820113964")</f>
        <v>54820113964</v>
      </c>
      <c r="K368" s="3" t="s">
        <v>33</v>
      </c>
      <c r="L368" s="3"/>
      <c r="M368" s="3" t="s">
        <v>131</v>
      </c>
      <c r="N368" s="3" t="str">
        <f>CONCATENATE("FRNGCR49S02G453K")</f>
        <v>FRNGCR49S02G453K</v>
      </c>
      <c r="O368" s="3" t="s">
        <v>483</v>
      </c>
      <c r="P368" s="3" t="s">
        <v>36</v>
      </c>
      <c r="Q368" s="3"/>
      <c r="R368" s="4">
        <v>45996</v>
      </c>
      <c r="S368" s="3" t="s">
        <v>37</v>
      </c>
      <c r="T368" s="3" t="s">
        <v>38</v>
      </c>
      <c r="U368" s="3" t="s">
        <v>39</v>
      </c>
      <c r="V368" s="3">
        <v>47.37</v>
      </c>
      <c r="W368" s="3">
        <v>20.13</v>
      </c>
      <c r="X368" s="3">
        <v>19.07</v>
      </c>
      <c r="Y368" s="3">
        <v>8.17</v>
      </c>
    </row>
    <row r="369" spans="1:25" ht="60.75" x14ac:dyDescent="0.25">
      <c r="A369" s="3" t="s">
        <v>26</v>
      </c>
      <c r="B369" s="3" t="s">
        <v>27</v>
      </c>
      <c r="C369" s="3" t="s">
        <v>28</v>
      </c>
      <c r="D369" s="3" t="s">
        <v>29</v>
      </c>
      <c r="E369" s="3" t="s">
        <v>56</v>
      </c>
      <c r="F369" s="3" t="s">
        <v>31</v>
      </c>
      <c r="G369" s="3" t="s">
        <v>56</v>
      </c>
      <c r="H369" s="3" t="s">
        <v>32</v>
      </c>
      <c r="I369" s="3">
        <v>2025</v>
      </c>
      <c r="J369" s="3" t="str">
        <f>CONCATENATE("54820141619")</f>
        <v>54820141619</v>
      </c>
      <c r="K369" s="3" t="s">
        <v>33</v>
      </c>
      <c r="L369" s="3"/>
      <c r="M369" s="3" t="s">
        <v>131</v>
      </c>
      <c r="N369" s="3" t="str">
        <f>CONCATENATE("PYRBNR42D18L219T")</f>
        <v>PYRBNR42D18L219T</v>
      </c>
      <c r="O369" s="3" t="s">
        <v>484</v>
      </c>
      <c r="P369" s="3" t="s">
        <v>36</v>
      </c>
      <c r="Q369" s="3"/>
      <c r="R369" s="4">
        <v>45996</v>
      </c>
      <c r="S369" s="3" t="s">
        <v>37</v>
      </c>
      <c r="T369" s="3" t="s">
        <v>38</v>
      </c>
      <c r="U369" s="3" t="s">
        <v>39</v>
      </c>
      <c r="V369" s="5">
        <v>1178.8800000000001</v>
      </c>
      <c r="W369" s="3">
        <v>501.02</v>
      </c>
      <c r="X369" s="3">
        <v>474.5</v>
      </c>
      <c r="Y369" s="3">
        <v>203.36</v>
      </c>
    </row>
    <row r="370" spans="1:25" ht="72.75" x14ac:dyDescent="0.25">
      <c r="A370" s="3" t="s">
        <v>26</v>
      </c>
      <c r="B370" s="3" t="s">
        <v>27</v>
      </c>
      <c r="C370" s="3" t="s">
        <v>28</v>
      </c>
      <c r="D370" s="3" t="s">
        <v>29</v>
      </c>
      <c r="E370" s="3" t="s">
        <v>47</v>
      </c>
      <c r="F370" s="3" t="s">
        <v>31</v>
      </c>
      <c r="G370" s="3" t="s">
        <v>47</v>
      </c>
      <c r="H370" s="3" t="s">
        <v>48</v>
      </c>
      <c r="I370" s="3">
        <v>2025</v>
      </c>
      <c r="J370" s="3" t="str">
        <f>CONCATENATE("54820071055")</f>
        <v>54820071055</v>
      </c>
      <c r="K370" s="3" t="s">
        <v>33</v>
      </c>
      <c r="L370" s="3"/>
      <c r="M370" s="3" t="s">
        <v>131</v>
      </c>
      <c r="N370" s="3" t="str">
        <f>CONCATENATE("LTNDLM72D21D451D")</f>
        <v>LTNDLM72D21D451D</v>
      </c>
      <c r="O370" s="3" t="s">
        <v>485</v>
      </c>
      <c r="P370" s="3" t="s">
        <v>36</v>
      </c>
      <c r="Q370" s="3"/>
      <c r="R370" s="4">
        <v>45996</v>
      </c>
      <c r="S370" s="3" t="s">
        <v>37</v>
      </c>
      <c r="T370" s="3" t="s">
        <v>38</v>
      </c>
      <c r="U370" s="3" t="s">
        <v>39</v>
      </c>
      <c r="V370" s="3">
        <v>53.26</v>
      </c>
      <c r="W370" s="3">
        <v>22.64</v>
      </c>
      <c r="X370" s="3">
        <v>21.44</v>
      </c>
      <c r="Y370" s="3">
        <v>9.18</v>
      </c>
    </row>
    <row r="371" spans="1:25" ht="60.75" x14ac:dyDescent="0.25">
      <c r="A371" s="3" t="s">
        <v>26</v>
      </c>
      <c r="B371" s="3" t="s">
        <v>27</v>
      </c>
      <c r="C371" s="3" t="s">
        <v>28</v>
      </c>
      <c r="D371" s="3" t="s">
        <v>29</v>
      </c>
      <c r="E371" s="3" t="s">
        <v>136</v>
      </c>
      <c r="F371" s="3" t="s">
        <v>31</v>
      </c>
      <c r="G371" s="3" t="s">
        <v>136</v>
      </c>
      <c r="H371" s="3" t="s">
        <v>48</v>
      </c>
      <c r="I371" s="3">
        <v>2025</v>
      </c>
      <c r="J371" s="3" t="str">
        <f>CONCATENATE("54820080775")</f>
        <v>54820080775</v>
      </c>
      <c r="K371" s="3" t="s">
        <v>33</v>
      </c>
      <c r="L371" s="3"/>
      <c r="M371" s="3" t="s">
        <v>131</v>
      </c>
      <c r="N371" s="3" t="str">
        <f>CONCATENATE("MNCGUO62E11I461S")</f>
        <v>MNCGUO62E11I461S</v>
      </c>
      <c r="O371" s="3" t="s">
        <v>486</v>
      </c>
      <c r="P371" s="3" t="s">
        <v>36</v>
      </c>
      <c r="Q371" s="3"/>
      <c r="R371" s="4">
        <v>45996</v>
      </c>
      <c r="S371" s="3" t="s">
        <v>37</v>
      </c>
      <c r="T371" s="3" t="s">
        <v>38</v>
      </c>
      <c r="U371" s="3" t="s">
        <v>39</v>
      </c>
      <c r="V371" s="3">
        <v>156.53</v>
      </c>
      <c r="W371" s="3">
        <v>66.53</v>
      </c>
      <c r="X371" s="3">
        <v>63</v>
      </c>
      <c r="Y371" s="3">
        <v>27</v>
      </c>
    </row>
    <row r="372" spans="1:25" ht="72.75" x14ac:dyDescent="0.25">
      <c r="A372" s="3" t="s">
        <v>26</v>
      </c>
      <c r="B372" s="3" t="s">
        <v>27</v>
      </c>
      <c r="C372" s="3" t="s">
        <v>28</v>
      </c>
      <c r="D372" s="3" t="s">
        <v>50</v>
      </c>
      <c r="E372" s="3" t="s">
        <v>173</v>
      </c>
      <c r="F372" s="3" t="s">
        <v>52</v>
      </c>
      <c r="G372" s="3" t="s">
        <v>173</v>
      </c>
      <c r="H372" s="3" t="s">
        <v>45</v>
      </c>
      <c r="I372" s="3">
        <v>2025</v>
      </c>
      <c r="J372" s="3" t="str">
        <f>CONCATENATE("54820061577")</f>
        <v>54820061577</v>
      </c>
      <c r="K372" s="3" t="s">
        <v>33</v>
      </c>
      <c r="L372" s="3"/>
      <c r="M372" s="3" t="s">
        <v>131</v>
      </c>
      <c r="N372" s="3" t="str">
        <f>CONCATENATE("BNZNTN48D03G551B")</f>
        <v>BNZNTN48D03G551B</v>
      </c>
      <c r="O372" s="3" t="s">
        <v>487</v>
      </c>
      <c r="P372" s="3" t="s">
        <v>36</v>
      </c>
      <c r="Q372" s="3"/>
      <c r="R372" s="4">
        <v>45996</v>
      </c>
      <c r="S372" s="3" t="s">
        <v>37</v>
      </c>
      <c r="T372" s="3" t="s">
        <v>38</v>
      </c>
      <c r="U372" s="3" t="s">
        <v>39</v>
      </c>
      <c r="V372" s="3">
        <v>82.97</v>
      </c>
      <c r="W372" s="3">
        <v>35.26</v>
      </c>
      <c r="X372" s="3">
        <v>33.4</v>
      </c>
      <c r="Y372" s="3">
        <v>14.31</v>
      </c>
    </row>
    <row r="373" spans="1:25" ht="60.75" x14ac:dyDescent="0.25">
      <c r="A373" s="3" t="s">
        <v>26</v>
      </c>
      <c r="B373" s="3" t="s">
        <v>27</v>
      </c>
      <c r="C373" s="3" t="s">
        <v>28</v>
      </c>
      <c r="D373" s="3" t="s">
        <v>50</v>
      </c>
      <c r="E373" s="3" t="s">
        <v>212</v>
      </c>
      <c r="F373" s="3" t="s">
        <v>52</v>
      </c>
      <c r="G373" s="3" t="s">
        <v>212</v>
      </c>
      <c r="H373" s="3" t="s">
        <v>32</v>
      </c>
      <c r="I373" s="3">
        <v>2025</v>
      </c>
      <c r="J373" s="3" t="str">
        <f>CONCATENATE("54820062344")</f>
        <v>54820062344</v>
      </c>
      <c r="K373" s="3" t="s">
        <v>33</v>
      </c>
      <c r="L373" s="3"/>
      <c r="M373" s="3" t="s">
        <v>131</v>
      </c>
      <c r="N373" s="3" t="str">
        <f>CONCATENATE("STRPLA72M31B474U")</f>
        <v>STRPLA72M31B474U</v>
      </c>
      <c r="O373" s="3" t="s">
        <v>488</v>
      </c>
      <c r="P373" s="3" t="s">
        <v>36</v>
      </c>
      <c r="Q373" s="3"/>
      <c r="R373" s="4">
        <v>45996</v>
      </c>
      <c r="S373" s="3" t="s">
        <v>37</v>
      </c>
      <c r="T373" s="3" t="s">
        <v>38</v>
      </c>
      <c r="U373" s="3" t="s">
        <v>39</v>
      </c>
      <c r="V373" s="3">
        <v>341.85</v>
      </c>
      <c r="W373" s="3">
        <v>145.29</v>
      </c>
      <c r="X373" s="3">
        <v>137.59</v>
      </c>
      <c r="Y373" s="3">
        <v>58.97</v>
      </c>
    </row>
    <row r="374" spans="1:25" ht="60.75" x14ac:dyDescent="0.25">
      <c r="A374" s="3" t="s">
        <v>26</v>
      </c>
      <c r="B374" s="3" t="s">
        <v>27</v>
      </c>
      <c r="C374" s="3" t="s">
        <v>28</v>
      </c>
      <c r="D374" s="3" t="s">
        <v>50</v>
      </c>
      <c r="E374" s="3" t="s">
        <v>173</v>
      </c>
      <c r="F374" s="3" t="s">
        <v>52</v>
      </c>
      <c r="G374" s="3" t="s">
        <v>173</v>
      </c>
      <c r="H374" s="3" t="s">
        <v>45</v>
      </c>
      <c r="I374" s="3">
        <v>2025</v>
      </c>
      <c r="J374" s="3" t="str">
        <f>CONCATENATE("54820056791")</f>
        <v>54820056791</v>
      </c>
      <c r="K374" s="3" t="s">
        <v>33</v>
      </c>
      <c r="L374" s="3"/>
      <c r="M374" s="3" t="s">
        <v>131</v>
      </c>
      <c r="N374" s="3" t="str">
        <f>CONCATENATE("MLLPLA67A42A390X")</f>
        <v>MLLPLA67A42A390X</v>
      </c>
      <c r="O374" s="3" t="s">
        <v>489</v>
      </c>
      <c r="P374" s="3" t="s">
        <v>36</v>
      </c>
      <c r="Q374" s="3"/>
      <c r="R374" s="4">
        <v>45996</v>
      </c>
      <c r="S374" s="3" t="s">
        <v>37</v>
      </c>
      <c r="T374" s="3" t="s">
        <v>38</v>
      </c>
      <c r="U374" s="3" t="s">
        <v>39</v>
      </c>
      <c r="V374" s="3">
        <v>252.79</v>
      </c>
      <c r="W374" s="3">
        <v>107.44</v>
      </c>
      <c r="X374" s="3">
        <v>101.75</v>
      </c>
      <c r="Y374" s="3">
        <v>43.6</v>
      </c>
    </row>
    <row r="375" spans="1:25" ht="72.75" x14ac:dyDescent="0.25">
      <c r="A375" s="3" t="s">
        <v>26</v>
      </c>
      <c r="B375" s="3" t="s">
        <v>27</v>
      </c>
      <c r="C375" s="3" t="s">
        <v>28</v>
      </c>
      <c r="D375" s="3" t="s">
        <v>29</v>
      </c>
      <c r="E375" s="3" t="s">
        <v>72</v>
      </c>
      <c r="F375" s="3" t="s">
        <v>31</v>
      </c>
      <c r="G375" s="3" t="s">
        <v>72</v>
      </c>
      <c r="H375" s="3" t="s">
        <v>45</v>
      </c>
      <c r="I375" s="3">
        <v>2025</v>
      </c>
      <c r="J375" s="3" t="str">
        <f>CONCATENATE("54820083514")</f>
        <v>54820083514</v>
      </c>
      <c r="K375" s="3" t="s">
        <v>33</v>
      </c>
      <c r="L375" s="3"/>
      <c r="M375" s="3" t="s">
        <v>131</v>
      </c>
      <c r="N375" s="3" t="str">
        <f>CONCATENATE("PRLMSM66C01A327I")</f>
        <v>PRLMSM66C01A327I</v>
      </c>
      <c r="O375" s="3" t="s">
        <v>490</v>
      </c>
      <c r="P375" s="3" t="s">
        <v>36</v>
      </c>
      <c r="Q375" s="3"/>
      <c r="R375" s="4">
        <v>45996</v>
      </c>
      <c r="S375" s="3" t="s">
        <v>37</v>
      </c>
      <c r="T375" s="3" t="s">
        <v>38</v>
      </c>
      <c r="U375" s="3" t="s">
        <v>39</v>
      </c>
      <c r="V375" s="3">
        <v>340.76</v>
      </c>
      <c r="W375" s="3">
        <v>144.82</v>
      </c>
      <c r="X375" s="3">
        <v>137.16</v>
      </c>
      <c r="Y375" s="3">
        <v>58.78</v>
      </c>
    </row>
    <row r="376" spans="1:25" ht="60.75" x14ac:dyDescent="0.25">
      <c r="A376" s="3" t="s">
        <v>26</v>
      </c>
      <c r="B376" s="3" t="s">
        <v>27</v>
      </c>
      <c r="C376" s="3" t="s">
        <v>28</v>
      </c>
      <c r="D376" s="3" t="s">
        <v>29</v>
      </c>
      <c r="E376" s="3" t="s">
        <v>119</v>
      </c>
      <c r="F376" s="3" t="s">
        <v>31</v>
      </c>
      <c r="G376" s="3" t="s">
        <v>119</v>
      </c>
      <c r="H376" s="3" t="s">
        <v>96</v>
      </c>
      <c r="I376" s="3">
        <v>2025</v>
      </c>
      <c r="J376" s="3" t="str">
        <f>CONCATENATE("54820040373")</f>
        <v>54820040373</v>
      </c>
      <c r="K376" s="3" t="s">
        <v>33</v>
      </c>
      <c r="L376" s="3"/>
      <c r="M376" s="3" t="s">
        <v>131</v>
      </c>
      <c r="N376" s="3" t="str">
        <f>CONCATENATE("CSRMTR60A63F268I")</f>
        <v>CSRMTR60A63F268I</v>
      </c>
      <c r="O376" s="3" t="s">
        <v>491</v>
      </c>
      <c r="P376" s="3" t="s">
        <v>36</v>
      </c>
      <c r="Q376" s="3"/>
      <c r="R376" s="4">
        <v>45996</v>
      </c>
      <c r="S376" s="3" t="s">
        <v>37</v>
      </c>
      <c r="T376" s="3" t="s">
        <v>38</v>
      </c>
      <c r="U376" s="3" t="s">
        <v>39</v>
      </c>
      <c r="V376" s="3">
        <v>99.35</v>
      </c>
      <c r="W376" s="3">
        <v>42.22</v>
      </c>
      <c r="X376" s="3">
        <v>39.99</v>
      </c>
      <c r="Y376" s="3">
        <v>17.14</v>
      </c>
    </row>
    <row r="377" spans="1:25" ht="60.75" x14ac:dyDescent="0.25">
      <c r="A377" s="3" t="s">
        <v>26</v>
      </c>
      <c r="B377" s="3" t="s">
        <v>27</v>
      </c>
      <c r="C377" s="3" t="s">
        <v>28</v>
      </c>
      <c r="D377" s="3" t="s">
        <v>50</v>
      </c>
      <c r="E377" s="3" t="s">
        <v>173</v>
      </c>
      <c r="F377" s="3" t="s">
        <v>52</v>
      </c>
      <c r="G377" s="3" t="s">
        <v>173</v>
      </c>
      <c r="H377" s="3" t="s">
        <v>45</v>
      </c>
      <c r="I377" s="3">
        <v>2025</v>
      </c>
      <c r="J377" s="3" t="str">
        <f>CONCATENATE("54820066337")</f>
        <v>54820066337</v>
      </c>
      <c r="K377" s="3" t="s">
        <v>33</v>
      </c>
      <c r="L377" s="3"/>
      <c r="M377" s="3" t="s">
        <v>131</v>
      </c>
      <c r="N377" s="3" t="str">
        <f>CONCATENATE("MDRVNT86L30I459J")</f>
        <v>MDRVNT86L30I459J</v>
      </c>
      <c r="O377" s="3" t="s">
        <v>492</v>
      </c>
      <c r="P377" s="3" t="s">
        <v>36</v>
      </c>
      <c r="Q377" s="3"/>
      <c r="R377" s="4">
        <v>45996</v>
      </c>
      <c r="S377" s="3" t="s">
        <v>37</v>
      </c>
      <c r="T377" s="3" t="s">
        <v>38</v>
      </c>
      <c r="U377" s="3" t="s">
        <v>39</v>
      </c>
      <c r="V377" s="3">
        <v>57.94</v>
      </c>
      <c r="W377" s="3">
        <v>24.62</v>
      </c>
      <c r="X377" s="3">
        <v>23.32</v>
      </c>
      <c r="Y377" s="3">
        <v>10</v>
      </c>
    </row>
    <row r="378" spans="1:25" ht="60.75" x14ac:dyDescent="0.25">
      <c r="A378" s="3" t="s">
        <v>26</v>
      </c>
      <c r="B378" s="3" t="s">
        <v>27</v>
      </c>
      <c r="C378" s="3" t="s">
        <v>28</v>
      </c>
      <c r="D378" s="3" t="s">
        <v>50</v>
      </c>
      <c r="E378" s="3" t="s">
        <v>51</v>
      </c>
      <c r="F378" s="3" t="s">
        <v>52</v>
      </c>
      <c r="G378" s="3" t="s">
        <v>51</v>
      </c>
      <c r="H378" s="3" t="s">
        <v>48</v>
      </c>
      <c r="I378" s="3">
        <v>2025</v>
      </c>
      <c r="J378" s="3" t="str">
        <f>CONCATENATE("54820070412")</f>
        <v>54820070412</v>
      </c>
      <c r="K378" s="3" t="s">
        <v>33</v>
      </c>
      <c r="L378" s="3"/>
      <c r="M378" s="3" t="s">
        <v>131</v>
      </c>
      <c r="N378" s="3" t="str">
        <f>CONCATENATE("BCCLCN71E30D451G")</f>
        <v>BCCLCN71E30D451G</v>
      </c>
      <c r="O378" s="3" t="s">
        <v>493</v>
      </c>
      <c r="P378" s="3" t="s">
        <v>36</v>
      </c>
      <c r="Q378" s="3"/>
      <c r="R378" s="4">
        <v>45996</v>
      </c>
      <c r="S378" s="3" t="s">
        <v>37</v>
      </c>
      <c r="T378" s="3" t="s">
        <v>38</v>
      </c>
      <c r="U378" s="3" t="s">
        <v>39</v>
      </c>
      <c r="V378" s="3">
        <v>75.53</v>
      </c>
      <c r="W378" s="3">
        <v>32.1</v>
      </c>
      <c r="X378" s="3">
        <v>30.4</v>
      </c>
      <c r="Y378" s="3">
        <v>13.03</v>
      </c>
    </row>
    <row r="379" spans="1:25" ht="36.75" x14ac:dyDescent="0.25">
      <c r="A379" s="3" t="s">
        <v>26</v>
      </c>
      <c r="B379" s="3" t="s">
        <v>27</v>
      </c>
      <c r="C379" s="3" t="s">
        <v>28</v>
      </c>
      <c r="D379" s="3" t="s">
        <v>50</v>
      </c>
      <c r="E379" s="3" t="s">
        <v>147</v>
      </c>
      <c r="F379" s="3" t="s">
        <v>52</v>
      </c>
      <c r="G379" s="3" t="s">
        <v>147</v>
      </c>
      <c r="H379" s="3" t="s">
        <v>45</v>
      </c>
      <c r="I379" s="3">
        <v>2025</v>
      </c>
      <c r="J379" s="3" t="str">
        <f>CONCATENATE("54820151337")</f>
        <v>54820151337</v>
      </c>
      <c r="K379" s="3" t="s">
        <v>33</v>
      </c>
      <c r="L379" s="3"/>
      <c r="M379" s="3" t="s">
        <v>131</v>
      </c>
      <c r="N379" s="3" t="str">
        <f>CONCATENATE("02057390417")</f>
        <v>02057390417</v>
      </c>
      <c r="O379" s="3" t="s">
        <v>494</v>
      </c>
      <c r="P379" s="3" t="s">
        <v>36</v>
      </c>
      <c r="Q379" s="3"/>
      <c r="R379" s="4">
        <v>45996</v>
      </c>
      <c r="S379" s="3" t="s">
        <v>37</v>
      </c>
      <c r="T379" s="3" t="s">
        <v>38</v>
      </c>
      <c r="U379" s="3" t="s">
        <v>39</v>
      </c>
      <c r="V379" s="3">
        <v>622.09</v>
      </c>
      <c r="W379" s="3">
        <v>264.39</v>
      </c>
      <c r="X379" s="3">
        <v>250.39</v>
      </c>
      <c r="Y379" s="3">
        <v>107.31</v>
      </c>
    </row>
    <row r="380" spans="1:25" ht="60.75" x14ac:dyDescent="0.25">
      <c r="A380" s="3" t="s">
        <v>26</v>
      </c>
      <c r="B380" s="3" t="s">
        <v>27</v>
      </c>
      <c r="C380" s="3" t="s">
        <v>28</v>
      </c>
      <c r="D380" s="3" t="s">
        <v>29</v>
      </c>
      <c r="E380" s="3" t="s">
        <v>47</v>
      </c>
      <c r="F380" s="3" t="s">
        <v>31</v>
      </c>
      <c r="G380" s="3" t="s">
        <v>47</v>
      </c>
      <c r="H380" s="3" t="s">
        <v>48</v>
      </c>
      <c r="I380" s="3">
        <v>2025</v>
      </c>
      <c r="J380" s="3" t="str">
        <f>CONCATENATE("54820131412")</f>
        <v>54820131412</v>
      </c>
      <c r="K380" s="3" t="s">
        <v>33</v>
      </c>
      <c r="L380" s="3"/>
      <c r="M380" s="3" t="s">
        <v>131</v>
      </c>
      <c r="N380" s="3" t="str">
        <f>CONCATENATE("PGNMRC98C09A271O")</f>
        <v>PGNMRC98C09A271O</v>
      </c>
      <c r="O380" s="3" t="s">
        <v>495</v>
      </c>
      <c r="P380" s="3" t="s">
        <v>36</v>
      </c>
      <c r="Q380" s="3"/>
      <c r="R380" s="4">
        <v>45996</v>
      </c>
      <c r="S380" s="3" t="s">
        <v>37</v>
      </c>
      <c r="T380" s="3" t="s">
        <v>38</v>
      </c>
      <c r="U380" s="3" t="s">
        <v>39</v>
      </c>
      <c r="V380" s="3">
        <v>176.66</v>
      </c>
      <c r="W380" s="3">
        <v>75.08</v>
      </c>
      <c r="X380" s="3">
        <v>71.11</v>
      </c>
      <c r="Y380" s="3">
        <v>30.47</v>
      </c>
    </row>
    <row r="381" spans="1:25" ht="60.75" x14ac:dyDescent="0.25">
      <c r="A381" s="3" t="s">
        <v>26</v>
      </c>
      <c r="B381" s="3" t="s">
        <v>27</v>
      </c>
      <c r="C381" s="3" t="s">
        <v>28</v>
      </c>
      <c r="D381" s="3" t="s">
        <v>40</v>
      </c>
      <c r="E381" s="3" t="s">
        <v>496</v>
      </c>
      <c r="F381" s="3" t="s">
        <v>42</v>
      </c>
      <c r="G381" s="3" t="s">
        <v>496</v>
      </c>
      <c r="H381" s="3" t="s">
        <v>32</v>
      </c>
      <c r="I381" s="3">
        <v>2025</v>
      </c>
      <c r="J381" s="3" t="str">
        <f>CONCATENATE("54820063433")</f>
        <v>54820063433</v>
      </c>
      <c r="K381" s="3" t="s">
        <v>33</v>
      </c>
      <c r="L381" s="3"/>
      <c r="M381" s="3" t="s">
        <v>131</v>
      </c>
      <c r="N381" s="3" t="str">
        <f>CONCATENATE("CHPGFR55D15H876I")</f>
        <v>CHPGFR55D15H876I</v>
      </c>
      <c r="O381" s="3" t="s">
        <v>497</v>
      </c>
      <c r="P381" s="3" t="s">
        <v>36</v>
      </c>
      <c r="Q381" s="3"/>
      <c r="R381" s="4">
        <v>45996</v>
      </c>
      <c r="S381" s="3" t="s">
        <v>37</v>
      </c>
      <c r="T381" s="3" t="s">
        <v>38</v>
      </c>
      <c r="U381" s="3" t="s">
        <v>39</v>
      </c>
      <c r="V381" s="3">
        <v>140.5</v>
      </c>
      <c r="W381" s="3">
        <v>59.71</v>
      </c>
      <c r="X381" s="3">
        <v>56.55</v>
      </c>
      <c r="Y381" s="3">
        <v>24.24</v>
      </c>
    </row>
    <row r="382" spans="1:25" ht="60.75" x14ac:dyDescent="0.25">
      <c r="A382" s="3" t="s">
        <v>26</v>
      </c>
      <c r="B382" s="3" t="s">
        <v>27</v>
      </c>
      <c r="C382" s="3" t="s">
        <v>28</v>
      </c>
      <c r="D382" s="3" t="s">
        <v>29</v>
      </c>
      <c r="E382" s="3" t="s">
        <v>182</v>
      </c>
      <c r="F382" s="3" t="s">
        <v>31</v>
      </c>
      <c r="G382" s="3" t="s">
        <v>182</v>
      </c>
      <c r="H382" s="3" t="s">
        <v>45</v>
      </c>
      <c r="I382" s="3">
        <v>2025</v>
      </c>
      <c r="J382" s="3" t="str">
        <f>CONCATENATE("54820139639")</f>
        <v>54820139639</v>
      </c>
      <c r="K382" s="3" t="s">
        <v>33</v>
      </c>
      <c r="L382" s="3"/>
      <c r="M382" s="3" t="s">
        <v>131</v>
      </c>
      <c r="N382" s="3" t="str">
        <f>CONCATENATE("GGNMRA53P51L078T")</f>
        <v>GGNMRA53P51L078T</v>
      </c>
      <c r="O382" s="3" t="s">
        <v>498</v>
      </c>
      <c r="P382" s="3" t="s">
        <v>36</v>
      </c>
      <c r="Q382" s="3"/>
      <c r="R382" s="4">
        <v>45996</v>
      </c>
      <c r="S382" s="3" t="s">
        <v>37</v>
      </c>
      <c r="T382" s="3" t="s">
        <v>38</v>
      </c>
      <c r="U382" s="3" t="s">
        <v>39</v>
      </c>
      <c r="V382" s="3">
        <v>266.64</v>
      </c>
      <c r="W382" s="3">
        <v>113.32</v>
      </c>
      <c r="X382" s="3">
        <v>107.32</v>
      </c>
      <c r="Y382" s="3">
        <v>46</v>
      </c>
    </row>
    <row r="383" spans="1:25" ht="60.75" x14ac:dyDescent="0.25">
      <c r="A383" s="3" t="s">
        <v>26</v>
      </c>
      <c r="B383" s="3" t="s">
        <v>27</v>
      </c>
      <c r="C383" s="3" t="s">
        <v>28</v>
      </c>
      <c r="D383" s="3" t="s">
        <v>40</v>
      </c>
      <c r="E383" s="3" t="s">
        <v>41</v>
      </c>
      <c r="F383" s="3" t="s">
        <v>42</v>
      </c>
      <c r="G383" s="3" t="s">
        <v>41</v>
      </c>
      <c r="H383" s="3" t="s">
        <v>32</v>
      </c>
      <c r="I383" s="3">
        <v>2025</v>
      </c>
      <c r="J383" s="3" t="str">
        <f>CONCATENATE("54820097076")</f>
        <v>54820097076</v>
      </c>
      <c r="K383" s="3" t="s">
        <v>33</v>
      </c>
      <c r="L383" s="3"/>
      <c r="M383" s="3" t="s">
        <v>131</v>
      </c>
      <c r="N383" s="3" t="str">
        <f>CONCATENATE("LPSVLM98A15Z155Z")</f>
        <v>LPSVLM98A15Z155Z</v>
      </c>
      <c r="O383" s="3" t="s">
        <v>499</v>
      </c>
      <c r="P383" s="3" t="s">
        <v>36</v>
      </c>
      <c r="Q383" s="3"/>
      <c r="R383" s="4">
        <v>45996</v>
      </c>
      <c r="S383" s="3" t="s">
        <v>37</v>
      </c>
      <c r="T383" s="3" t="s">
        <v>38</v>
      </c>
      <c r="U383" s="3" t="s">
        <v>39</v>
      </c>
      <c r="V383" s="3">
        <v>707.27</v>
      </c>
      <c r="W383" s="3">
        <v>300.58999999999997</v>
      </c>
      <c r="X383" s="3">
        <v>284.68</v>
      </c>
      <c r="Y383" s="3">
        <v>122</v>
      </c>
    </row>
    <row r="384" spans="1:25" ht="60.75" x14ac:dyDescent="0.25">
      <c r="A384" s="3" t="s">
        <v>26</v>
      </c>
      <c r="B384" s="3" t="s">
        <v>27</v>
      </c>
      <c r="C384" s="3" t="s">
        <v>28</v>
      </c>
      <c r="D384" s="3" t="s">
        <v>29</v>
      </c>
      <c r="E384" s="3" t="s">
        <v>68</v>
      </c>
      <c r="F384" s="3" t="s">
        <v>31</v>
      </c>
      <c r="G384" s="3" t="s">
        <v>68</v>
      </c>
      <c r="H384" s="3" t="s">
        <v>32</v>
      </c>
      <c r="I384" s="3">
        <v>2025</v>
      </c>
      <c r="J384" s="3" t="str">
        <f>CONCATENATE("54820105457")</f>
        <v>54820105457</v>
      </c>
      <c r="K384" s="3" t="s">
        <v>33</v>
      </c>
      <c r="L384" s="3"/>
      <c r="M384" s="3" t="s">
        <v>131</v>
      </c>
      <c r="N384" s="3" t="str">
        <f>CONCATENATE("STFMRA66L18B474F")</f>
        <v>STFMRA66L18B474F</v>
      </c>
      <c r="O384" s="3" t="s">
        <v>500</v>
      </c>
      <c r="P384" s="3" t="s">
        <v>36</v>
      </c>
      <c r="Q384" s="3"/>
      <c r="R384" s="4">
        <v>45996</v>
      </c>
      <c r="S384" s="3" t="s">
        <v>37</v>
      </c>
      <c r="T384" s="3" t="s">
        <v>38</v>
      </c>
      <c r="U384" s="3" t="s">
        <v>39</v>
      </c>
      <c r="V384" s="3">
        <v>182.44</v>
      </c>
      <c r="W384" s="3">
        <v>77.540000000000006</v>
      </c>
      <c r="X384" s="3">
        <v>73.430000000000007</v>
      </c>
      <c r="Y384" s="3">
        <v>31.47</v>
      </c>
    </row>
    <row r="385" spans="1:25" ht="60.75" x14ac:dyDescent="0.25">
      <c r="A385" s="3" t="s">
        <v>26</v>
      </c>
      <c r="B385" s="3" t="s">
        <v>27</v>
      </c>
      <c r="C385" s="3" t="s">
        <v>28</v>
      </c>
      <c r="D385" s="3" t="s">
        <v>50</v>
      </c>
      <c r="E385" s="3" t="s">
        <v>51</v>
      </c>
      <c r="F385" s="3" t="s">
        <v>52</v>
      </c>
      <c r="G385" s="3" t="s">
        <v>51</v>
      </c>
      <c r="H385" s="3" t="s">
        <v>48</v>
      </c>
      <c r="I385" s="3">
        <v>2025</v>
      </c>
      <c r="J385" s="3" t="str">
        <f>CONCATENATE("54820121538")</f>
        <v>54820121538</v>
      </c>
      <c r="K385" s="3" t="s">
        <v>33</v>
      </c>
      <c r="L385" s="3"/>
      <c r="M385" s="3" t="s">
        <v>131</v>
      </c>
      <c r="N385" s="3" t="str">
        <f>CONCATENATE("BLDDTL62P56A366K")</f>
        <v>BLDDTL62P56A366K</v>
      </c>
      <c r="O385" s="3" t="s">
        <v>501</v>
      </c>
      <c r="P385" s="3" t="s">
        <v>36</v>
      </c>
      <c r="Q385" s="3"/>
      <c r="R385" s="4">
        <v>45996</v>
      </c>
      <c r="S385" s="3" t="s">
        <v>37</v>
      </c>
      <c r="T385" s="3" t="s">
        <v>38</v>
      </c>
      <c r="U385" s="3" t="s">
        <v>39</v>
      </c>
      <c r="V385" s="3">
        <v>222.9</v>
      </c>
      <c r="W385" s="3">
        <v>94.73</v>
      </c>
      <c r="X385" s="3">
        <v>89.72</v>
      </c>
      <c r="Y385" s="3">
        <v>38.450000000000003</v>
      </c>
    </row>
    <row r="386" spans="1:25" ht="60.75" x14ac:dyDescent="0.25">
      <c r="A386" s="3" t="s">
        <v>26</v>
      </c>
      <c r="B386" s="3" t="s">
        <v>27</v>
      </c>
      <c r="C386" s="3" t="s">
        <v>28</v>
      </c>
      <c r="D386" s="3" t="s">
        <v>29</v>
      </c>
      <c r="E386" s="3" t="s">
        <v>47</v>
      </c>
      <c r="F386" s="3" t="s">
        <v>31</v>
      </c>
      <c r="G386" s="3" t="s">
        <v>47</v>
      </c>
      <c r="H386" s="3" t="s">
        <v>48</v>
      </c>
      <c r="I386" s="3">
        <v>2025</v>
      </c>
      <c r="J386" s="3" t="str">
        <f>CONCATENATE("54820116488")</f>
        <v>54820116488</v>
      </c>
      <c r="K386" s="3" t="s">
        <v>33</v>
      </c>
      <c r="L386" s="3"/>
      <c r="M386" s="3" t="s">
        <v>131</v>
      </c>
      <c r="N386" s="3" t="str">
        <f>CONCATENATE("BRNMHL80C07D451F")</f>
        <v>BRNMHL80C07D451F</v>
      </c>
      <c r="O386" s="3" t="s">
        <v>502</v>
      </c>
      <c r="P386" s="3" t="s">
        <v>36</v>
      </c>
      <c r="Q386" s="3"/>
      <c r="R386" s="4">
        <v>45996</v>
      </c>
      <c r="S386" s="3" t="s">
        <v>37</v>
      </c>
      <c r="T386" s="3" t="s">
        <v>38</v>
      </c>
      <c r="U386" s="3" t="s">
        <v>39</v>
      </c>
      <c r="V386" s="3">
        <v>56.55</v>
      </c>
      <c r="W386" s="3">
        <v>24.03</v>
      </c>
      <c r="X386" s="3">
        <v>22.76</v>
      </c>
      <c r="Y386" s="3">
        <v>9.76</v>
      </c>
    </row>
    <row r="387" spans="1:25" ht="60.75" x14ac:dyDescent="0.25">
      <c r="A387" s="3" t="s">
        <v>26</v>
      </c>
      <c r="B387" s="3" t="s">
        <v>27</v>
      </c>
      <c r="C387" s="3" t="s">
        <v>28</v>
      </c>
      <c r="D387" s="3" t="s">
        <v>50</v>
      </c>
      <c r="E387" s="3" t="s">
        <v>173</v>
      </c>
      <c r="F387" s="3" t="s">
        <v>52</v>
      </c>
      <c r="G387" s="3" t="s">
        <v>173</v>
      </c>
      <c r="H387" s="3" t="s">
        <v>45</v>
      </c>
      <c r="I387" s="3">
        <v>2025</v>
      </c>
      <c r="J387" s="3" t="str">
        <f>CONCATENATE("54820047899")</f>
        <v>54820047899</v>
      </c>
      <c r="K387" s="3" t="s">
        <v>33</v>
      </c>
      <c r="L387" s="3"/>
      <c r="M387" s="3" t="s">
        <v>131</v>
      </c>
      <c r="N387" s="3" t="str">
        <f>CONCATENATE("DNGTMS86S12H294H")</f>
        <v>DNGTMS86S12H294H</v>
      </c>
      <c r="O387" s="3" t="s">
        <v>503</v>
      </c>
      <c r="P387" s="3" t="s">
        <v>36</v>
      </c>
      <c r="Q387" s="3"/>
      <c r="R387" s="4">
        <v>45996</v>
      </c>
      <c r="S387" s="3" t="s">
        <v>37</v>
      </c>
      <c r="T387" s="3" t="s">
        <v>38</v>
      </c>
      <c r="U387" s="3" t="s">
        <v>39</v>
      </c>
      <c r="V387" s="3">
        <v>47.32</v>
      </c>
      <c r="W387" s="3">
        <v>20.11</v>
      </c>
      <c r="X387" s="3">
        <v>19.05</v>
      </c>
      <c r="Y387" s="3">
        <v>8.16</v>
      </c>
    </row>
    <row r="388" spans="1:25" ht="60.75" x14ac:dyDescent="0.25">
      <c r="A388" s="3" t="s">
        <v>26</v>
      </c>
      <c r="B388" s="3" t="s">
        <v>27</v>
      </c>
      <c r="C388" s="3" t="s">
        <v>28</v>
      </c>
      <c r="D388" s="3" t="s">
        <v>50</v>
      </c>
      <c r="E388" s="3" t="s">
        <v>147</v>
      </c>
      <c r="F388" s="3" t="s">
        <v>52</v>
      </c>
      <c r="G388" s="3" t="s">
        <v>147</v>
      </c>
      <c r="H388" s="3" t="s">
        <v>45</v>
      </c>
      <c r="I388" s="3">
        <v>2025</v>
      </c>
      <c r="J388" s="3" t="str">
        <f>CONCATENATE("54820106885")</f>
        <v>54820106885</v>
      </c>
      <c r="K388" s="3" t="s">
        <v>33</v>
      </c>
      <c r="L388" s="3"/>
      <c r="M388" s="3" t="s">
        <v>131</v>
      </c>
      <c r="N388" s="3" t="str">
        <f>CONCATENATE("NCLCLL53C02G514U")</f>
        <v>NCLCLL53C02G514U</v>
      </c>
      <c r="O388" s="3" t="s">
        <v>504</v>
      </c>
      <c r="P388" s="3" t="s">
        <v>36</v>
      </c>
      <c r="Q388" s="3"/>
      <c r="R388" s="4">
        <v>45996</v>
      </c>
      <c r="S388" s="3" t="s">
        <v>37</v>
      </c>
      <c r="T388" s="3" t="s">
        <v>38</v>
      </c>
      <c r="U388" s="3" t="s">
        <v>39</v>
      </c>
      <c r="V388" s="3">
        <v>372.1</v>
      </c>
      <c r="W388" s="3">
        <v>158.13999999999999</v>
      </c>
      <c r="X388" s="3">
        <v>149.77000000000001</v>
      </c>
      <c r="Y388" s="3">
        <v>64.19</v>
      </c>
    </row>
    <row r="389" spans="1:25" ht="72.75" x14ac:dyDescent="0.25">
      <c r="A389" s="3" t="s">
        <v>26</v>
      </c>
      <c r="B389" s="3" t="s">
        <v>27</v>
      </c>
      <c r="C389" s="3" t="s">
        <v>28</v>
      </c>
      <c r="D389" s="3" t="s">
        <v>50</v>
      </c>
      <c r="E389" s="3" t="s">
        <v>51</v>
      </c>
      <c r="F389" s="3" t="s">
        <v>52</v>
      </c>
      <c r="G389" s="3" t="s">
        <v>51</v>
      </c>
      <c r="H389" s="3" t="s">
        <v>48</v>
      </c>
      <c r="I389" s="3">
        <v>2025</v>
      </c>
      <c r="J389" s="3" t="str">
        <f>CONCATENATE("54820110234")</f>
        <v>54820110234</v>
      </c>
      <c r="K389" s="3" t="s">
        <v>33</v>
      </c>
      <c r="L389" s="3"/>
      <c r="M389" s="3" t="s">
        <v>131</v>
      </c>
      <c r="N389" s="3" t="str">
        <f>CONCATENATE("MRCMSM67S26I461U")</f>
        <v>MRCMSM67S26I461U</v>
      </c>
      <c r="O389" s="3" t="s">
        <v>505</v>
      </c>
      <c r="P389" s="3" t="s">
        <v>36</v>
      </c>
      <c r="Q389" s="3"/>
      <c r="R389" s="4">
        <v>45996</v>
      </c>
      <c r="S389" s="3" t="s">
        <v>37</v>
      </c>
      <c r="T389" s="3" t="s">
        <v>38</v>
      </c>
      <c r="U389" s="3" t="s">
        <v>39</v>
      </c>
      <c r="V389" s="3">
        <v>117.49</v>
      </c>
      <c r="W389" s="3">
        <v>49.93</v>
      </c>
      <c r="X389" s="3">
        <v>47.29</v>
      </c>
      <c r="Y389" s="3">
        <v>20.27</v>
      </c>
    </row>
    <row r="390" spans="1:25" ht="72.75" x14ac:dyDescent="0.25">
      <c r="A390" s="3" t="s">
        <v>26</v>
      </c>
      <c r="B390" s="3" t="s">
        <v>27</v>
      </c>
      <c r="C390" s="3" t="s">
        <v>28</v>
      </c>
      <c r="D390" s="3" t="s">
        <v>29</v>
      </c>
      <c r="E390" s="3" t="s">
        <v>228</v>
      </c>
      <c r="F390" s="3" t="s">
        <v>31</v>
      </c>
      <c r="G390" s="3" t="s">
        <v>228</v>
      </c>
      <c r="H390" s="3" t="s">
        <v>45</v>
      </c>
      <c r="I390" s="3">
        <v>2025</v>
      </c>
      <c r="J390" s="3" t="str">
        <f>CONCATENATE("54820051818")</f>
        <v>54820051818</v>
      </c>
      <c r="K390" s="3" t="s">
        <v>33</v>
      </c>
      <c r="L390" s="3"/>
      <c r="M390" s="3" t="s">
        <v>131</v>
      </c>
      <c r="N390" s="3" t="str">
        <f>CONCATENATE("PGNMEO56R08G453H")</f>
        <v>PGNMEO56R08G453H</v>
      </c>
      <c r="O390" s="3" t="s">
        <v>506</v>
      </c>
      <c r="P390" s="3" t="s">
        <v>36</v>
      </c>
      <c r="Q390" s="3"/>
      <c r="R390" s="4">
        <v>45996</v>
      </c>
      <c r="S390" s="3" t="s">
        <v>37</v>
      </c>
      <c r="T390" s="3" t="s">
        <v>38</v>
      </c>
      <c r="U390" s="3" t="s">
        <v>39</v>
      </c>
      <c r="V390" s="3">
        <v>123.26</v>
      </c>
      <c r="W390" s="3">
        <v>52.39</v>
      </c>
      <c r="X390" s="3">
        <v>49.61</v>
      </c>
      <c r="Y390" s="3">
        <v>21.26</v>
      </c>
    </row>
    <row r="391" spans="1:25" ht="36.75" x14ac:dyDescent="0.25">
      <c r="A391" s="3" t="s">
        <v>26</v>
      </c>
      <c r="B391" s="3" t="s">
        <v>27</v>
      </c>
      <c r="C391" s="3" t="s">
        <v>28</v>
      </c>
      <c r="D391" s="3" t="s">
        <v>50</v>
      </c>
      <c r="E391" s="3" t="s">
        <v>147</v>
      </c>
      <c r="F391" s="3" t="s">
        <v>52</v>
      </c>
      <c r="G391" s="3" t="s">
        <v>147</v>
      </c>
      <c r="H391" s="3" t="s">
        <v>45</v>
      </c>
      <c r="I391" s="3">
        <v>2025</v>
      </c>
      <c r="J391" s="3" t="str">
        <f>CONCATENATE("54820145354")</f>
        <v>54820145354</v>
      </c>
      <c r="K391" s="3" t="s">
        <v>33</v>
      </c>
      <c r="L391" s="3"/>
      <c r="M391" s="3" t="s">
        <v>131</v>
      </c>
      <c r="N391" s="3" t="str">
        <f>CONCATENATE("01026620417")</f>
        <v>01026620417</v>
      </c>
      <c r="O391" s="3" t="s">
        <v>507</v>
      </c>
      <c r="P391" s="3" t="s">
        <v>36</v>
      </c>
      <c r="Q391" s="3"/>
      <c r="R391" s="4">
        <v>45996</v>
      </c>
      <c r="S391" s="3" t="s">
        <v>37</v>
      </c>
      <c r="T391" s="3" t="s">
        <v>38</v>
      </c>
      <c r="U391" s="3" t="s">
        <v>39</v>
      </c>
      <c r="V391" s="3">
        <v>623.35</v>
      </c>
      <c r="W391" s="3">
        <v>264.92</v>
      </c>
      <c r="X391" s="3">
        <v>250.9</v>
      </c>
      <c r="Y391" s="3">
        <v>107.53</v>
      </c>
    </row>
    <row r="392" spans="1:25" ht="60.75" x14ac:dyDescent="0.25">
      <c r="A392" s="3" t="s">
        <v>26</v>
      </c>
      <c r="B392" s="3" t="s">
        <v>27</v>
      </c>
      <c r="C392" s="3" t="s">
        <v>28</v>
      </c>
      <c r="D392" s="3" t="s">
        <v>50</v>
      </c>
      <c r="E392" s="3" t="s">
        <v>60</v>
      </c>
      <c r="F392" s="3" t="s">
        <v>52</v>
      </c>
      <c r="G392" s="3" t="s">
        <v>60</v>
      </c>
      <c r="H392" s="3" t="s">
        <v>45</v>
      </c>
      <c r="I392" s="3">
        <v>2025</v>
      </c>
      <c r="J392" s="3" t="str">
        <f>CONCATENATE("54820089180")</f>
        <v>54820089180</v>
      </c>
      <c r="K392" s="3" t="s">
        <v>33</v>
      </c>
      <c r="L392" s="3"/>
      <c r="M392" s="3" t="s">
        <v>131</v>
      </c>
      <c r="N392" s="3" t="str">
        <f>CONCATENATE("MRCSVN37E06B352H")</f>
        <v>MRCSVN37E06B352H</v>
      </c>
      <c r="O392" s="3" t="s">
        <v>508</v>
      </c>
      <c r="P392" s="3" t="s">
        <v>36</v>
      </c>
      <c r="Q392" s="3"/>
      <c r="R392" s="4">
        <v>45996</v>
      </c>
      <c r="S392" s="3" t="s">
        <v>37</v>
      </c>
      <c r="T392" s="3" t="s">
        <v>38</v>
      </c>
      <c r="U392" s="3" t="s">
        <v>39</v>
      </c>
      <c r="V392" s="3">
        <v>227.13</v>
      </c>
      <c r="W392" s="3">
        <v>96.53</v>
      </c>
      <c r="X392" s="3">
        <v>91.42</v>
      </c>
      <c r="Y392" s="3">
        <v>39.18</v>
      </c>
    </row>
    <row r="393" spans="1:25" ht="60.75" x14ac:dyDescent="0.25">
      <c r="A393" s="3" t="s">
        <v>26</v>
      </c>
      <c r="B393" s="3" t="s">
        <v>27</v>
      </c>
      <c r="C393" s="3" t="s">
        <v>28</v>
      </c>
      <c r="D393" s="3" t="s">
        <v>50</v>
      </c>
      <c r="E393" s="3" t="s">
        <v>147</v>
      </c>
      <c r="F393" s="3" t="s">
        <v>52</v>
      </c>
      <c r="G393" s="3" t="s">
        <v>147</v>
      </c>
      <c r="H393" s="3" t="s">
        <v>45</v>
      </c>
      <c r="I393" s="3">
        <v>2025</v>
      </c>
      <c r="J393" s="3" t="str">
        <f>CONCATENATE("54820089412")</f>
        <v>54820089412</v>
      </c>
      <c r="K393" s="3" t="s">
        <v>33</v>
      </c>
      <c r="L393" s="3"/>
      <c r="M393" s="3" t="s">
        <v>131</v>
      </c>
      <c r="N393" s="3" t="str">
        <f>CONCATENATE("BTTLLN36P47L500T")</f>
        <v>BTTLLN36P47L500T</v>
      </c>
      <c r="O393" s="3" t="s">
        <v>509</v>
      </c>
      <c r="P393" s="3" t="s">
        <v>36</v>
      </c>
      <c r="Q393" s="3"/>
      <c r="R393" s="4">
        <v>45996</v>
      </c>
      <c r="S393" s="3" t="s">
        <v>37</v>
      </c>
      <c r="T393" s="3" t="s">
        <v>38</v>
      </c>
      <c r="U393" s="3" t="s">
        <v>39</v>
      </c>
      <c r="V393" s="3">
        <v>102.7</v>
      </c>
      <c r="W393" s="3">
        <v>43.65</v>
      </c>
      <c r="X393" s="3">
        <v>41.34</v>
      </c>
      <c r="Y393" s="3">
        <v>17.71</v>
      </c>
    </row>
    <row r="394" spans="1:25" ht="60.75" x14ac:dyDescent="0.25">
      <c r="A394" s="3" t="s">
        <v>26</v>
      </c>
      <c r="B394" s="3" t="s">
        <v>27</v>
      </c>
      <c r="C394" s="3" t="s">
        <v>28</v>
      </c>
      <c r="D394" s="3" t="s">
        <v>29</v>
      </c>
      <c r="E394" s="3" t="s">
        <v>233</v>
      </c>
      <c r="F394" s="3" t="s">
        <v>31</v>
      </c>
      <c r="G394" s="3" t="s">
        <v>233</v>
      </c>
      <c r="H394" s="3" t="s">
        <v>96</v>
      </c>
      <c r="I394" s="3">
        <v>2025</v>
      </c>
      <c r="J394" s="3" t="str">
        <f>CONCATENATE("54820063813")</f>
        <v>54820063813</v>
      </c>
      <c r="K394" s="3" t="s">
        <v>33</v>
      </c>
      <c r="L394" s="3"/>
      <c r="M394" s="3" t="s">
        <v>131</v>
      </c>
      <c r="N394" s="3" t="str">
        <f>CONCATENATE("VLRGDU58L28H501Y")</f>
        <v>VLRGDU58L28H501Y</v>
      </c>
      <c r="O394" s="3" t="s">
        <v>510</v>
      </c>
      <c r="P394" s="3" t="s">
        <v>36</v>
      </c>
      <c r="Q394" s="3"/>
      <c r="R394" s="4">
        <v>45996</v>
      </c>
      <c r="S394" s="3" t="s">
        <v>37</v>
      </c>
      <c r="T394" s="3" t="s">
        <v>38</v>
      </c>
      <c r="U394" s="3" t="s">
        <v>39</v>
      </c>
      <c r="V394" s="3">
        <v>106.4</v>
      </c>
      <c r="W394" s="3">
        <v>45.22</v>
      </c>
      <c r="X394" s="3">
        <v>42.83</v>
      </c>
      <c r="Y394" s="3">
        <v>18.350000000000001</v>
      </c>
    </row>
    <row r="395" spans="1:25" ht="36.75" x14ac:dyDescent="0.25">
      <c r="A395" s="3" t="s">
        <v>26</v>
      </c>
      <c r="B395" s="3" t="s">
        <v>27</v>
      </c>
      <c r="C395" s="3" t="s">
        <v>28</v>
      </c>
      <c r="D395" s="3" t="s">
        <v>29</v>
      </c>
      <c r="E395" s="3" t="s">
        <v>72</v>
      </c>
      <c r="F395" s="3" t="s">
        <v>31</v>
      </c>
      <c r="G395" s="3" t="s">
        <v>72</v>
      </c>
      <c r="H395" s="3" t="s">
        <v>45</v>
      </c>
      <c r="I395" s="3">
        <v>2025</v>
      </c>
      <c r="J395" s="3" t="str">
        <f>CONCATENATE("54820119342")</f>
        <v>54820119342</v>
      </c>
      <c r="K395" s="3" t="s">
        <v>33</v>
      </c>
      <c r="L395" s="3"/>
      <c r="M395" s="3" t="s">
        <v>131</v>
      </c>
      <c r="N395" s="3" t="str">
        <f>CONCATENATE("02534490418")</f>
        <v>02534490418</v>
      </c>
      <c r="O395" s="3" t="s">
        <v>511</v>
      </c>
      <c r="P395" s="3" t="s">
        <v>36</v>
      </c>
      <c r="Q395" s="3"/>
      <c r="R395" s="4">
        <v>45996</v>
      </c>
      <c r="S395" s="3" t="s">
        <v>37</v>
      </c>
      <c r="T395" s="3" t="s">
        <v>38</v>
      </c>
      <c r="U395" s="3" t="s">
        <v>39</v>
      </c>
      <c r="V395" s="3">
        <v>200.72</v>
      </c>
      <c r="W395" s="3">
        <v>85.31</v>
      </c>
      <c r="X395" s="3">
        <v>80.790000000000006</v>
      </c>
      <c r="Y395" s="3">
        <v>34.619999999999997</v>
      </c>
    </row>
    <row r="396" spans="1:25" ht="60.75" x14ac:dyDescent="0.25">
      <c r="A396" s="3" t="s">
        <v>26</v>
      </c>
      <c r="B396" s="3" t="s">
        <v>27</v>
      </c>
      <c r="C396" s="3" t="s">
        <v>28</v>
      </c>
      <c r="D396" s="3" t="s">
        <v>29</v>
      </c>
      <c r="E396" s="3" t="s">
        <v>119</v>
      </c>
      <c r="F396" s="3" t="s">
        <v>31</v>
      </c>
      <c r="G396" s="3" t="s">
        <v>119</v>
      </c>
      <c r="H396" s="3" t="s">
        <v>96</v>
      </c>
      <c r="I396" s="3">
        <v>2025</v>
      </c>
      <c r="J396" s="3" t="str">
        <f>CONCATENATE("54820071154")</f>
        <v>54820071154</v>
      </c>
      <c r="K396" s="3" t="s">
        <v>33</v>
      </c>
      <c r="L396" s="3"/>
      <c r="M396" s="3" t="s">
        <v>131</v>
      </c>
      <c r="N396" s="3" t="str">
        <f>CONCATENATE("MCAMRA44P02D691L")</f>
        <v>MCAMRA44P02D691L</v>
      </c>
      <c r="O396" s="3" t="s">
        <v>512</v>
      </c>
      <c r="P396" s="3" t="s">
        <v>36</v>
      </c>
      <c r="Q396" s="3"/>
      <c r="R396" s="4">
        <v>45996</v>
      </c>
      <c r="S396" s="3" t="s">
        <v>37</v>
      </c>
      <c r="T396" s="3" t="s">
        <v>38</v>
      </c>
      <c r="U396" s="3" t="s">
        <v>39</v>
      </c>
      <c r="V396" s="3">
        <v>97.56</v>
      </c>
      <c r="W396" s="3">
        <v>41.46</v>
      </c>
      <c r="X396" s="3">
        <v>39.270000000000003</v>
      </c>
      <c r="Y396" s="3">
        <v>16.829999999999998</v>
      </c>
    </row>
    <row r="397" spans="1:25" ht="60.75" x14ac:dyDescent="0.25">
      <c r="A397" s="3" t="s">
        <v>26</v>
      </c>
      <c r="B397" s="3" t="s">
        <v>27</v>
      </c>
      <c r="C397" s="3" t="s">
        <v>28</v>
      </c>
      <c r="D397" s="3" t="s">
        <v>50</v>
      </c>
      <c r="E397" s="3" t="s">
        <v>513</v>
      </c>
      <c r="F397" s="3" t="s">
        <v>52</v>
      </c>
      <c r="G397" s="3" t="s">
        <v>513</v>
      </c>
      <c r="H397" s="3" t="s">
        <v>96</v>
      </c>
      <c r="I397" s="3">
        <v>2025</v>
      </c>
      <c r="J397" s="3" t="str">
        <f>CONCATENATE("54820161187")</f>
        <v>54820161187</v>
      </c>
      <c r="K397" s="3" t="s">
        <v>33</v>
      </c>
      <c r="L397" s="3"/>
      <c r="M397" s="3" t="s">
        <v>131</v>
      </c>
      <c r="N397" s="3" t="str">
        <f>CONCATENATE("SMNSVN72R31A462F")</f>
        <v>SMNSVN72R31A462F</v>
      </c>
      <c r="O397" s="3" t="s">
        <v>514</v>
      </c>
      <c r="P397" s="3" t="s">
        <v>36</v>
      </c>
      <c r="Q397" s="3"/>
      <c r="R397" s="4">
        <v>45996</v>
      </c>
      <c r="S397" s="3" t="s">
        <v>37</v>
      </c>
      <c r="T397" s="3" t="s">
        <v>38</v>
      </c>
      <c r="U397" s="3" t="s">
        <v>39</v>
      </c>
      <c r="V397" s="3">
        <v>193.84</v>
      </c>
      <c r="W397" s="3">
        <v>82.38</v>
      </c>
      <c r="X397" s="3">
        <v>78.02</v>
      </c>
      <c r="Y397" s="3">
        <v>33.44</v>
      </c>
    </row>
    <row r="398" spans="1:25" ht="60.75" x14ac:dyDescent="0.25">
      <c r="A398" s="3" t="s">
        <v>26</v>
      </c>
      <c r="B398" s="3" t="s">
        <v>27</v>
      </c>
      <c r="C398" s="3" t="s">
        <v>28</v>
      </c>
      <c r="D398" s="3" t="s">
        <v>50</v>
      </c>
      <c r="E398" s="3" t="s">
        <v>173</v>
      </c>
      <c r="F398" s="3" t="s">
        <v>52</v>
      </c>
      <c r="G398" s="3" t="s">
        <v>173</v>
      </c>
      <c r="H398" s="3" t="s">
        <v>45</v>
      </c>
      <c r="I398" s="3">
        <v>2025</v>
      </c>
      <c r="J398" s="3" t="str">
        <f>CONCATENATE("54820079785")</f>
        <v>54820079785</v>
      </c>
      <c r="K398" s="3" t="s">
        <v>33</v>
      </c>
      <c r="L398" s="3"/>
      <c r="M398" s="3" t="s">
        <v>131</v>
      </c>
      <c r="N398" s="3" t="str">
        <f>CONCATENATE("GRRRNT67T17F136R")</f>
        <v>GRRRNT67T17F136R</v>
      </c>
      <c r="O398" s="3" t="s">
        <v>515</v>
      </c>
      <c r="P398" s="3" t="s">
        <v>36</v>
      </c>
      <c r="Q398" s="3"/>
      <c r="R398" s="4">
        <v>45996</v>
      </c>
      <c r="S398" s="3" t="s">
        <v>37</v>
      </c>
      <c r="T398" s="3" t="s">
        <v>38</v>
      </c>
      <c r="U398" s="3" t="s">
        <v>39</v>
      </c>
      <c r="V398" s="3">
        <v>217.37</v>
      </c>
      <c r="W398" s="3">
        <v>92.38</v>
      </c>
      <c r="X398" s="3">
        <v>87.49</v>
      </c>
      <c r="Y398" s="3">
        <v>37.5</v>
      </c>
    </row>
    <row r="399" spans="1:25" ht="60.75" x14ac:dyDescent="0.25">
      <c r="A399" s="3" t="s">
        <v>26</v>
      </c>
      <c r="B399" s="3" t="s">
        <v>27</v>
      </c>
      <c r="C399" s="3" t="s">
        <v>28</v>
      </c>
      <c r="D399" s="3" t="s">
        <v>40</v>
      </c>
      <c r="E399" s="3" t="s">
        <v>99</v>
      </c>
      <c r="F399" s="3" t="s">
        <v>42</v>
      </c>
      <c r="G399" s="3" t="s">
        <v>99</v>
      </c>
      <c r="H399" s="3" t="s">
        <v>32</v>
      </c>
      <c r="I399" s="3">
        <v>2025</v>
      </c>
      <c r="J399" s="3" t="str">
        <f>CONCATENATE("54820105945")</f>
        <v>54820105945</v>
      </c>
      <c r="K399" s="3" t="s">
        <v>33</v>
      </c>
      <c r="L399" s="3"/>
      <c r="M399" s="3" t="s">
        <v>131</v>
      </c>
      <c r="N399" s="3" t="str">
        <f>CONCATENATE("SPCVLR70R16M078Y")</f>
        <v>SPCVLR70R16M078Y</v>
      </c>
      <c r="O399" s="3" t="s">
        <v>516</v>
      </c>
      <c r="P399" s="3" t="s">
        <v>36</v>
      </c>
      <c r="Q399" s="3"/>
      <c r="R399" s="4">
        <v>45996</v>
      </c>
      <c r="S399" s="3" t="s">
        <v>37</v>
      </c>
      <c r="T399" s="3" t="s">
        <v>38</v>
      </c>
      <c r="U399" s="3" t="s">
        <v>39</v>
      </c>
      <c r="V399" s="5">
        <v>1012.42</v>
      </c>
      <c r="W399" s="3">
        <v>430.28</v>
      </c>
      <c r="X399" s="3">
        <v>407.5</v>
      </c>
      <c r="Y399" s="3">
        <v>174.64</v>
      </c>
    </row>
    <row r="400" spans="1:25" ht="60.75" x14ac:dyDescent="0.25">
      <c r="A400" s="3" t="s">
        <v>26</v>
      </c>
      <c r="B400" s="3" t="s">
        <v>27</v>
      </c>
      <c r="C400" s="3" t="s">
        <v>28</v>
      </c>
      <c r="D400" s="3" t="s">
        <v>50</v>
      </c>
      <c r="E400" s="3" t="s">
        <v>147</v>
      </c>
      <c r="F400" s="3" t="s">
        <v>52</v>
      </c>
      <c r="G400" s="3" t="s">
        <v>147</v>
      </c>
      <c r="H400" s="3" t="s">
        <v>45</v>
      </c>
      <c r="I400" s="3">
        <v>2025</v>
      </c>
      <c r="J400" s="3" t="str">
        <f>CONCATENATE("54820099635")</f>
        <v>54820099635</v>
      </c>
      <c r="K400" s="3" t="s">
        <v>33</v>
      </c>
      <c r="L400" s="3"/>
      <c r="M400" s="3" t="s">
        <v>131</v>
      </c>
      <c r="N400" s="3" t="str">
        <f>CONCATENATE("CSANGL30E41A895U")</f>
        <v>CSANGL30E41A895U</v>
      </c>
      <c r="O400" s="3" t="s">
        <v>517</v>
      </c>
      <c r="P400" s="3" t="s">
        <v>36</v>
      </c>
      <c r="Q400" s="3"/>
      <c r="R400" s="4">
        <v>45996</v>
      </c>
      <c r="S400" s="3" t="s">
        <v>37</v>
      </c>
      <c r="T400" s="3" t="s">
        <v>38</v>
      </c>
      <c r="U400" s="3" t="s">
        <v>39</v>
      </c>
      <c r="V400" s="3">
        <v>853.36</v>
      </c>
      <c r="W400" s="3">
        <v>362.68</v>
      </c>
      <c r="X400" s="3">
        <v>343.48</v>
      </c>
      <c r="Y400" s="3">
        <v>147.19999999999999</v>
      </c>
    </row>
    <row r="401" spans="1:25" ht="60.75" x14ac:dyDescent="0.25">
      <c r="A401" s="3" t="s">
        <v>26</v>
      </c>
      <c r="B401" s="3" t="s">
        <v>27</v>
      </c>
      <c r="C401" s="3" t="s">
        <v>28</v>
      </c>
      <c r="D401" s="3" t="s">
        <v>29</v>
      </c>
      <c r="E401" s="3" t="s">
        <v>47</v>
      </c>
      <c r="F401" s="3" t="s">
        <v>31</v>
      </c>
      <c r="G401" s="3" t="s">
        <v>47</v>
      </c>
      <c r="H401" s="3" t="s">
        <v>48</v>
      </c>
      <c r="I401" s="3">
        <v>2025</v>
      </c>
      <c r="J401" s="3" t="str">
        <f>CONCATENATE("54820108907")</f>
        <v>54820108907</v>
      </c>
      <c r="K401" s="3" t="s">
        <v>33</v>
      </c>
      <c r="L401" s="3"/>
      <c r="M401" s="3" t="s">
        <v>131</v>
      </c>
      <c r="N401" s="3" t="str">
        <f>CONCATENATE("PVRLLL65B11D451S")</f>
        <v>PVRLLL65B11D451S</v>
      </c>
      <c r="O401" s="3" t="s">
        <v>518</v>
      </c>
      <c r="P401" s="3" t="s">
        <v>36</v>
      </c>
      <c r="Q401" s="3"/>
      <c r="R401" s="4">
        <v>45996</v>
      </c>
      <c r="S401" s="3" t="s">
        <v>37</v>
      </c>
      <c r="T401" s="3" t="s">
        <v>38</v>
      </c>
      <c r="U401" s="3" t="s">
        <v>39</v>
      </c>
      <c r="V401" s="3">
        <v>373.86</v>
      </c>
      <c r="W401" s="3">
        <v>158.88999999999999</v>
      </c>
      <c r="X401" s="3">
        <v>150.47999999999999</v>
      </c>
      <c r="Y401" s="3">
        <v>64.489999999999995</v>
      </c>
    </row>
    <row r="402" spans="1:25" ht="60.75" x14ac:dyDescent="0.25">
      <c r="A402" s="3" t="s">
        <v>26</v>
      </c>
      <c r="B402" s="3" t="s">
        <v>27</v>
      </c>
      <c r="C402" s="3" t="s">
        <v>28</v>
      </c>
      <c r="D402" s="3" t="s">
        <v>29</v>
      </c>
      <c r="E402" s="3" t="s">
        <v>80</v>
      </c>
      <c r="F402" s="3" t="s">
        <v>31</v>
      </c>
      <c r="G402" s="3" t="s">
        <v>80</v>
      </c>
      <c r="H402" s="3" t="s">
        <v>45</v>
      </c>
      <c r="I402" s="3">
        <v>2025</v>
      </c>
      <c r="J402" s="3" t="str">
        <f>CONCATENATE("54820048657")</f>
        <v>54820048657</v>
      </c>
      <c r="K402" s="3" t="s">
        <v>33</v>
      </c>
      <c r="L402" s="3"/>
      <c r="M402" s="3" t="s">
        <v>131</v>
      </c>
      <c r="N402" s="3" t="str">
        <f>CONCATENATE("CRSMRA34E08H958P")</f>
        <v>CRSMRA34E08H958P</v>
      </c>
      <c r="O402" s="3" t="s">
        <v>519</v>
      </c>
      <c r="P402" s="3" t="s">
        <v>36</v>
      </c>
      <c r="Q402" s="3"/>
      <c r="R402" s="4">
        <v>45996</v>
      </c>
      <c r="S402" s="3" t="s">
        <v>37</v>
      </c>
      <c r="T402" s="3" t="s">
        <v>38</v>
      </c>
      <c r="U402" s="3" t="s">
        <v>39</v>
      </c>
      <c r="V402" s="3">
        <v>139.85</v>
      </c>
      <c r="W402" s="3">
        <v>59.44</v>
      </c>
      <c r="X402" s="3">
        <v>56.29</v>
      </c>
      <c r="Y402" s="3">
        <v>24.12</v>
      </c>
    </row>
    <row r="403" spans="1:25" ht="60.75" x14ac:dyDescent="0.25">
      <c r="A403" s="3" t="s">
        <v>26</v>
      </c>
      <c r="B403" s="3" t="s">
        <v>27</v>
      </c>
      <c r="C403" s="3" t="s">
        <v>28</v>
      </c>
      <c r="D403" s="3" t="s">
        <v>29</v>
      </c>
      <c r="E403" s="3" t="s">
        <v>47</v>
      </c>
      <c r="F403" s="3" t="s">
        <v>31</v>
      </c>
      <c r="G403" s="3" t="s">
        <v>47</v>
      </c>
      <c r="H403" s="3" t="s">
        <v>48</v>
      </c>
      <c r="I403" s="3">
        <v>2025</v>
      </c>
      <c r="J403" s="3" t="str">
        <f>CONCATENATE("54820151451")</f>
        <v>54820151451</v>
      </c>
      <c r="K403" s="3" t="s">
        <v>33</v>
      </c>
      <c r="L403" s="3"/>
      <c r="M403" s="3" t="s">
        <v>131</v>
      </c>
      <c r="N403" s="3" t="str">
        <f>CONCATENATE("PLCFNC67M25C524X")</f>
        <v>PLCFNC67M25C524X</v>
      </c>
      <c r="O403" s="3" t="s">
        <v>199</v>
      </c>
      <c r="P403" s="3" t="s">
        <v>36</v>
      </c>
      <c r="Q403" s="3"/>
      <c r="R403" s="4">
        <v>45996</v>
      </c>
      <c r="S403" s="3" t="s">
        <v>37</v>
      </c>
      <c r="T403" s="3" t="s">
        <v>38</v>
      </c>
      <c r="U403" s="3" t="s">
        <v>39</v>
      </c>
      <c r="V403" s="3">
        <v>350.58</v>
      </c>
      <c r="W403" s="3">
        <v>149</v>
      </c>
      <c r="X403" s="3">
        <v>141.11000000000001</v>
      </c>
      <c r="Y403" s="3">
        <v>60.47</v>
      </c>
    </row>
    <row r="404" spans="1:25" ht="60.75" x14ac:dyDescent="0.25">
      <c r="A404" s="3" t="s">
        <v>26</v>
      </c>
      <c r="B404" s="3" t="s">
        <v>27</v>
      </c>
      <c r="C404" s="3" t="s">
        <v>28</v>
      </c>
      <c r="D404" s="3" t="s">
        <v>50</v>
      </c>
      <c r="E404" s="3" t="s">
        <v>60</v>
      </c>
      <c r="F404" s="3" t="s">
        <v>52</v>
      </c>
      <c r="G404" s="3" t="s">
        <v>60</v>
      </c>
      <c r="H404" s="3" t="s">
        <v>45</v>
      </c>
      <c r="I404" s="3">
        <v>2025</v>
      </c>
      <c r="J404" s="3" t="str">
        <f>CONCATENATE("54820107917")</f>
        <v>54820107917</v>
      </c>
      <c r="K404" s="3" t="s">
        <v>33</v>
      </c>
      <c r="L404" s="3"/>
      <c r="M404" s="3" t="s">
        <v>131</v>
      </c>
      <c r="N404" s="3" t="str">
        <f>CONCATENATE("BLDLSN52L28B352I")</f>
        <v>BLDLSN52L28B352I</v>
      </c>
      <c r="O404" s="3" t="s">
        <v>520</v>
      </c>
      <c r="P404" s="3" t="s">
        <v>36</v>
      </c>
      <c r="Q404" s="3"/>
      <c r="R404" s="4">
        <v>45996</v>
      </c>
      <c r="S404" s="3" t="s">
        <v>37</v>
      </c>
      <c r="T404" s="3" t="s">
        <v>38</v>
      </c>
      <c r="U404" s="3" t="s">
        <v>39</v>
      </c>
      <c r="V404" s="3">
        <v>98.37</v>
      </c>
      <c r="W404" s="3">
        <v>41.81</v>
      </c>
      <c r="X404" s="3">
        <v>39.590000000000003</v>
      </c>
      <c r="Y404" s="3">
        <v>16.97</v>
      </c>
    </row>
    <row r="405" spans="1:25" ht="60.75" x14ac:dyDescent="0.25">
      <c r="A405" s="3" t="s">
        <v>26</v>
      </c>
      <c r="B405" s="3" t="s">
        <v>27</v>
      </c>
      <c r="C405" s="3" t="s">
        <v>28</v>
      </c>
      <c r="D405" s="3" t="s">
        <v>91</v>
      </c>
      <c r="E405" s="3" t="s">
        <v>92</v>
      </c>
      <c r="F405" s="3" t="s">
        <v>93</v>
      </c>
      <c r="G405" s="3" t="s">
        <v>92</v>
      </c>
      <c r="H405" s="3" t="s">
        <v>48</v>
      </c>
      <c r="I405" s="3">
        <v>2025</v>
      </c>
      <c r="J405" s="3" t="str">
        <f>CONCATENATE("54820131503")</f>
        <v>54820131503</v>
      </c>
      <c r="K405" s="3" t="s">
        <v>33</v>
      </c>
      <c r="L405" s="3"/>
      <c r="M405" s="3" t="s">
        <v>131</v>
      </c>
      <c r="N405" s="3" t="str">
        <f>CONCATENATE("SSTGNN95P16D451P")</f>
        <v>SSTGNN95P16D451P</v>
      </c>
      <c r="O405" s="3" t="s">
        <v>521</v>
      </c>
      <c r="P405" s="3" t="s">
        <v>36</v>
      </c>
      <c r="Q405" s="3"/>
      <c r="R405" s="4">
        <v>45996</v>
      </c>
      <c r="S405" s="3" t="s">
        <v>37</v>
      </c>
      <c r="T405" s="3" t="s">
        <v>38</v>
      </c>
      <c r="U405" s="3" t="s">
        <v>39</v>
      </c>
      <c r="V405" s="3">
        <v>196.44</v>
      </c>
      <c r="W405" s="3">
        <v>83.49</v>
      </c>
      <c r="X405" s="3">
        <v>79.069999999999993</v>
      </c>
      <c r="Y405" s="3">
        <v>33.880000000000003</v>
      </c>
    </row>
    <row r="406" spans="1:25" ht="60.75" x14ac:dyDescent="0.25">
      <c r="A406" s="3" t="s">
        <v>26</v>
      </c>
      <c r="B406" s="3" t="s">
        <v>27</v>
      </c>
      <c r="C406" s="3" t="s">
        <v>28</v>
      </c>
      <c r="D406" s="3" t="s">
        <v>91</v>
      </c>
      <c r="E406" s="3" t="s">
        <v>522</v>
      </c>
      <c r="F406" s="3" t="s">
        <v>93</v>
      </c>
      <c r="G406" s="3" t="s">
        <v>522</v>
      </c>
      <c r="H406" s="3" t="s">
        <v>32</v>
      </c>
      <c r="I406" s="3">
        <v>2025</v>
      </c>
      <c r="J406" s="3" t="str">
        <f>CONCATENATE("54820092341")</f>
        <v>54820092341</v>
      </c>
      <c r="K406" s="3" t="s">
        <v>33</v>
      </c>
      <c r="L406" s="3"/>
      <c r="M406" s="3" t="s">
        <v>131</v>
      </c>
      <c r="N406" s="3" t="str">
        <f>CONCATENATE("CCCDNL68A62F335F")</f>
        <v>CCCDNL68A62F335F</v>
      </c>
      <c r="O406" s="3" t="s">
        <v>523</v>
      </c>
      <c r="P406" s="3" t="s">
        <v>36</v>
      </c>
      <c r="Q406" s="3"/>
      <c r="R406" s="4">
        <v>45996</v>
      </c>
      <c r="S406" s="3" t="s">
        <v>37</v>
      </c>
      <c r="T406" s="3" t="s">
        <v>38</v>
      </c>
      <c r="U406" s="3" t="s">
        <v>39</v>
      </c>
      <c r="V406" s="3">
        <v>284.33999999999997</v>
      </c>
      <c r="W406" s="3">
        <v>120.84</v>
      </c>
      <c r="X406" s="3">
        <v>114.45</v>
      </c>
      <c r="Y406" s="3">
        <v>49.05</v>
      </c>
    </row>
    <row r="407" spans="1:25" ht="60.75" x14ac:dyDescent="0.25">
      <c r="A407" s="3" t="s">
        <v>26</v>
      </c>
      <c r="B407" s="3" t="s">
        <v>27</v>
      </c>
      <c r="C407" s="3" t="s">
        <v>28</v>
      </c>
      <c r="D407" s="3" t="s">
        <v>40</v>
      </c>
      <c r="E407" s="3" t="s">
        <v>54</v>
      </c>
      <c r="F407" s="3" t="s">
        <v>42</v>
      </c>
      <c r="G407" s="3" t="s">
        <v>54</v>
      </c>
      <c r="H407" s="3" t="s">
        <v>45</v>
      </c>
      <c r="I407" s="3">
        <v>2025</v>
      </c>
      <c r="J407" s="3" t="str">
        <f>CONCATENATE("54820068051")</f>
        <v>54820068051</v>
      </c>
      <c r="K407" s="3" t="s">
        <v>33</v>
      </c>
      <c r="L407" s="3"/>
      <c r="M407" s="3" t="s">
        <v>131</v>
      </c>
      <c r="N407" s="3" t="str">
        <f>CONCATENATE("GRSMLS53H46E351Q")</f>
        <v>GRSMLS53H46E351Q</v>
      </c>
      <c r="O407" s="3" t="s">
        <v>524</v>
      </c>
      <c r="P407" s="3" t="s">
        <v>36</v>
      </c>
      <c r="Q407" s="3"/>
      <c r="R407" s="4">
        <v>45996</v>
      </c>
      <c r="S407" s="3" t="s">
        <v>37</v>
      </c>
      <c r="T407" s="3" t="s">
        <v>38</v>
      </c>
      <c r="U407" s="3" t="s">
        <v>39</v>
      </c>
      <c r="V407" s="3">
        <v>373.48</v>
      </c>
      <c r="W407" s="3">
        <v>158.72999999999999</v>
      </c>
      <c r="X407" s="3">
        <v>150.33000000000001</v>
      </c>
      <c r="Y407" s="3">
        <v>64.42</v>
      </c>
    </row>
    <row r="408" spans="1:25" ht="72.75" x14ac:dyDescent="0.25">
      <c r="A408" s="3" t="s">
        <v>26</v>
      </c>
      <c r="B408" s="3" t="s">
        <v>27</v>
      </c>
      <c r="C408" s="3" t="s">
        <v>28</v>
      </c>
      <c r="D408" s="3" t="s">
        <v>29</v>
      </c>
      <c r="E408" s="3" t="s">
        <v>119</v>
      </c>
      <c r="F408" s="3" t="s">
        <v>31</v>
      </c>
      <c r="G408" s="3" t="s">
        <v>119</v>
      </c>
      <c r="H408" s="3" t="s">
        <v>96</v>
      </c>
      <c r="I408" s="3">
        <v>2025</v>
      </c>
      <c r="J408" s="3" t="str">
        <f>CONCATENATE("54820060561")</f>
        <v>54820060561</v>
      </c>
      <c r="K408" s="3" t="s">
        <v>33</v>
      </c>
      <c r="L408" s="3"/>
      <c r="M408" s="3" t="s">
        <v>131</v>
      </c>
      <c r="N408" s="3" t="str">
        <f>CONCATENATE("LAIMSM72B06A252E")</f>
        <v>LAIMSM72B06A252E</v>
      </c>
      <c r="O408" s="3" t="s">
        <v>525</v>
      </c>
      <c r="P408" s="3" t="s">
        <v>36</v>
      </c>
      <c r="Q408" s="3"/>
      <c r="R408" s="4">
        <v>45996</v>
      </c>
      <c r="S408" s="3" t="s">
        <v>37</v>
      </c>
      <c r="T408" s="3" t="s">
        <v>38</v>
      </c>
      <c r="U408" s="3" t="s">
        <v>39</v>
      </c>
      <c r="V408" s="3">
        <v>926.89</v>
      </c>
      <c r="W408" s="3">
        <v>393.93</v>
      </c>
      <c r="X408" s="3">
        <v>373.07</v>
      </c>
      <c r="Y408" s="3">
        <v>159.88999999999999</v>
      </c>
    </row>
    <row r="409" spans="1:25" ht="60.75" x14ac:dyDescent="0.25">
      <c r="A409" s="3" t="s">
        <v>26</v>
      </c>
      <c r="B409" s="3" t="s">
        <v>27</v>
      </c>
      <c r="C409" s="3" t="s">
        <v>28</v>
      </c>
      <c r="D409" s="3" t="s">
        <v>29</v>
      </c>
      <c r="E409" s="3" t="s">
        <v>136</v>
      </c>
      <c r="F409" s="3" t="s">
        <v>31</v>
      </c>
      <c r="G409" s="3" t="s">
        <v>136</v>
      </c>
      <c r="H409" s="3" t="s">
        <v>48</v>
      </c>
      <c r="I409" s="3">
        <v>2025</v>
      </c>
      <c r="J409" s="3" t="str">
        <f>CONCATENATE("54820122312")</f>
        <v>54820122312</v>
      </c>
      <c r="K409" s="3" t="s">
        <v>33</v>
      </c>
      <c r="L409" s="3"/>
      <c r="M409" s="3" t="s">
        <v>131</v>
      </c>
      <c r="N409" s="3" t="str">
        <f>CONCATENATE("RCCRNT48C28I461H")</f>
        <v>RCCRNT48C28I461H</v>
      </c>
      <c r="O409" s="3" t="s">
        <v>526</v>
      </c>
      <c r="P409" s="3" t="s">
        <v>36</v>
      </c>
      <c r="Q409" s="3"/>
      <c r="R409" s="4">
        <v>45996</v>
      </c>
      <c r="S409" s="3" t="s">
        <v>37</v>
      </c>
      <c r="T409" s="3" t="s">
        <v>38</v>
      </c>
      <c r="U409" s="3" t="s">
        <v>39</v>
      </c>
      <c r="V409" s="3">
        <v>125.83</v>
      </c>
      <c r="W409" s="3">
        <v>53.48</v>
      </c>
      <c r="X409" s="3">
        <v>50.65</v>
      </c>
      <c r="Y409" s="3">
        <v>21.7</v>
      </c>
    </row>
    <row r="410" spans="1:25" ht="60.75" x14ac:dyDescent="0.25">
      <c r="A410" s="3" t="s">
        <v>26</v>
      </c>
      <c r="B410" s="3" t="s">
        <v>27</v>
      </c>
      <c r="C410" s="3" t="s">
        <v>28</v>
      </c>
      <c r="D410" s="3" t="s">
        <v>29</v>
      </c>
      <c r="E410" s="3" t="s">
        <v>119</v>
      </c>
      <c r="F410" s="3" t="s">
        <v>31</v>
      </c>
      <c r="G410" s="3" t="s">
        <v>119</v>
      </c>
      <c r="H410" s="3" t="s">
        <v>96</v>
      </c>
      <c r="I410" s="3">
        <v>2025</v>
      </c>
      <c r="J410" s="3" t="str">
        <f>CONCATENATE("54820117080")</f>
        <v>54820117080</v>
      </c>
      <c r="K410" s="3" t="s">
        <v>33</v>
      </c>
      <c r="L410" s="3"/>
      <c r="M410" s="3" t="s">
        <v>131</v>
      </c>
      <c r="N410" s="3" t="str">
        <f>CONCATENATE("BLDVCN57A14D691L")</f>
        <v>BLDVCN57A14D691L</v>
      </c>
      <c r="O410" s="3" t="s">
        <v>527</v>
      </c>
      <c r="P410" s="3" t="s">
        <v>36</v>
      </c>
      <c r="Q410" s="3"/>
      <c r="R410" s="4">
        <v>45996</v>
      </c>
      <c r="S410" s="3" t="s">
        <v>37</v>
      </c>
      <c r="T410" s="3" t="s">
        <v>38</v>
      </c>
      <c r="U410" s="3" t="s">
        <v>39</v>
      </c>
      <c r="V410" s="3">
        <v>301.16000000000003</v>
      </c>
      <c r="W410" s="3">
        <v>127.99</v>
      </c>
      <c r="X410" s="3">
        <v>121.22</v>
      </c>
      <c r="Y410" s="3">
        <v>51.95</v>
      </c>
    </row>
    <row r="411" spans="1:25" ht="60.75" x14ac:dyDescent="0.25">
      <c r="A411" s="3" t="s">
        <v>26</v>
      </c>
      <c r="B411" s="3" t="s">
        <v>27</v>
      </c>
      <c r="C411" s="3" t="s">
        <v>28</v>
      </c>
      <c r="D411" s="3" t="s">
        <v>29</v>
      </c>
      <c r="E411" s="3" t="s">
        <v>119</v>
      </c>
      <c r="F411" s="3" t="s">
        <v>31</v>
      </c>
      <c r="G411" s="3" t="s">
        <v>119</v>
      </c>
      <c r="H411" s="3" t="s">
        <v>96</v>
      </c>
      <c r="I411" s="3">
        <v>2025</v>
      </c>
      <c r="J411" s="3" t="str">
        <f>CONCATENATE("54820059613")</f>
        <v>54820059613</v>
      </c>
      <c r="K411" s="3" t="s">
        <v>33</v>
      </c>
      <c r="L411" s="3"/>
      <c r="M411" s="3" t="s">
        <v>131</v>
      </c>
      <c r="N411" s="3" t="str">
        <f>CONCATENATE("PCCMNL76M44A252S")</f>
        <v>PCCMNL76M44A252S</v>
      </c>
      <c r="O411" s="3" t="s">
        <v>528</v>
      </c>
      <c r="P411" s="3" t="s">
        <v>36</v>
      </c>
      <c r="Q411" s="3"/>
      <c r="R411" s="4">
        <v>45996</v>
      </c>
      <c r="S411" s="3" t="s">
        <v>37</v>
      </c>
      <c r="T411" s="3" t="s">
        <v>38</v>
      </c>
      <c r="U411" s="3" t="s">
        <v>39</v>
      </c>
      <c r="V411" s="3">
        <v>55.89</v>
      </c>
      <c r="W411" s="3">
        <v>23.75</v>
      </c>
      <c r="X411" s="3">
        <v>22.5</v>
      </c>
      <c r="Y411" s="3">
        <v>9.64</v>
      </c>
    </row>
    <row r="412" spans="1:25" ht="36.75" x14ac:dyDescent="0.25">
      <c r="A412" s="3" t="s">
        <v>26</v>
      </c>
      <c r="B412" s="3" t="s">
        <v>27</v>
      </c>
      <c r="C412" s="3" t="s">
        <v>28</v>
      </c>
      <c r="D412" s="3" t="s">
        <v>40</v>
      </c>
      <c r="E412" s="3" t="s">
        <v>99</v>
      </c>
      <c r="F412" s="3" t="s">
        <v>42</v>
      </c>
      <c r="G412" s="3" t="s">
        <v>99</v>
      </c>
      <c r="H412" s="3" t="s">
        <v>32</v>
      </c>
      <c r="I412" s="3">
        <v>2025</v>
      </c>
      <c r="J412" s="3" t="str">
        <f>CONCATENATE("54820136783")</f>
        <v>54820136783</v>
      </c>
      <c r="K412" s="3" t="s">
        <v>33</v>
      </c>
      <c r="L412" s="3"/>
      <c r="M412" s="3" t="s">
        <v>131</v>
      </c>
      <c r="N412" s="3" t="str">
        <f>CONCATENATE("01742800434")</f>
        <v>01742800434</v>
      </c>
      <c r="O412" s="3" t="s">
        <v>529</v>
      </c>
      <c r="P412" s="3" t="s">
        <v>36</v>
      </c>
      <c r="Q412" s="3"/>
      <c r="R412" s="4">
        <v>45996</v>
      </c>
      <c r="S412" s="3" t="s">
        <v>37</v>
      </c>
      <c r="T412" s="3" t="s">
        <v>38</v>
      </c>
      <c r="U412" s="3" t="s">
        <v>39</v>
      </c>
      <c r="V412" s="5">
        <v>2370.64</v>
      </c>
      <c r="W412" s="5">
        <v>1007.52</v>
      </c>
      <c r="X412" s="3">
        <v>954.18</v>
      </c>
      <c r="Y412" s="3">
        <v>408.94</v>
      </c>
    </row>
    <row r="413" spans="1:25" ht="60.75" x14ac:dyDescent="0.25">
      <c r="A413" s="3" t="s">
        <v>26</v>
      </c>
      <c r="B413" s="3" t="s">
        <v>27</v>
      </c>
      <c r="C413" s="3" t="s">
        <v>28</v>
      </c>
      <c r="D413" s="3" t="s">
        <v>29</v>
      </c>
      <c r="E413" s="3" t="s">
        <v>125</v>
      </c>
      <c r="F413" s="3" t="s">
        <v>31</v>
      </c>
      <c r="G413" s="3" t="s">
        <v>125</v>
      </c>
      <c r="H413" s="3" t="s">
        <v>32</v>
      </c>
      <c r="I413" s="3">
        <v>2025</v>
      </c>
      <c r="J413" s="3" t="str">
        <f>CONCATENATE("54820055322")</f>
        <v>54820055322</v>
      </c>
      <c r="K413" s="3" t="s">
        <v>33</v>
      </c>
      <c r="L413" s="3"/>
      <c r="M413" s="3" t="s">
        <v>131</v>
      </c>
      <c r="N413" s="3" t="str">
        <f>CONCATENATE("CRQGLC95D22I156E")</f>
        <v>CRQGLC95D22I156E</v>
      </c>
      <c r="O413" s="3" t="s">
        <v>530</v>
      </c>
      <c r="P413" s="3" t="s">
        <v>36</v>
      </c>
      <c r="Q413" s="3"/>
      <c r="R413" s="4">
        <v>45996</v>
      </c>
      <c r="S413" s="3" t="s">
        <v>37</v>
      </c>
      <c r="T413" s="3" t="s">
        <v>38</v>
      </c>
      <c r="U413" s="3" t="s">
        <v>39</v>
      </c>
      <c r="V413" s="3">
        <v>484.14</v>
      </c>
      <c r="W413" s="3">
        <v>205.76</v>
      </c>
      <c r="X413" s="3">
        <v>194.87</v>
      </c>
      <c r="Y413" s="3">
        <v>83.51</v>
      </c>
    </row>
    <row r="414" spans="1:25" ht="60.75" x14ac:dyDescent="0.25">
      <c r="A414" s="3" t="s">
        <v>26</v>
      </c>
      <c r="B414" s="3" t="s">
        <v>27</v>
      </c>
      <c r="C414" s="3" t="s">
        <v>28</v>
      </c>
      <c r="D414" s="3" t="s">
        <v>40</v>
      </c>
      <c r="E414" s="3" t="s">
        <v>218</v>
      </c>
      <c r="F414" s="3" t="s">
        <v>42</v>
      </c>
      <c r="G414" s="3" t="s">
        <v>218</v>
      </c>
      <c r="H414" s="3" t="s">
        <v>45</v>
      </c>
      <c r="I414" s="3">
        <v>2025</v>
      </c>
      <c r="J414" s="3" t="str">
        <f>CONCATENATE("54820050380")</f>
        <v>54820050380</v>
      </c>
      <c r="K414" s="3" t="s">
        <v>33</v>
      </c>
      <c r="L414" s="3"/>
      <c r="M414" s="3" t="s">
        <v>131</v>
      </c>
      <c r="N414" s="3" t="str">
        <f>CONCATENATE("LNDMRC68H24L500S")</f>
        <v>LNDMRC68H24L500S</v>
      </c>
      <c r="O414" s="3" t="s">
        <v>531</v>
      </c>
      <c r="P414" s="3" t="s">
        <v>36</v>
      </c>
      <c r="Q414" s="3"/>
      <c r="R414" s="4">
        <v>45996</v>
      </c>
      <c r="S414" s="3" t="s">
        <v>37</v>
      </c>
      <c r="T414" s="3" t="s">
        <v>38</v>
      </c>
      <c r="U414" s="3" t="s">
        <v>39</v>
      </c>
      <c r="V414" s="3">
        <v>120.11</v>
      </c>
      <c r="W414" s="3">
        <v>51.05</v>
      </c>
      <c r="X414" s="3">
        <v>48.34</v>
      </c>
      <c r="Y414" s="3">
        <v>20.72</v>
      </c>
    </row>
    <row r="415" spans="1:25" ht="60.75" x14ac:dyDescent="0.25">
      <c r="A415" s="3" t="s">
        <v>26</v>
      </c>
      <c r="B415" s="3" t="s">
        <v>27</v>
      </c>
      <c r="C415" s="3" t="s">
        <v>28</v>
      </c>
      <c r="D415" s="3" t="s">
        <v>29</v>
      </c>
      <c r="E415" s="3" t="s">
        <v>68</v>
      </c>
      <c r="F415" s="3" t="s">
        <v>31</v>
      </c>
      <c r="G415" s="3" t="s">
        <v>68</v>
      </c>
      <c r="H415" s="3" t="s">
        <v>32</v>
      </c>
      <c r="I415" s="3">
        <v>2025</v>
      </c>
      <c r="J415" s="3" t="str">
        <f>CONCATENATE("54820110481")</f>
        <v>54820110481</v>
      </c>
      <c r="K415" s="3" t="s">
        <v>33</v>
      </c>
      <c r="L415" s="3"/>
      <c r="M415" s="3" t="s">
        <v>131</v>
      </c>
      <c r="N415" s="3" t="str">
        <f>CONCATENATE("TTVCSR60H24C582P")</f>
        <v>TTVCSR60H24C582P</v>
      </c>
      <c r="O415" s="3" t="s">
        <v>532</v>
      </c>
      <c r="P415" s="3" t="s">
        <v>36</v>
      </c>
      <c r="Q415" s="3"/>
      <c r="R415" s="4">
        <v>45996</v>
      </c>
      <c r="S415" s="3" t="s">
        <v>37</v>
      </c>
      <c r="T415" s="3" t="s">
        <v>38</v>
      </c>
      <c r="U415" s="3" t="s">
        <v>39</v>
      </c>
      <c r="V415" s="3">
        <v>54.2</v>
      </c>
      <c r="W415" s="3">
        <v>23.04</v>
      </c>
      <c r="X415" s="3">
        <v>21.82</v>
      </c>
      <c r="Y415" s="3">
        <v>9.34</v>
      </c>
    </row>
    <row r="416" spans="1:25" ht="60.75" x14ac:dyDescent="0.25">
      <c r="A416" s="3" t="s">
        <v>26</v>
      </c>
      <c r="B416" s="3" t="s">
        <v>27</v>
      </c>
      <c r="C416" s="3" t="s">
        <v>28</v>
      </c>
      <c r="D416" s="3" t="s">
        <v>29</v>
      </c>
      <c r="E416" s="3" t="s">
        <v>119</v>
      </c>
      <c r="F416" s="3" t="s">
        <v>31</v>
      </c>
      <c r="G416" s="3" t="s">
        <v>119</v>
      </c>
      <c r="H416" s="3" t="s">
        <v>96</v>
      </c>
      <c r="I416" s="3">
        <v>2025</v>
      </c>
      <c r="J416" s="3" t="str">
        <f>CONCATENATE("54820101605")</f>
        <v>54820101605</v>
      </c>
      <c r="K416" s="3" t="s">
        <v>33</v>
      </c>
      <c r="L416" s="3"/>
      <c r="M416" s="3" t="s">
        <v>131</v>
      </c>
      <c r="N416" s="3" t="str">
        <f>CONCATENATE("BSCGPR65H18A454Z")</f>
        <v>BSCGPR65H18A454Z</v>
      </c>
      <c r="O416" s="3" t="s">
        <v>533</v>
      </c>
      <c r="P416" s="3" t="s">
        <v>36</v>
      </c>
      <c r="Q416" s="3"/>
      <c r="R416" s="4">
        <v>45996</v>
      </c>
      <c r="S416" s="3" t="s">
        <v>37</v>
      </c>
      <c r="T416" s="3" t="s">
        <v>38</v>
      </c>
      <c r="U416" s="3" t="s">
        <v>39</v>
      </c>
      <c r="V416" s="3">
        <v>459.58</v>
      </c>
      <c r="W416" s="3">
        <v>195.32</v>
      </c>
      <c r="X416" s="3">
        <v>184.98</v>
      </c>
      <c r="Y416" s="3">
        <v>79.28</v>
      </c>
    </row>
    <row r="417" spans="1:25" ht="60.75" x14ac:dyDescent="0.25">
      <c r="A417" s="3" t="s">
        <v>26</v>
      </c>
      <c r="B417" s="3" t="s">
        <v>27</v>
      </c>
      <c r="C417" s="3" t="s">
        <v>28</v>
      </c>
      <c r="D417" s="3" t="s">
        <v>29</v>
      </c>
      <c r="E417" s="3" t="s">
        <v>186</v>
      </c>
      <c r="F417" s="3" t="s">
        <v>31</v>
      </c>
      <c r="G417" s="3" t="s">
        <v>186</v>
      </c>
      <c r="H417" s="3" t="s">
        <v>45</v>
      </c>
      <c r="I417" s="3">
        <v>2025</v>
      </c>
      <c r="J417" s="3" t="str">
        <f>CONCATENATE("54820053137")</f>
        <v>54820053137</v>
      </c>
      <c r="K417" s="3" t="s">
        <v>33</v>
      </c>
      <c r="L417" s="3"/>
      <c r="M417" s="3" t="s">
        <v>131</v>
      </c>
      <c r="N417" s="3" t="str">
        <f>CONCATENATE("FRCSFN66M70F704B")</f>
        <v>FRCSFN66M70F704B</v>
      </c>
      <c r="O417" s="3" t="s">
        <v>534</v>
      </c>
      <c r="P417" s="3" t="s">
        <v>36</v>
      </c>
      <c r="Q417" s="3"/>
      <c r="R417" s="4">
        <v>45996</v>
      </c>
      <c r="S417" s="3" t="s">
        <v>37</v>
      </c>
      <c r="T417" s="3" t="s">
        <v>38</v>
      </c>
      <c r="U417" s="3" t="s">
        <v>39</v>
      </c>
      <c r="V417" s="3">
        <v>92.24</v>
      </c>
      <c r="W417" s="3">
        <v>39.200000000000003</v>
      </c>
      <c r="X417" s="3">
        <v>37.130000000000003</v>
      </c>
      <c r="Y417" s="3">
        <v>15.91</v>
      </c>
    </row>
    <row r="418" spans="1:25" ht="72.75" x14ac:dyDescent="0.25">
      <c r="A418" s="3" t="s">
        <v>26</v>
      </c>
      <c r="B418" s="3" t="s">
        <v>27</v>
      </c>
      <c r="C418" s="3" t="s">
        <v>28</v>
      </c>
      <c r="D418" s="3" t="s">
        <v>50</v>
      </c>
      <c r="E418" s="3" t="s">
        <v>60</v>
      </c>
      <c r="F418" s="3" t="s">
        <v>52</v>
      </c>
      <c r="G418" s="3" t="s">
        <v>60</v>
      </c>
      <c r="H418" s="3" t="s">
        <v>45</v>
      </c>
      <c r="I418" s="3">
        <v>2025</v>
      </c>
      <c r="J418" s="3" t="str">
        <f>CONCATENATE("54820131289")</f>
        <v>54820131289</v>
      </c>
      <c r="K418" s="3" t="s">
        <v>33</v>
      </c>
      <c r="L418" s="3"/>
      <c r="M418" s="3" t="s">
        <v>131</v>
      </c>
      <c r="N418" s="3" t="str">
        <f>CONCATENATE("PSCNMR61A58Z103R")</f>
        <v>PSCNMR61A58Z103R</v>
      </c>
      <c r="O418" s="3" t="s">
        <v>535</v>
      </c>
      <c r="P418" s="3" t="s">
        <v>36</v>
      </c>
      <c r="Q418" s="3"/>
      <c r="R418" s="4">
        <v>45996</v>
      </c>
      <c r="S418" s="3" t="s">
        <v>37</v>
      </c>
      <c r="T418" s="3" t="s">
        <v>38</v>
      </c>
      <c r="U418" s="3" t="s">
        <v>39</v>
      </c>
      <c r="V418" s="3">
        <v>196.32</v>
      </c>
      <c r="W418" s="3">
        <v>83.44</v>
      </c>
      <c r="X418" s="3">
        <v>79.02</v>
      </c>
      <c r="Y418" s="3">
        <v>33.86</v>
      </c>
    </row>
    <row r="419" spans="1:25" ht="60.75" x14ac:dyDescent="0.25">
      <c r="A419" s="3" t="s">
        <v>26</v>
      </c>
      <c r="B419" s="3" t="s">
        <v>27</v>
      </c>
      <c r="C419" s="3" t="s">
        <v>28</v>
      </c>
      <c r="D419" s="3" t="s">
        <v>29</v>
      </c>
      <c r="E419" s="3" t="s">
        <v>341</v>
      </c>
      <c r="F419" s="3" t="s">
        <v>31</v>
      </c>
      <c r="G419" s="3" t="s">
        <v>341</v>
      </c>
      <c r="H419" s="3" t="s">
        <v>45</v>
      </c>
      <c r="I419" s="3">
        <v>2025</v>
      </c>
      <c r="J419" s="3" t="str">
        <f>CONCATENATE("54820085618")</f>
        <v>54820085618</v>
      </c>
      <c r="K419" s="3" t="s">
        <v>33</v>
      </c>
      <c r="L419" s="3"/>
      <c r="M419" s="3" t="s">
        <v>131</v>
      </c>
      <c r="N419" s="3" t="str">
        <f>CONCATENATE("SCNDGI80E24G479M")</f>
        <v>SCNDGI80E24G479M</v>
      </c>
      <c r="O419" s="3" t="s">
        <v>536</v>
      </c>
      <c r="P419" s="3" t="s">
        <v>36</v>
      </c>
      <c r="Q419" s="3"/>
      <c r="R419" s="4">
        <v>45996</v>
      </c>
      <c r="S419" s="3" t="s">
        <v>37</v>
      </c>
      <c r="T419" s="3" t="s">
        <v>38</v>
      </c>
      <c r="U419" s="3" t="s">
        <v>39</v>
      </c>
      <c r="V419" s="3">
        <v>649.80999999999995</v>
      </c>
      <c r="W419" s="3">
        <v>276.17</v>
      </c>
      <c r="X419" s="3">
        <v>261.55</v>
      </c>
      <c r="Y419" s="3">
        <v>112.09</v>
      </c>
    </row>
    <row r="420" spans="1:25" ht="60.75" x14ac:dyDescent="0.25">
      <c r="A420" s="3" t="s">
        <v>26</v>
      </c>
      <c r="B420" s="3" t="s">
        <v>27</v>
      </c>
      <c r="C420" s="3" t="s">
        <v>28</v>
      </c>
      <c r="D420" s="3" t="s">
        <v>91</v>
      </c>
      <c r="E420" s="3" t="s">
        <v>95</v>
      </c>
      <c r="F420" s="3" t="s">
        <v>93</v>
      </c>
      <c r="G420" s="3" t="s">
        <v>95</v>
      </c>
      <c r="H420" s="3" t="s">
        <v>96</v>
      </c>
      <c r="I420" s="3">
        <v>2025</v>
      </c>
      <c r="J420" s="3" t="str">
        <f>CONCATENATE("54820085949")</f>
        <v>54820085949</v>
      </c>
      <c r="K420" s="3" t="s">
        <v>33</v>
      </c>
      <c r="L420" s="3"/>
      <c r="M420" s="3" t="s">
        <v>131</v>
      </c>
      <c r="N420" s="3" t="str">
        <f>CONCATENATE("PMPMLN73E11H769Y")</f>
        <v>PMPMLN73E11H769Y</v>
      </c>
      <c r="O420" s="3" t="s">
        <v>537</v>
      </c>
      <c r="P420" s="3" t="s">
        <v>36</v>
      </c>
      <c r="Q420" s="3"/>
      <c r="R420" s="4">
        <v>45996</v>
      </c>
      <c r="S420" s="3" t="s">
        <v>37</v>
      </c>
      <c r="T420" s="3" t="s">
        <v>38</v>
      </c>
      <c r="U420" s="3" t="s">
        <v>39</v>
      </c>
      <c r="V420" s="3">
        <v>75.849999999999994</v>
      </c>
      <c r="W420" s="3">
        <v>32.24</v>
      </c>
      <c r="X420" s="3">
        <v>30.53</v>
      </c>
      <c r="Y420" s="3">
        <v>13.08</v>
      </c>
    </row>
    <row r="421" spans="1:25" ht="72.75" x14ac:dyDescent="0.25">
      <c r="A421" s="3" t="s">
        <v>26</v>
      </c>
      <c r="B421" s="3" t="s">
        <v>27</v>
      </c>
      <c r="C421" s="3" t="s">
        <v>28</v>
      </c>
      <c r="D421" s="3" t="s">
        <v>40</v>
      </c>
      <c r="E421" s="3" t="s">
        <v>218</v>
      </c>
      <c r="F421" s="3" t="s">
        <v>42</v>
      </c>
      <c r="G421" s="3" t="s">
        <v>218</v>
      </c>
      <c r="H421" s="3" t="s">
        <v>45</v>
      </c>
      <c r="I421" s="3">
        <v>2025</v>
      </c>
      <c r="J421" s="3" t="str">
        <f>CONCATENATE("54820194964")</f>
        <v>54820194964</v>
      </c>
      <c r="K421" s="3" t="s">
        <v>33</v>
      </c>
      <c r="L421" s="3"/>
      <c r="M421" s="3" t="s">
        <v>131</v>
      </c>
      <c r="N421" s="3" t="str">
        <f>CONCATENATE("MRNSFN78D55L407E")</f>
        <v>MRNSFN78D55L407E</v>
      </c>
      <c r="O421" s="3" t="s">
        <v>538</v>
      </c>
      <c r="P421" s="3" t="s">
        <v>36</v>
      </c>
      <c r="Q421" s="3"/>
      <c r="R421" s="4">
        <v>45996</v>
      </c>
      <c r="S421" s="3" t="s">
        <v>37</v>
      </c>
      <c r="T421" s="3" t="s">
        <v>38</v>
      </c>
      <c r="U421" s="3" t="s">
        <v>39</v>
      </c>
      <c r="V421" s="3">
        <v>385.24</v>
      </c>
      <c r="W421" s="3">
        <v>163.72999999999999</v>
      </c>
      <c r="X421" s="3">
        <v>155.06</v>
      </c>
      <c r="Y421" s="3">
        <v>66.45</v>
      </c>
    </row>
    <row r="422" spans="1:25" ht="36.75" x14ac:dyDescent="0.25">
      <c r="A422" s="3" t="s">
        <v>26</v>
      </c>
      <c r="B422" s="3" t="s">
        <v>27</v>
      </c>
      <c r="C422" s="3" t="s">
        <v>28</v>
      </c>
      <c r="D422" s="3" t="s">
        <v>29</v>
      </c>
      <c r="E422" s="3" t="s">
        <v>56</v>
      </c>
      <c r="F422" s="3" t="s">
        <v>31</v>
      </c>
      <c r="G422" s="3" t="s">
        <v>56</v>
      </c>
      <c r="H422" s="3" t="s">
        <v>32</v>
      </c>
      <c r="I422" s="3">
        <v>2025</v>
      </c>
      <c r="J422" s="3" t="str">
        <f>CONCATENATE("54820130216")</f>
        <v>54820130216</v>
      </c>
      <c r="K422" s="3" t="s">
        <v>33</v>
      </c>
      <c r="L422" s="3"/>
      <c r="M422" s="3" t="s">
        <v>131</v>
      </c>
      <c r="N422" s="3" t="str">
        <f>CONCATENATE("01883030437")</f>
        <v>01883030437</v>
      </c>
      <c r="O422" s="3" t="s">
        <v>539</v>
      </c>
      <c r="P422" s="3" t="s">
        <v>36</v>
      </c>
      <c r="Q422" s="3"/>
      <c r="R422" s="4">
        <v>45996</v>
      </c>
      <c r="S422" s="3" t="s">
        <v>37</v>
      </c>
      <c r="T422" s="3" t="s">
        <v>38</v>
      </c>
      <c r="U422" s="3" t="s">
        <v>39</v>
      </c>
      <c r="V422" s="3">
        <v>324.17</v>
      </c>
      <c r="W422" s="3">
        <v>137.77000000000001</v>
      </c>
      <c r="X422" s="3">
        <v>130.47999999999999</v>
      </c>
      <c r="Y422" s="3">
        <v>55.92</v>
      </c>
    </row>
    <row r="423" spans="1:25" ht="60.75" x14ac:dyDescent="0.25">
      <c r="A423" s="3" t="s">
        <v>26</v>
      </c>
      <c r="B423" s="3" t="s">
        <v>27</v>
      </c>
      <c r="C423" s="3" t="s">
        <v>28</v>
      </c>
      <c r="D423" s="3" t="s">
        <v>50</v>
      </c>
      <c r="E423" s="3" t="s">
        <v>60</v>
      </c>
      <c r="F423" s="3" t="s">
        <v>52</v>
      </c>
      <c r="G423" s="3" t="s">
        <v>60</v>
      </c>
      <c r="H423" s="3" t="s">
        <v>45</v>
      </c>
      <c r="I423" s="3">
        <v>2025</v>
      </c>
      <c r="J423" s="3" t="str">
        <f>CONCATENATE("54820106257")</f>
        <v>54820106257</v>
      </c>
      <c r="K423" s="3" t="s">
        <v>33</v>
      </c>
      <c r="L423" s="3"/>
      <c r="M423" s="3" t="s">
        <v>131</v>
      </c>
      <c r="N423" s="3" t="str">
        <f>CONCATENATE("BFFBRN56S13B352T")</f>
        <v>BFFBRN56S13B352T</v>
      </c>
      <c r="O423" s="3" t="s">
        <v>540</v>
      </c>
      <c r="P423" s="3" t="s">
        <v>36</v>
      </c>
      <c r="Q423" s="3"/>
      <c r="R423" s="4">
        <v>45996</v>
      </c>
      <c r="S423" s="3" t="s">
        <v>37</v>
      </c>
      <c r="T423" s="3" t="s">
        <v>38</v>
      </c>
      <c r="U423" s="3" t="s">
        <v>39</v>
      </c>
      <c r="V423" s="3">
        <v>147.29</v>
      </c>
      <c r="W423" s="3">
        <v>62.6</v>
      </c>
      <c r="X423" s="3">
        <v>59.28</v>
      </c>
      <c r="Y423" s="3">
        <v>25.41</v>
      </c>
    </row>
    <row r="424" spans="1:25" ht="60.75" x14ac:dyDescent="0.25">
      <c r="A424" s="3" t="s">
        <v>26</v>
      </c>
      <c r="B424" s="3" t="s">
        <v>27</v>
      </c>
      <c r="C424" s="3" t="s">
        <v>28</v>
      </c>
      <c r="D424" s="3" t="s">
        <v>50</v>
      </c>
      <c r="E424" s="3" t="s">
        <v>252</v>
      </c>
      <c r="F424" s="3" t="s">
        <v>52</v>
      </c>
      <c r="G424" s="3" t="s">
        <v>252</v>
      </c>
      <c r="H424" s="3" t="s">
        <v>45</v>
      </c>
      <c r="I424" s="3">
        <v>2025</v>
      </c>
      <c r="J424" s="3" t="str">
        <f>CONCATENATE("54820134168")</f>
        <v>54820134168</v>
      </c>
      <c r="K424" s="3" t="s">
        <v>33</v>
      </c>
      <c r="L424" s="3"/>
      <c r="M424" s="3" t="s">
        <v>131</v>
      </c>
      <c r="N424" s="3" t="str">
        <f>CONCATENATE("LGADRN45A25H886K")</f>
        <v>LGADRN45A25H886K</v>
      </c>
      <c r="O424" s="3" t="s">
        <v>541</v>
      </c>
      <c r="P424" s="3" t="s">
        <v>36</v>
      </c>
      <c r="Q424" s="3"/>
      <c r="R424" s="4">
        <v>45996</v>
      </c>
      <c r="S424" s="3" t="s">
        <v>37</v>
      </c>
      <c r="T424" s="3" t="s">
        <v>38</v>
      </c>
      <c r="U424" s="3" t="s">
        <v>39</v>
      </c>
      <c r="V424" s="3">
        <v>217.75</v>
      </c>
      <c r="W424" s="3">
        <v>92.54</v>
      </c>
      <c r="X424" s="3">
        <v>87.64</v>
      </c>
      <c r="Y424" s="3">
        <v>37.57</v>
      </c>
    </row>
    <row r="425" spans="1:25" ht="60.75" x14ac:dyDescent="0.25">
      <c r="A425" s="3" t="s">
        <v>26</v>
      </c>
      <c r="B425" s="3" t="s">
        <v>27</v>
      </c>
      <c r="C425" s="3" t="s">
        <v>28</v>
      </c>
      <c r="D425" s="3" t="s">
        <v>104</v>
      </c>
      <c r="E425" s="3" t="s">
        <v>141</v>
      </c>
      <c r="F425" s="3" t="s">
        <v>104</v>
      </c>
      <c r="G425" s="3" t="s">
        <v>141</v>
      </c>
      <c r="H425" s="3" t="s">
        <v>96</v>
      </c>
      <c r="I425" s="3">
        <v>2025</v>
      </c>
      <c r="J425" s="3" t="str">
        <f>CONCATENATE("54820144845")</f>
        <v>54820144845</v>
      </c>
      <c r="K425" s="3" t="s">
        <v>33</v>
      </c>
      <c r="L425" s="3"/>
      <c r="M425" s="3" t="s">
        <v>131</v>
      </c>
      <c r="N425" s="3" t="str">
        <f>CONCATENATE("SLQGNT52R66F509B")</f>
        <v>SLQGNT52R66F509B</v>
      </c>
      <c r="O425" s="3" t="s">
        <v>542</v>
      </c>
      <c r="P425" s="3" t="s">
        <v>36</v>
      </c>
      <c r="Q425" s="3"/>
      <c r="R425" s="4">
        <v>45996</v>
      </c>
      <c r="S425" s="3" t="s">
        <v>37</v>
      </c>
      <c r="T425" s="3" t="s">
        <v>38</v>
      </c>
      <c r="U425" s="3" t="s">
        <v>39</v>
      </c>
      <c r="V425" s="3">
        <v>240.76</v>
      </c>
      <c r="W425" s="3">
        <v>102.32</v>
      </c>
      <c r="X425" s="3">
        <v>96.91</v>
      </c>
      <c r="Y425" s="3">
        <v>41.53</v>
      </c>
    </row>
    <row r="426" spans="1:25" ht="60.75" x14ac:dyDescent="0.25">
      <c r="A426" s="3" t="s">
        <v>26</v>
      </c>
      <c r="B426" s="3" t="s">
        <v>27</v>
      </c>
      <c r="C426" s="3" t="s">
        <v>28</v>
      </c>
      <c r="D426" s="3" t="s">
        <v>50</v>
      </c>
      <c r="E426" s="3" t="s">
        <v>147</v>
      </c>
      <c r="F426" s="3" t="s">
        <v>52</v>
      </c>
      <c r="G426" s="3" t="s">
        <v>147</v>
      </c>
      <c r="H426" s="3" t="s">
        <v>45</v>
      </c>
      <c r="I426" s="3">
        <v>2025</v>
      </c>
      <c r="J426" s="3" t="str">
        <f>CONCATENATE("54820084363")</f>
        <v>54820084363</v>
      </c>
      <c r="K426" s="3" t="s">
        <v>33</v>
      </c>
      <c r="L426" s="3"/>
      <c r="M426" s="3" t="s">
        <v>131</v>
      </c>
      <c r="N426" s="3" t="str">
        <f>CONCATENATE("TRFRSO32C56L500Q")</f>
        <v>TRFRSO32C56L500Q</v>
      </c>
      <c r="O426" s="3" t="s">
        <v>543</v>
      </c>
      <c r="P426" s="3" t="s">
        <v>36</v>
      </c>
      <c r="Q426" s="3"/>
      <c r="R426" s="4">
        <v>45996</v>
      </c>
      <c r="S426" s="3" t="s">
        <v>37</v>
      </c>
      <c r="T426" s="3" t="s">
        <v>38</v>
      </c>
      <c r="U426" s="3" t="s">
        <v>39</v>
      </c>
      <c r="V426" s="3">
        <v>279.99</v>
      </c>
      <c r="W426" s="3">
        <v>119</v>
      </c>
      <c r="X426" s="3">
        <v>112.7</v>
      </c>
      <c r="Y426" s="3">
        <v>48.29</v>
      </c>
    </row>
    <row r="427" spans="1:25" ht="60.75" x14ac:dyDescent="0.25">
      <c r="A427" s="3" t="s">
        <v>26</v>
      </c>
      <c r="B427" s="3" t="s">
        <v>27</v>
      </c>
      <c r="C427" s="3" t="s">
        <v>28</v>
      </c>
      <c r="D427" s="3" t="s">
        <v>104</v>
      </c>
      <c r="E427" s="3" t="s">
        <v>141</v>
      </c>
      <c r="F427" s="3" t="s">
        <v>104</v>
      </c>
      <c r="G427" s="3" t="s">
        <v>141</v>
      </c>
      <c r="H427" s="3" t="s">
        <v>96</v>
      </c>
      <c r="I427" s="3">
        <v>2025</v>
      </c>
      <c r="J427" s="3" t="str">
        <f>CONCATENATE("54820144886")</f>
        <v>54820144886</v>
      </c>
      <c r="K427" s="3" t="s">
        <v>33</v>
      </c>
      <c r="L427" s="3"/>
      <c r="M427" s="3" t="s">
        <v>131</v>
      </c>
      <c r="N427" s="3" t="str">
        <f>CONCATENATE("TDICLD89C42A252Y")</f>
        <v>TDICLD89C42A252Y</v>
      </c>
      <c r="O427" s="3" t="s">
        <v>544</v>
      </c>
      <c r="P427" s="3" t="s">
        <v>36</v>
      </c>
      <c r="Q427" s="3"/>
      <c r="R427" s="4">
        <v>45996</v>
      </c>
      <c r="S427" s="3" t="s">
        <v>37</v>
      </c>
      <c r="T427" s="3" t="s">
        <v>38</v>
      </c>
      <c r="U427" s="3" t="s">
        <v>39</v>
      </c>
      <c r="V427" s="3">
        <v>113</v>
      </c>
      <c r="W427" s="3">
        <v>48.03</v>
      </c>
      <c r="X427" s="3">
        <v>45.48</v>
      </c>
      <c r="Y427" s="3">
        <v>19.489999999999998</v>
      </c>
    </row>
    <row r="428" spans="1:25" ht="72.75" x14ac:dyDescent="0.25">
      <c r="A428" s="3" t="s">
        <v>26</v>
      </c>
      <c r="B428" s="3" t="s">
        <v>27</v>
      </c>
      <c r="C428" s="3" t="s">
        <v>28</v>
      </c>
      <c r="D428" s="3" t="s">
        <v>29</v>
      </c>
      <c r="E428" s="3" t="s">
        <v>72</v>
      </c>
      <c r="F428" s="3" t="s">
        <v>31</v>
      </c>
      <c r="G428" s="3" t="s">
        <v>72</v>
      </c>
      <c r="H428" s="3" t="s">
        <v>45</v>
      </c>
      <c r="I428" s="3">
        <v>2025</v>
      </c>
      <c r="J428" s="3" t="str">
        <f>CONCATENATE("54820158910")</f>
        <v>54820158910</v>
      </c>
      <c r="K428" s="3" t="s">
        <v>33</v>
      </c>
      <c r="L428" s="3"/>
      <c r="M428" s="3" t="s">
        <v>131</v>
      </c>
      <c r="N428" s="3" t="str">
        <f>CONCATENATE("VLPMTT77D01B352O")</f>
        <v>VLPMTT77D01B352O</v>
      </c>
      <c r="O428" s="3" t="s">
        <v>545</v>
      </c>
      <c r="P428" s="3" t="s">
        <v>36</v>
      </c>
      <c r="Q428" s="3"/>
      <c r="R428" s="4">
        <v>45996</v>
      </c>
      <c r="S428" s="3" t="s">
        <v>37</v>
      </c>
      <c r="T428" s="3" t="s">
        <v>38</v>
      </c>
      <c r="U428" s="3" t="s">
        <v>39</v>
      </c>
      <c r="V428" s="3">
        <v>191.92</v>
      </c>
      <c r="W428" s="3">
        <v>81.569999999999993</v>
      </c>
      <c r="X428" s="3">
        <v>77.25</v>
      </c>
      <c r="Y428" s="3">
        <v>33.1</v>
      </c>
    </row>
    <row r="429" spans="1:25" ht="36.75" x14ac:dyDescent="0.25">
      <c r="A429" s="3" t="s">
        <v>26</v>
      </c>
      <c r="B429" s="3" t="s">
        <v>27</v>
      </c>
      <c r="C429" s="3" t="s">
        <v>28</v>
      </c>
      <c r="D429" s="3" t="s">
        <v>50</v>
      </c>
      <c r="E429" s="3" t="s">
        <v>60</v>
      </c>
      <c r="F429" s="3" t="s">
        <v>52</v>
      </c>
      <c r="G429" s="3" t="s">
        <v>60</v>
      </c>
      <c r="H429" s="3" t="s">
        <v>45</v>
      </c>
      <c r="I429" s="3">
        <v>2025</v>
      </c>
      <c r="J429" s="3" t="str">
        <f>CONCATENATE("54820176680")</f>
        <v>54820176680</v>
      </c>
      <c r="K429" s="3" t="s">
        <v>33</v>
      </c>
      <c r="L429" s="3"/>
      <c r="M429" s="3" t="s">
        <v>131</v>
      </c>
      <c r="N429" s="3" t="str">
        <f>CONCATENATE("02231020419")</f>
        <v>02231020419</v>
      </c>
      <c r="O429" s="3" t="s">
        <v>546</v>
      </c>
      <c r="P429" s="3" t="s">
        <v>36</v>
      </c>
      <c r="Q429" s="3"/>
      <c r="R429" s="4">
        <v>45996</v>
      </c>
      <c r="S429" s="3" t="s">
        <v>37</v>
      </c>
      <c r="T429" s="3" t="s">
        <v>38</v>
      </c>
      <c r="U429" s="3" t="s">
        <v>39</v>
      </c>
      <c r="V429" s="3">
        <v>685.18</v>
      </c>
      <c r="W429" s="3">
        <v>291.2</v>
      </c>
      <c r="X429" s="3">
        <v>275.77999999999997</v>
      </c>
      <c r="Y429" s="3">
        <v>118.2</v>
      </c>
    </row>
    <row r="430" spans="1:25" ht="60.75" x14ac:dyDescent="0.25">
      <c r="A430" s="3" t="s">
        <v>26</v>
      </c>
      <c r="B430" s="3" t="s">
        <v>27</v>
      </c>
      <c r="C430" s="3" t="s">
        <v>28</v>
      </c>
      <c r="D430" s="3" t="s">
        <v>104</v>
      </c>
      <c r="E430" s="3" t="s">
        <v>268</v>
      </c>
      <c r="F430" s="3" t="s">
        <v>104</v>
      </c>
      <c r="G430" s="3" t="s">
        <v>268</v>
      </c>
      <c r="H430" s="3" t="s">
        <v>32</v>
      </c>
      <c r="I430" s="3">
        <v>2025</v>
      </c>
      <c r="J430" s="3" t="str">
        <f>CONCATENATE("54820190624")</f>
        <v>54820190624</v>
      </c>
      <c r="K430" s="3" t="s">
        <v>33</v>
      </c>
      <c r="L430" s="3"/>
      <c r="M430" s="3" t="s">
        <v>131</v>
      </c>
      <c r="N430" s="3" t="str">
        <f>CONCATENATE("RCCPRS78S06L191Y")</f>
        <v>RCCPRS78S06L191Y</v>
      </c>
      <c r="O430" s="3" t="s">
        <v>547</v>
      </c>
      <c r="P430" s="3" t="s">
        <v>36</v>
      </c>
      <c r="Q430" s="3"/>
      <c r="R430" s="4">
        <v>45996</v>
      </c>
      <c r="S430" s="3" t="s">
        <v>37</v>
      </c>
      <c r="T430" s="3" t="s">
        <v>38</v>
      </c>
      <c r="U430" s="3" t="s">
        <v>39</v>
      </c>
      <c r="V430" s="3">
        <v>209.34</v>
      </c>
      <c r="W430" s="3">
        <v>88.97</v>
      </c>
      <c r="X430" s="3">
        <v>84.26</v>
      </c>
      <c r="Y430" s="3">
        <v>36.11</v>
      </c>
    </row>
    <row r="431" spans="1:25" ht="60.75" x14ac:dyDescent="0.25">
      <c r="A431" s="3" t="s">
        <v>26</v>
      </c>
      <c r="B431" s="3" t="s">
        <v>27</v>
      </c>
      <c r="C431" s="3" t="s">
        <v>28</v>
      </c>
      <c r="D431" s="3" t="s">
        <v>29</v>
      </c>
      <c r="E431" s="3" t="s">
        <v>47</v>
      </c>
      <c r="F431" s="3" t="s">
        <v>31</v>
      </c>
      <c r="G431" s="3" t="s">
        <v>47</v>
      </c>
      <c r="H431" s="3" t="s">
        <v>48</v>
      </c>
      <c r="I431" s="3">
        <v>2025</v>
      </c>
      <c r="J431" s="3" t="str">
        <f>CONCATENATE("54820117569")</f>
        <v>54820117569</v>
      </c>
      <c r="K431" s="3" t="s">
        <v>33</v>
      </c>
      <c r="L431" s="3"/>
      <c r="M431" s="3" t="s">
        <v>131</v>
      </c>
      <c r="N431" s="3" t="str">
        <f>CONCATENATE("TMPFNC60P18D451H")</f>
        <v>TMPFNC60P18D451H</v>
      </c>
      <c r="O431" s="3" t="s">
        <v>548</v>
      </c>
      <c r="P431" s="3" t="s">
        <v>36</v>
      </c>
      <c r="Q431" s="3"/>
      <c r="R431" s="4">
        <v>45996</v>
      </c>
      <c r="S431" s="3" t="s">
        <v>37</v>
      </c>
      <c r="T431" s="3" t="s">
        <v>38</v>
      </c>
      <c r="U431" s="3" t="s">
        <v>39</v>
      </c>
      <c r="V431" s="3">
        <v>125.99</v>
      </c>
      <c r="W431" s="3">
        <v>53.55</v>
      </c>
      <c r="X431" s="3">
        <v>50.71</v>
      </c>
      <c r="Y431" s="3">
        <v>21.73</v>
      </c>
    </row>
    <row r="432" spans="1:25" ht="60.75" x14ac:dyDescent="0.25">
      <c r="A432" s="3" t="s">
        <v>26</v>
      </c>
      <c r="B432" s="3" t="s">
        <v>27</v>
      </c>
      <c r="C432" s="3" t="s">
        <v>28</v>
      </c>
      <c r="D432" s="3" t="s">
        <v>29</v>
      </c>
      <c r="E432" s="3" t="s">
        <v>56</v>
      </c>
      <c r="F432" s="3" t="s">
        <v>31</v>
      </c>
      <c r="G432" s="3" t="s">
        <v>56</v>
      </c>
      <c r="H432" s="3" t="s">
        <v>32</v>
      </c>
      <c r="I432" s="3">
        <v>2025</v>
      </c>
      <c r="J432" s="3" t="str">
        <f>CONCATENATE("54820091467")</f>
        <v>54820091467</v>
      </c>
      <c r="K432" s="3" t="s">
        <v>33</v>
      </c>
      <c r="L432" s="3"/>
      <c r="M432" s="3" t="s">
        <v>131</v>
      </c>
      <c r="N432" s="3" t="str">
        <f>CONCATENATE("LCRMDE58D07B474E")</f>
        <v>LCRMDE58D07B474E</v>
      </c>
      <c r="O432" s="3" t="s">
        <v>549</v>
      </c>
      <c r="P432" s="3" t="s">
        <v>36</v>
      </c>
      <c r="Q432" s="3"/>
      <c r="R432" s="4">
        <v>45996</v>
      </c>
      <c r="S432" s="3" t="s">
        <v>37</v>
      </c>
      <c r="T432" s="3" t="s">
        <v>38</v>
      </c>
      <c r="U432" s="3" t="s">
        <v>39</v>
      </c>
      <c r="V432" s="3">
        <v>119.97</v>
      </c>
      <c r="W432" s="3">
        <v>50.99</v>
      </c>
      <c r="X432" s="3">
        <v>48.29</v>
      </c>
      <c r="Y432" s="3">
        <v>20.69</v>
      </c>
    </row>
    <row r="433" spans="1:25" ht="60.75" x14ac:dyDescent="0.25">
      <c r="A433" s="3" t="s">
        <v>26</v>
      </c>
      <c r="B433" s="3" t="s">
        <v>27</v>
      </c>
      <c r="C433" s="3" t="s">
        <v>28</v>
      </c>
      <c r="D433" s="3" t="s">
        <v>50</v>
      </c>
      <c r="E433" s="3" t="s">
        <v>147</v>
      </c>
      <c r="F433" s="3" t="s">
        <v>52</v>
      </c>
      <c r="G433" s="3" t="s">
        <v>147</v>
      </c>
      <c r="H433" s="3" t="s">
        <v>45</v>
      </c>
      <c r="I433" s="3">
        <v>2025</v>
      </c>
      <c r="J433" s="3" t="str">
        <f>CONCATENATE("54820121249")</f>
        <v>54820121249</v>
      </c>
      <c r="K433" s="3" t="s">
        <v>33</v>
      </c>
      <c r="L433" s="3"/>
      <c r="M433" s="3" t="s">
        <v>131</v>
      </c>
      <c r="N433" s="3" t="str">
        <f>CONCATENATE("SNCVTR60L02L078O")</f>
        <v>SNCVTR60L02L078O</v>
      </c>
      <c r="O433" s="3" t="s">
        <v>550</v>
      </c>
      <c r="P433" s="3" t="s">
        <v>36</v>
      </c>
      <c r="Q433" s="3"/>
      <c r="R433" s="4">
        <v>45996</v>
      </c>
      <c r="S433" s="3" t="s">
        <v>37</v>
      </c>
      <c r="T433" s="3" t="s">
        <v>38</v>
      </c>
      <c r="U433" s="3" t="s">
        <v>39</v>
      </c>
      <c r="V433" s="3">
        <v>255.8</v>
      </c>
      <c r="W433" s="3">
        <v>108.72</v>
      </c>
      <c r="X433" s="3">
        <v>102.96</v>
      </c>
      <c r="Y433" s="3">
        <v>44.12</v>
      </c>
    </row>
    <row r="434" spans="1:25" ht="72.75" x14ac:dyDescent="0.25">
      <c r="A434" s="3" t="s">
        <v>26</v>
      </c>
      <c r="B434" s="3" t="s">
        <v>27</v>
      </c>
      <c r="C434" s="3" t="s">
        <v>28</v>
      </c>
      <c r="D434" s="3" t="s">
        <v>29</v>
      </c>
      <c r="E434" s="3" t="s">
        <v>119</v>
      </c>
      <c r="F434" s="3" t="s">
        <v>31</v>
      </c>
      <c r="G434" s="3" t="s">
        <v>119</v>
      </c>
      <c r="H434" s="3" t="s">
        <v>96</v>
      </c>
      <c r="I434" s="3">
        <v>2025</v>
      </c>
      <c r="J434" s="3" t="str">
        <f>CONCATENATE("54820080247")</f>
        <v>54820080247</v>
      </c>
      <c r="K434" s="3" t="s">
        <v>33</v>
      </c>
      <c r="L434" s="3"/>
      <c r="M434" s="3" t="s">
        <v>131</v>
      </c>
      <c r="N434" s="3" t="str">
        <f>CONCATENATE("GLAFBA76B06A252H")</f>
        <v>GLAFBA76B06A252H</v>
      </c>
      <c r="O434" s="3" t="s">
        <v>551</v>
      </c>
      <c r="P434" s="3" t="s">
        <v>36</v>
      </c>
      <c r="Q434" s="3"/>
      <c r="R434" s="4">
        <v>45996</v>
      </c>
      <c r="S434" s="3" t="s">
        <v>37</v>
      </c>
      <c r="T434" s="3" t="s">
        <v>38</v>
      </c>
      <c r="U434" s="3" t="s">
        <v>39</v>
      </c>
      <c r="V434" s="3">
        <v>156.04</v>
      </c>
      <c r="W434" s="3">
        <v>66.319999999999993</v>
      </c>
      <c r="X434" s="3">
        <v>62.81</v>
      </c>
      <c r="Y434" s="3">
        <v>26.91</v>
      </c>
    </row>
    <row r="435" spans="1:25" ht="60.75" x14ac:dyDescent="0.25">
      <c r="A435" s="3" t="s">
        <v>26</v>
      </c>
      <c r="B435" s="3" t="s">
        <v>27</v>
      </c>
      <c r="C435" s="3" t="s">
        <v>28</v>
      </c>
      <c r="D435" s="3" t="s">
        <v>29</v>
      </c>
      <c r="E435" s="3" t="s">
        <v>72</v>
      </c>
      <c r="F435" s="3" t="s">
        <v>31</v>
      </c>
      <c r="G435" s="3" t="s">
        <v>72</v>
      </c>
      <c r="H435" s="3" t="s">
        <v>45</v>
      </c>
      <c r="I435" s="3">
        <v>2025</v>
      </c>
      <c r="J435" s="3" t="str">
        <f>CONCATENATE("54820054200")</f>
        <v>54820054200</v>
      </c>
      <c r="K435" s="3" t="s">
        <v>33</v>
      </c>
      <c r="L435" s="3"/>
      <c r="M435" s="3" t="s">
        <v>131</v>
      </c>
      <c r="N435" s="3" t="str">
        <f>CONCATENATE("PGLLSN01P25L500Q")</f>
        <v>PGLLSN01P25L500Q</v>
      </c>
      <c r="O435" s="3" t="s">
        <v>552</v>
      </c>
      <c r="P435" s="3" t="s">
        <v>36</v>
      </c>
      <c r="Q435" s="3"/>
      <c r="R435" s="4">
        <v>45996</v>
      </c>
      <c r="S435" s="3" t="s">
        <v>37</v>
      </c>
      <c r="T435" s="3" t="s">
        <v>38</v>
      </c>
      <c r="U435" s="3" t="s">
        <v>39</v>
      </c>
      <c r="V435" s="3">
        <v>163.78</v>
      </c>
      <c r="W435" s="3">
        <v>69.61</v>
      </c>
      <c r="X435" s="3">
        <v>65.92</v>
      </c>
      <c r="Y435" s="3">
        <v>28.25</v>
      </c>
    </row>
    <row r="436" spans="1:25" ht="60.75" x14ac:dyDescent="0.25">
      <c r="A436" s="3" t="s">
        <v>26</v>
      </c>
      <c r="B436" s="3" t="s">
        <v>27</v>
      </c>
      <c r="C436" s="3" t="s">
        <v>28</v>
      </c>
      <c r="D436" s="3" t="s">
        <v>104</v>
      </c>
      <c r="E436" s="3" t="s">
        <v>268</v>
      </c>
      <c r="F436" s="3" t="s">
        <v>104</v>
      </c>
      <c r="G436" s="3" t="s">
        <v>268</v>
      </c>
      <c r="H436" s="3" t="s">
        <v>32</v>
      </c>
      <c r="I436" s="3">
        <v>2025</v>
      </c>
      <c r="J436" s="3" t="str">
        <f>CONCATENATE("54820029897")</f>
        <v>54820029897</v>
      </c>
      <c r="K436" s="3" t="s">
        <v>33</v>
      </c>
      <c r="L436" s="3"/>
      <c r="M436" s="3" t="s">
        <v>131</v>
      </c>
      <c r="N436" s="3" t="str">
        <f>CONCATENATE("CCCDVD90A18B474S")</f>
        <v>CCCDVD90A18B474S</v>
      </c>
      <c r="O436" s="3" t="s">
        <v>553</v>
      </c>
      <c r="P436" s="3" t="s">
        <v>36</v>
      </c>
      <c r="Q436" s="3"/>
      <c r="R436" s="4">
        <v>45996</v>
      </c>
      <c r="S436" s="3" t="s">
        <v>37</v>
      </c>
      <c r="T436" s="3" t="s">
        <v>38</v>
      </c>
      <c r="U436" s="3" t="s">
        <v>39</v>
      </c>
      <c r="V436" s="3">
        <v>752.29</v>
      </c>
      <c r="W436" s="3">
        <v>319.72000000000003</v>
      </c>
      <c r="X436" s="3">
        <v>302.8</v>
      </c>
      <c r="Y436" s="3">
        <v>129.77000000000001</v>
      </c>
    </row>
    <row r="437" spans="1:25" ht="72.75" x14ac:dyDescent="0.25">
      <c r="A437" s="3" t="s">
        <v>26</v>
      </c>
      <c r="B437" s="3" t="s">
        <v>27</v>
      </c>
      <c r="C437" s="3" t="s">
        <v>28</v>
      </c>
      <c r="D437" s="3" t="s">
        <v>29</v>
      </c>
      <c r="E437" s="3" t="s">
        <v>186</v>
      </c>
      <c r="F437" s="3" t="s">
        <v>31</v>
      </c>
      <c r="G437" s="3" t="s">
        <v>186</v>
      </c>
      <c r="H437" s="3" t="s">
        <v>45</v>
      </c>
      <c r="I437" s="3">
        <v>2025</v>
      </c>
      <c r="J437" s="3" t="str">
        <f>CONCATENATE("54820049960")</f>
        <v>54820049960</v>
      </c>
      <c r="K437" s="3" t="s">
        <v>33</v>
      </c>
      <c r="L437" s="3"/>
      <c r="M437" s="3" t="s">
        <v>131</v>
      </c>
      <c r="N437" s="3" t="str">
        <f>CONCATENATE("RMNFNC49R61E743B")</f>
        <v>RMNFNC49R61E743B</v>
      </c>
      <c r="O437" s="3" t="s">
        <v>554</v>
      </c>
      <c r="P437" s="3" t="s">
        <v>36</v>
      </c>
      <c r="Q437" s="3"/>
      <c r="R437" s="4">
        <v>45996</v>
      </c>
      <c r="S437" s="3" t="s">
        <v>37</v>
      </c>
      <c r="T437" s="3" t="s">
        <v>38</v>
      </c>
      <c r="U437" s="3" t="s">
        <v>39</v>
      </c>
      <c r="V437" s="3">
        <v>78.349999999999994</v>
      </c>
      <c r="W437" s="3">
        <v>33.299999999999997</v>
      </c>
      <c r="X437" s="3">
        <v>31.54</v>
      </c>
      <c r="Y437" s="3">
        <v>13.51</v>
      </c>
    </row>
    <row r="438" spans="1:25" ht="60.75" x14ac:dyDescent="0.25">
      <c r="A438" s="3" t="s">
        <v>26</v>
      </c>
      <c r="B438" s="3" t="s">
        <v>27</v>
      </c>
      <c r="C438" s="3" t="s">
        <v>28</v>
      </c>
      <c r="D438" s="3" t="s">
        <v>29</v>
      </c>
      <c r="E438" s="3" t="s">
        <v>228</v>
      </c>
      <c r="F438" s="3" t="s">
        <v>31</v>
      </c>
      <c r="G438" s="3" t="s">
        <v>228</v>
      </c>
      <c r="H438" s="3" t="s">
        <v>45</v>
      </c>
      <c r="I438" s="3">
        <v>2025</v>
      </c>
      <c r="J438" s="3" t="str">
        <f>CONCATENATE("54820042262")</f>
        <v>54820042262</v>
      </c>
      <c r="K438" s="3" t="s">
        <v>33</v>
      </c>
      <c r="L438" s="3"/>
      <c r="M438" s="3" t="s">
        <v>131</v>
      </c>
      <c r="N438" s="3" t="str">
        <f>CONCATENATE("PRZGRL62T53G453I")</f>
        <v>PRZGRL62T53G453I</v>
      </c>
      <c r="O438" s="3" t="s">
        <v>555</v>
      </c>
      <c r="P438" s="3" t="s">
        <v>36</v>
      </c>
      <c r="Q438" s="3"/>
      <c r="R438" s="4">
        <v>45996</v>
      </c>
      <c r="S438" s="3" t="s">
        <v>37</v>
      </c>
      <c r="T438" s="3" t="s">
        <v>38</v>
      </c>
      <c r="U438" s="3" t="s">
        <v>39</v>
      </c>
      <c r="V438" s="3">
        <v>76.3</v>
      </c>
      <c r="W438" s="3">
        <v>32.43</v>
      </c>
      <c r="X438" s="3">
        <v>30.71</v>
      </c>
      <c r="Y438" s="3">
        <v>13.16</v>
      </c>
    </row>
    <row r="439" spans="1:25" ht="60.75" x14ac:dyDescent="0.25">
      <c r="A439" s="3" t="s">
        <v>26</v>
      </c>
      <c r="B439" s="3" t="s">
        <v>27</v>
      </c>
      <c r="C439" s="3" t="s">
        <v>28</v>
      </c>
      <c r="D439" s="3" t="s">
        <v>40</v>
      </c>
      <c r="E439" s="3" t="s">
        <v>218</v>
      </c>
      <c r="F439" s="3" t="s">
        <v>42</v>
      </c>
      <c r="G439" s="3" t="s">
        <v>218</v>
      </c>
      <c r="H439" s="3" t="s">
        <v>45</v>
      </c>
      <c r="I439" s="3">
        <v>2025</v>
      </c>
      <c r="J439" s="3" t="str">
        <f>CONCATENATE("54820029079")</f>
        <v>54820029079</v>
      </c>
      <c r="K439" s="3" t="s">
        <v>33</v>
      </c>
      <c r="L439" s="3"/>
      <c r="M439" s="3" t="s">
        <v>131</v>
      </c>
      <c r="N439" s="3" t="str">
        <f>CONCATENATE("PRTFNC70M26L500I")</f>
        <v>PRTFNC70M26L500I</v>
      </c>
      <c r="O439" s="3" t="s">
        <v>556</v>
      </c>
      <c r="P439" s="3" t="s">
        <v>36</v>
      </c>
      <c r="Q439" s="3"/>
      <c r="R439" s="4">
        <v>45996</v>
      </c>
      <c r="S439" s="3" t="s">
        <v>37</v>
      </c>
      <c r="T439" s="3" t="s">
        <v>38</v>
      </c>
      <c r="U439" s="3" t="s">
        <v>39</v>
      </c>
      <c r="V439" s="3">
        <v>876.15</v>
      </c>
      <c r="W439" s="3">
        <v>372.36</v>
      </c>
      <c r="X439" s="3">
        <v>352.65</v>
      </c>
      <c r="Y439" s="3">
        <v>151.13999999999999</v>
      </c>
    </row>
    <row r="440" spans="1:25" ht="60.75" x14ac:dyDescent="0.25">
      <c r="A440" s="3" t="s">
        <v>26</v>
      </c>
      <c r="B440" s="3" t="s">
        <v>27</v>
      </c>
      <c r="C440" s="3" t="s">
        <v>28</v>
      </c>
      <c r="D440" s="3" t="s">
        <v>50</v>
      </c>
      <c r="E440" s="3" t="s">
        <v>173</v>
      </c>
      <c r="F440" s="3" t="s">
        <v>52</v>
      </c>
      <c r="G440" s="3" t="s">
        <v>173</v>
      </c>
      <c r="H440" s="3" t="s">
        <v>45</v>
      </c>
      <c r="I440" s="3">
        <v>2025</v>
      </c>
      <c r="J440" s="3" t="str">
        <f>CONCATENATE("54820082276")</f>
        <v>54820082276</v>
      </c>
      <c r="K440" s="3" t="s">
        <v>33</v>
      </c>
      <c r="L440" s="3"/>
      <c r="M440" s="3" t="s">
        <v>131</v>
      </c>
      <c r="N440" s="3" t="str">
        <f>CONCATENATE("BRGMTN00L69G479Q")</f>
        <v>BRGMTN00L69G479Q</v>
      </c>
      <c r="O440" s="3" t="s">
        <v>557</v>
      </c>
      <c r="P440" s="3" t="s">
        <v>36</v>
      </c>
      <c r="Q440" s="3"/>
      <c r="R440" s="4">
        <v>45996</v>
      </c>
      <c r="S440" s="3" t="s">
        <v>37</v>
      </c>
      <c r="T440" s="3" t="s">
        <v>38</v>
      </c>
      <c r="U440" s="3" t="s">
        <v>39</v>
      </c>
      <c r="V440" s="3">
        <v>423.71</v>
      </c>
      <c r="W440" s="3">
        <v>180.08</v>
      </c>
      <c r="X440" s="3">
        <v>170.54</v>
      </c>
      <c r="Y440" s="3">
        <v>73.09</v>
      </c>
    </row>
    <row r="441" spans="1:25" ht="60.75" x14ac:dyDescent="0.25">
      <c r="A441" s="3" t="s">
        <v>26</v>
      </c>
      <c r="B441" s="3" t="s">
        <v>27</v>
      </c>
      <c r="C441" s="3" t="s">
        <v>28</v>
      </c>
      <c r="D441" s="3" t="s">
        <v>29</v>
      </c>
      <c r="E441" s="3" t="s">
        <v>136</v>
      </c>
      <c r="F441" s="3" t="s">
        <v>31</v>
      </c>
      <c r="G441" s="3" t="s">
        <v>136</v>
      </c>
      <c r="H441" s="3" t="s">
        <v>48</v>
      </c>
      <c r="I441" s="3">
        <v>2025</v>
      </c>
      <c r="J441" s="3" t="str">
        <f>CONCATENATE("54820039482")</f>
        <v>54820039482</v>
      </c>
      <c r="K441" s="3" t="s">
        <v>33</v>
      </c>
      <c r="L441" s="3"/>
      <c r="M441" s="3" t="s">
        <v>131</v>
      </c>
      <c r="N441" s="3" t="str">
        <f>CONCATENATE("MBRVLR58R30I461V")</f>
        <v>MBRVLR58R30I461V</v>
      </c>
      <c r="O441" s="3" t="s">
        <v>558</v>
      </c>
      <c r="P441" s="3" t="s">
        <v>36</v>
      </c>
      <c r="Q441" s="3"/>
      <c r="R441" s="4">
        <v>45996</v>
      </c>
      <c r="S441" s="3" t="s">
        <v>37</v>
      </c>
      <c r="T441" s="3" t="s">
        <v>38</v>
      </c>
      <c r="U441" s="3" t="s">
        <v>39</v>
      </c>
      <c r="V441" s="3">
        <v>120.03</v>
      </c>
      <c r="W441" s="3">
        <v>51.01</v>
      </c>
      <c r="X441" s="3">
        <v>48.31</v>
      </c>
      <c r="Y441" s="3">
        <v>20.71</v>
      </c>
    </row>
    <row r="442" spans="1:25" ht="60.75" x14ac:dyDescent="0.25">
      <c r="A442" s="3" t="s">
        <v>26</v>
      </c>
      <c r="B442" s="3" t="s">
        <v>27</v>
      </c>
      <c r="C442" s="3" t="s">
        <v>28</v>
      </c>
      <c r="D442" s="3" t="s">
        <v>29</v>
      </c>
      <c r="E442" s="3" t="s">
        <v>208</v>
      </c>
      <c r="F442" s="3" t="s">
        <v>31</v>
      </c>
      <c r="G442" s="3" t="s">
        <v>208</v>
      </c>
      <c r="H442" s="3" t="s">
        <v>45</v>
      </c>
      <c r="I442" s="3">
        <v>2025</v>
      </c>
      <c r="J442" s="3" t="str">
        <f>CONCATENATE("54820050638")</f>
        <v>54820050638</v>
      </c>
      <c r="K442" s="3" t="s">
        <v>33</v>
      </c>
      <c r="L442" s="3"/>
      <c r="M442" s="3" t="s">
        <v>131</v>
      </c>
      <c r="N442" s="3" t="str">
        <f>CONCATENATE("GMPLRS90B08I459U")</f>
        <v>GMPLRS90B08I459U</v>
      </c>
      <c r="O442" s="3" t="s">
        <v>559</v>
      </c>
      <c r="P442" s="3" t="s">
        <v>36</v>
      </c>
      <c r="Q442" s="3"/>
      <c r="R442" s="4">
        <v>45996</v>
      </c>
      <c r="S442" s="3" t="s">
        <v>37</v>
      </c>
      <c r="T442" s="3" t="s">
        <v>38</v>
      </c>
      <c r="U442" s="3" t="s">
        <v>39</v>
      </c>
      <c r="V442" s="3">
        <v>491.48</v>
      </c>
      <c r="W442" s="3">
        <v>208.88</v>
      </c>
      <c r="X442" s="3">
        <v>197.82</v>
      </c>
      <c r="Y442" s="3">
        <v>84.78</v>
      </c>
    </row>
    <row r="443" spans="1:25" ht="60.75" x14ac:dyDescent="0.25">
      <c r="A443" s="3" t="s">
        <v>26</v>
      </c>
      <c r="B443" s="3" t="s">
        <v>27</v>
      </c>
      <c r="C443" s="3" t="s">
        <v>28</v>
      </c>
      <c r="D443" s="3" t="s">
        <v>29</v>
      </c>
      <c r="E443" s="3" t="s">
        <v>72</v>
      </c>
      <c r="F443" s="3" t="s">
        <v>31</v>
      </c>
      <c r="G443" s="3" t="s">
        <v>72</v>
      </c>
      <c r="H443" s="3" t="s">
        <v>45</v>
      </c>
      <c r="I443" s="3">
        <v>2025</v>
      </c>
      <c r="J443" s="3" t="str">
        <f>CONCATENATE("54820053335")</f>
        <v>54820053335</v>
      </c>
      <c r="K443" s="3" t="s">
        <v>33</v>
      </c>
      <c r="L443" s="3"/>
      <c r="M443" s="3" t="s">
        <v>131</v>
      </c>
      <c r="N443" s="3" t="str">
        <f>CONCATENATE("CCCSRA61B21C745O")</f>
        <v>CCCSRA61B21C745O</v>
      </c>
      <c r="O443" s="3" t="s">
        <v>560</v>
      </c>
      <c r="P443" s="3" t="s">
        <v>36</v>
      </c>
      <c r="Q443" s="3"/>
      <c r="R443" s="4">
        <v>45996</v>
      </c>
      <c r="S443" s="3" t="s">
        <v>37</v>
      </c>
      <c r="T443" s="3" t="s">
        <v>38</v>
      </c>
      <c r="U443" s="3" t="s">
        <v>39</v>
      </c>
      <c r="V443" s="3">
        <v>155.97999999999999</v>
      </c>
      <c r="W443" s="3">
        <v>66.290000000000006</v>
      </c>
      <c r="X443" s="3">
        <v>62.78</v>
      </c>
      <c r="Y443" s="3">
        <v>26.91</v>
      </c>
    </row>
    <row r="444" spans="1:25" ht="72.75" x14ac:dyDescent="0.25">
      <c r="A444" s="3" t="s">
        <v>26</v>
      </c>
      <c r="B444" s="3" t="s">
        <v>27</v>
      </c>
      <c r="C444" s="3" t="s">
        <v>28</v>
      </c>
      <c r="D444" s="3" t="s">
        <v>40</v>
      </c>
      <c r="E444" s="3" t="s">
        <v>54</v>
      </c>
      <c r="F444" s="3" t="s">
        <v>42</v>
      </c>
      <c r="G444" s="3" t="s">
        <v>54</v>
      </c>
      <c r="H444" s="3" t="s">
        <v>45</v>
      </c>
      <c r="I444" s="3">
        <v>2025</v>
      </c>
      <c r="J444" s="3" t="str">
        <f>CONCATENATE("54820090014")</f>
        <v>54820090014</v>
      </c>
      <c r="K444" s="3" t="s">
        <v>33</v>
      </c>
      <c r="L444" s="3"/>
      <c r="M444" s="3" t="s">
        <v>131</v>
      </c>
      <c r="N444" s="3" t="str">
        <f>CONCATENATE("RGGRRT58A02B816G")</f>
        <v>RGGRRT58A02B816G</v>
      </c>
      <c r="O444" s="3" t="s">
        <v>561</v>
      </c>
      <c r="P444" s="3" t="s">
        <v>36</v>
      </c>
      <c r="Q444" s="3"/>
      <c r="R444" s="4">
        <v>45996</v>
      </c>
      <c r="S444" s="3" t="s">
        <v>37</v>
      </c>
      <c r="T444" s="3" t="s">
        <v>38</v>
      </c>
      <c r="U444" s="3" t="s">
        <v>39</v>
      </c>
      <c r="V444" s="3">
        <v>412.2</v>
      </c>
      <c r="W444" s="3">
        <v>175.19</v>
      </c>
      <c r="X444" s="3">
        <v>165.91</v>
      </c>
      <c r="Y444" s="3">
        <v>71.099999999999994</v>
      </c>
    </row>
    <row r="445" spans="1:25" ht="60.75" x14ac:dyDescent="0.25">
      <c r="A445" s="3" t="s">
        <v>26</v>
      </c>
      <c r="B445" s="3" t="s">
        <v>27</v>
      </c>
      <c r="C445" s="3" t="s">
        <v>28</v>
      </c>
      <c r="D445" s="3" t="s">
        <v>29</v>
      </c>
      <c r="E445" s="3" t="s">
        <v>186</v>
      </c>
      <c r="F445" s="3" t="s">
        <v>31</v>
      </c>
      <c r="G445" s="3" t="s">
        <v>186</v>
      </c>
      <c r="H445" s="3" t="s">
        <v>45</v>
      </c>
      <c r="I445" s="3">
        <v>2025</v>
      </c>
      <c r="J445" s="3" t="str">
        <f>CONCATENATE("54820038435")</f>
        <v>54820038435</v>
      </c>
      <c r="K445" s="3" t="s">
        <v>33</v>
      </c>
      <c r="L445" s="3"/>
      <c r="M445" s="3" t="s">
        <v>131</v>
      </c>
      <c r="N445" s="3" t="str">
        <f>CONCATENATE("MNNSFN65S14I459Y")</f>
        <v>MNNSFN65S14I459Y</v>
      </c>
      <c r="O445" s="3" t="s">
        <v>562</v>
      </c>
      <c r="P445" s="3" t="s">
        <v>36</v>
      </c>
      <c r="Q445" s="3"/>
      <c r="R445" s="4">
        <v>45996</v>
      </c>
      <c r="S445" s="3" t="s">
        <v>37</v>
      </c>
      <c r="T445" s="3" t="s">
        <v>38</v>
      </c>
      <c r="U445" s="3" t="s">
        <v>39</v>
      </c>
      <c r="V445" s="5">
        <v>1052.3</v>
      </c>
      <c r="W445" s="3">
        <v>447.23</v>
      </c>
      <c r="X445" s="3">
        <v>423.55</v>
      </c>
      <c r="Y445" s="3">
        <v>181.52</v>
      </c>
    </row>
    <row r="446" spans="1:25" ht="60.75" x14ac:dyDescent="0.25">
      <c r="A446" s="3" t="s">
        <v>26</v>
      </c>
      <c r="B446" s="3" t="s">
        <v>27</v>
      </c>
      <c r="C446" s="3" t="s">
        <v>28</v>
      </c>
      <c r="D446" s="3" t="s">
        <v>29</v>
      </c>
      <c r="E446" s="3" t="s">
        <v>403</v>
      </c>
      <c r="F446" s="3" t="s">
        <v>31</v>
      </c>
      <c r="G446" s="3" t="s">
        <v>403</v>
      </c>
      <c r="H446" s="3" t="s">
        <v>96</v>
      </c>
      <c r="I446" s="3">
        <v>2025</v>
      </c>
      <c r="J446" s="3" t="str">
        <f>CONCATENATE("54820012455")</f>
        <v>54820012455</v>
      </c>
      <c r="K446" s="3" t="s">
        <v>33</v>
      </c>
      <c r="L446" s="3"/>
      <c r="M446" s="3" t="s">
        <v>131</v>
      </c>
      <c r="N446" s="3" t="str">
        <f>CONCATENATE("NGLPRL64T10A462P")</f>
        <v>NGLPRL64T10A462P</v>
      </c>
      <c r="O446" s="3" t="s">
        <v>563</v>
      </c>
      <c r="P446" s="3" t="s">
        <v>36</v>
      </c>
      <c r="Q446" s="3"/>
      <c r="R446" s="4">
        <v>45996</v>
      </c>
      <c r="S446" s="3" t="s">
        <v>37</v>
      </c>
      <c r="T446" s="3" t="s">
        <v>38</v>
      </c>
      <c r="U446" s="3" t="s">
        <v>39</v>
      </c>
      <c r="V446" s="3">
        <v>313.48</v>
      </c>
      <c r="W446" s="3">
        <v>133.22999999999999</v>
      </c>
      <c r="X446" s="3">
        <v>126.18</v>
      </c>
      <c r="Y446" s="3">
        <v>54.07</v>
      </c>
    </row>
    <row r="447" spans="1:25" ht="60.75" x14ac:dyDescent="0.25">
      <c r="A447" s="3" t="s">
        <v>26</v>
      </c>
      <c r="B447" s="3" t="s">
        <v>27</v>
      </c>
      <c r="C447" s="3" t="s">
        <v>28</v>
      </c>
      <c r="D447" s="3" t="s">
        <v>50</v>
      </c>
      <c r="E447" s="3" t="s">
        <v>60</v>
      </c>
      <c r="F447" s="3" t="s">
        <v>52</v>
      </c>
      <c r="G447" s="3" t="s">
        <v>60</v>
      </c>
      <c r="H447" s="3" t="s">
        <v>45</v>
      </c>
      <c r="I447" s="3">
        <v>2025</v>
      </c>
      <c r="J447" s="3" t="str">
        <f>CONCATENATE("54820083563")</f>
        <v>54820083563</v>
      </c>
      <c r="K447" s="3" t="s">
        <v>33</v>
      </c>
      <c r="L447" s="3"/>
      <c r="M447" s="3" t="s">
        <v>131</v>
      </c>
      <c r="N447" s="3" t="str">
        <f>CONCATENATE("MRCBLD53P02I654F")</f>
        <v>MRCBLD53P02I654F</v>
      </c>
      <c r="O447" s="3" t="s">
        <v>564</v>
      </c>
      <c r="P447" s="3" t="s">
        <v>36</v>
      </c>
      <c r="Q447" s="3"/>
      <c r="R447" s="4">
        <v>45996</v>
      </c>
      <c r="S447" s="3" t="s">
        <v>37</v>
      </c>
      <c r="T447" s="3" t="s">
        <v>38</v>
      </c>
      <c r="U447" s="3" t="s">
        <v>39</v>
      </c>
      <c r="V447" s="3">
        <v>50.6</v>
      </c>
      <c r="W447" s="3">
        <v>21.51</v>
      </c>
      <c r="X447" s="3">
        <v>20.37</v>
      </c>
      <c r="Y447" s="3">
        <v>8.7200000000000006</v>
      </c>
    </row>
    <row r="448" spans="1:25" ht="60.75" x14ac:dyDescent="0.25">
      <c r="A448" s="3" t="s">
        <v>26</v>
      </c>
      <c r="B448" s="3" t="s">
        <v>27</v>
      </c>
      <c r="C448" s="3" t="s">
        <v>28</v>
      </c>
      <c r="D448" s="3" t="s">
        <v>50</v>
      </c>
      <c r="E448" s="3" t="s">
        <v>51</v>
      </c>
      <c r="F448" s="3" t="s">
        <v>52</v>
      </c>
      <c r="G448" s="3" t="s">
        <v>51</v>
      </c>
      <c r="H448" s="3" t="s">
        <v>48</v>
      </c>
      <c r="I448" s="3">
        <v>2025</v>
      </c>
      <c r="J448" s="3" t="str">
        <f>CONCATENATE("54820104500")</f>
        <v>54820104500</v>
      </c>
      <c r="K448" s="3" t="s">
        <v>33</v>
      </c>
      <c r="L448" s="3"/>
      <c r="M448" s="3" t="s">
        <v>131</v>
      </c>
      <c r="N448" s="3" t="str">
        <f>CONCATENATE("ZMPRRT65B63D451C")</f>
        <v>ZMPRRT65B63D451C</v>
      </c>
      <c r="O448" s="3" t="s">
        <v>565</v>
      </c>
      <c r="P448" s="3" t="s">
        <v>36</v>
      </c>
      <c r="Q448" s="3"/>
      <c r="R448" s="4">
        <v>45996</v>
      </c>
      <c r="S448" s="3" t="s">
        <v>37</v>
      </c>
      <c r="T448" s="3" t="s">
        <v>38</v>
      </c>
      <c r="U448" s="3" t="s">
        <v>39</v>
      </c>
      <c r="V448" s="3">
        <v>283.2</v>
      </c>
      <c r="W448" s="3">
        <v>120.36</v>
      </c>
      <c r="X448" s="3">
        <v>113.99</v>
      </c>
      <c r="Y448" s="3">
        <v>48.85</v>
      </c>
    </row>
    <row r="449" spans="1:25" ht="60.75" x14ac:dyDescent="0.25">
      <c r="A449" s="3" t="s">
        <v>26</v>
      </c>
      <c r="B449" s="3" t="s">
        <v>27</v>
      </c>
      <c r="C449" s="3" t="s">
        <v>28</v>
      </c>
      <c r="D449" s="3" t="s">
        <v>29</v>
      </c>
      <c r="E449" s="3" t="s">
        <v>72</v>
      </c>
      <c r="F449" s="3" t="s">
        <v>31</v>
      </c>
      <c r="G449" s="3" t="s">
        <v>72</v>
      </c>
      <c r="H449" s="3" t="s">
        <v>45</v>
      </c>
      <c r="I449" s="3">
        <v>2025</v>
      </c>
      <c r="J449" s="3" t="str">
        <f>CONCATENATE("54820088851")</f>
        <v>54820088851</v>
      </c>
      <c r="K449" s="3" t="s">
        <v>33</v>
      </c>
      <c r="L449" s="3"/>
      <c r="M449" s="3" t="s">
        <v>131</v>
      </c>
      <c r="N449" s="3" t="str">
        <f>CONCATENATE("SNTMRA46C30B352X")</f>
        <v>SNTMRA46C30B352X</v>
      </c>
      <c r="O449" s="3" t="s">
        <v>566</v>
      </c>
      <c r="P449" s="3" t="s">
        <v>36</v>
      </c>
      <c r="Q449" s="3"/>
      <c r="R449" s="4">
        <v>45996</v>
      </c>
      <c r="S449" s="3" t="s">
        <v>37</v>
      </c>
      <c r="T449" s="3" t="s">
        <v>38</v>
      </c>
      <c r="U449" s="3" t="s">
        <v>39</v>
      </c>
      <c r="V449" s="3">
        <v>102.77</v>
      </c>
      <c r="W449" s="3">
        <v>43.68</v>
      </c>
      <c r="X449" s="3">
        <v>41.36</v>
      </c>
      <c r="Y449" s="3">
        <v>17.73</v>
      </c>
    </row>
    <row r="450" spans="1:25" ht="60.75" x14ac:dyDescent="0.25">
      <c r="A450" s="3" t="s">
        <v>26</v>
      </c>
      <c r="B450" s="3" t="s">
        <v>27</v>
      </c>
      <c r="C450" s="3" t="s">
        <v>28</v>
      </c>
      <c r="D450" s="3" t="s">
        <v>50</v>
      </c>
      <c r="E450" s="3" t="s">
        <v>149</v>
      </c>
      <c r="F450" s="3" t="s">
        <v>52</v>
      </c>
      <c r="G450" s="3" t="s">
        <v>149</v>
      </c>
      <c r="H450" s="3" t="s">
        <v>96</v>
      </c>
      <c r="I450" s="3">
        <v>2025</v>
      </c>
      <c r="J450" s="3" t="str">
        <f>CONCATENATE("54820107818")</f>
        <v>54820107818</v>
      </c>
      <c r="K450" s="3" t="s">
        <v>33</v>
      </c>
      <c r="L450" s="3"/>
      <c r="M450" s="3" t="s">
        <v>131</v>
      </c>
      <c r="N450" s="3" t="str">
        <f>CONCATENATE("FRRFNC68D44A462Y")</f>
        <v>FRRFNC68D44A462Y</v>
      </c>
      <c r="O450" s="3" t="s">
        <v>567</v>
      </c>
      <c r="P450" s="3" t="s">
        <v>36</v>
      </c>
      <c r="Q450" s="3"/>
      <c r="R450" s="4">
        <v>45996</v>
      </c>
      <c r="S450" s="3" t="s">
        <v>37</v>
      </c>
      <c r="T450" s="3" t="s">
        <v>38</v>
      </c>
      <c r="U450" s="3" t="s">
        <v>39</v>
      </c>
      <c r="V450" s="3">
        <v>312.66000000000003</v>
      </c>
      <c r="W450" s="3">
        <v>132.88</v>
      </c>
      <c r="X450" s="3">
        <v>125.85</v>
      </c>
      <c r="Y450" s="3">
        <v>53.93</v>
      </c>
    </row>
    <row r="451" spans="1:25" ht="60.75" x14ac:dyDescent="0.25">
      <c r="A451" s="3" t="s">
        <v>26</v>
      </c>
      <c r="B451" s="3" t="s">
        <v>27</v>
      </c>
      <c r="C451" s="3" t="s">
        <v>28</v>
      </c>
      <c r="D451" s="3" t="s">
        <v>50</v>
      </c>
      <c r="E451" s="3" t="s">
        <v>173</v>
      </c>
      <c r="F451" s="3" t="s">
        <v>52</v>
      </c>
      <c r="G451" s="3" t="s">
        <v>173</v>
      </c>
      <c r="H451" s="3" t="s">
        <v>45</v>
      </c>
      <c r="I451" s="3">
        <v>2025</v>
      </c>
      <c r="J451" s="3" t="str">
        <f>CONCATENATE("54820142724")</f>
        <v>54820142724</v>
      </c>
      <c r="K451" s="3" t="s">
        <v>33</v>
      </c>
      <c r="L451" s="3"/>
      <c r="M451" s="3" t="s">
        <v>131</v>
      </c>
      <c r="N451" s="3" t="str">
        <f>CONCATENATE("BLDNDR51M21G551J")</f>
        <v>BLDNDR51M21G551J</v>
      </c>
      <c r="O451" s="3" t="s">
        <v>568</v>
      </c>
      <c r="P451" s="3" t="s">
        <v>36</v>
      </c>
      <c r="Q451" s="3"/>
      <c r="R451" s="4">
        <v>45996</v>
      </c>
      <c r="S451" s="3" t="s">
        <v>37</v>
      </c>
      <c r="T451" s="3" t="s">
        <v>38</v>
      </c>
      <c r="U451" s="3" t="s">
        <v>39</v>
      </c>
      <c r="V451" s="3">
        <v>379.72</v>
      </c>
      <c r="W451" s="3">
        <v>161.38</v>
      </c>
      <c r="X451" s="3">
        <v>152.84</v>
      </c>
      <c r="Y451" s="3">
        <v>65.5</v>
      </c>
    </row>
    <row r="452" spans="1:25" ht="60.75" x14ac:dyDescent="0.25">
      <c r="A452" s="3" t="s">
        <v>26</v>
      </c>
      <c r="B452" s="3" t="s">
        <v>27</v>
      </c>
      <c r="C452" s="3" t="s">
        <v>28</v>
      </c>
      <c r="D452" s="3" t="s">
        <v>50</v>
      </c>
      <c r="E452" s="3" t="s">
        <v>60</v>
      </c>
      <c r="F452" s="3" t="s">
        <v>52</v>
      </c>
      <c r="G452" s="3" t="s">
        <v>60</v>
      </c>
      <c r="H452" s="3" t="s">
        <v>45</v>
      </c>
      <c r="I452" s="3">
        <v>2025</v>
      </c>
      <c r="J452" s="3" t="str">
        <f>CONCATENATE("54820142195")</f>
        <v>54820142195</v>
      </c>
      <c r="K452" s="3" t="s">
        <v>33</v>
      </c>
      <c r="L452" s="3"/>
      <c r="M452" s="3" t="s">
        <v>131</v>
      </c>
      <c r="N452" s="3" t="str">
        <f>CONCATENATE("CNINDN54E66B352F")</f>
        <v>CNINDN54E66B352F</v>
      </c>
      <c r="O452" s="3" t="s">
        <v>569</v>
      </c>
      <c r="P452" s="3" t="s">
        <v>36</v>
      </c>
      <c r="Q452" s="3"/>
      <c r="R452" s="4">
        <v>45996</v>
      </c>
      <c r="S452" s="3" t="s">
        <v>37</v>
      </c>
      <c r="T452" s="3" t="s">
        <v>38</v>
      </c>
      <c r="U452" s="3" t="s">
        <v>39</v>
      </c>
      <c r="V452" s="3">
        <v>150.87</v>
      </c>
      <c r="W452" s="3">
        <v>64.12</v>
      </c>
      <c r="X452" s="3">
        <v>60.73</v>
      </c>
      <c r="Y452" s="3">
        <v>26.02</v>
      </c>
    </row>
    <row r="453" spans="1:25" ht="60.75" x14ac:dyDescent="0.25">
      <c r="A453" s="3" t="s">
        <v>26</v>
      </c>
      <c r="B453" s="3" t="s">
        <v>27</v>
      </c>
      <c r="C453" s="3" t="s">
        <v>28</v>
      </c>
      <c r="D453" s="3" t="s">
        <v>29</v>
      </c>
      <c r="E453" s="3" t="s">
        <v>136</v>
      </c>
      <c r="F453" s="3" t="s">
        <v>31</v>
      </c>
      <c r="G453" s="3" t="s">
        <v>136</v>
      </c>
      <c r="H453" s="3" t="s">
        <v>48</v>
      </c>
      <c r="I453" s="3">
        <v>2025</v>
      </c>
      <c r="J453" s="3" t="str">
        <f>CONCATENATE("54820139241")</f>
        <v>54820139241</v>
      </c>
      <c r="K453" s="3" t="s">
        <v>33</v>
      </c>
      <c r="L453" s="3"/>
      <c r="M453" s="3" t="s">
        <v>131</v>
      </c>
      <c r="N453" s="3" t="str">
        <f>CONCATENATE("PSSLSN59B14H501R")</f>
        <v>PSSLSN59B14H501R</v>
      </c>
      <c r="O453" s="3" t="s">
        <v>570</v>
      </c>
      <c r="P453" s="3" t="s">
        <v>36</v>
      </c>
      <c r="Q453" s="3"/>
      <c r="R453" s="4">
        <v>45996</v>
      </c>
      <c r="S453" s="3" t="s">
        <v>37</v>
      </c>
      <c r="T453" s="3" t="s">
        <v>38</v>
      </c>
      <c r="U453" s="3" t="s">
        <v>39</v>
      </c>
      <c r="V453" s="3">
        <v>286.88</v>
      </c>
      <c r="W453" s="3">
        <v>121.92</v>
      </c>
      <c r="X453" s="3">
        <v>115.47</v>
      </c>
      <c r="Y453" s="3">
        <v>49.49</v>
      </c>
    </row>
    <row r="454" spans="1:25" ht="72.75" x14ac:dyDescent="0.25">
      <c r="A454" s="3" t="s">
        <v>26</v>
      </c>
      <c r="B454" s="3" t="s">
        <v>27</v>
      </c>
      <c r="C454" s="3" t="s">
        <v>28</v>
      </c>
      <c r="D454" s="3" t="s">
        <v>29</v>
      </c>
      <c r="E454" s="3" t="s">
        <v>208</v>
      </c>
      <c r="F454" s="3" t="s">
        <v>31</v>
      </c>
      <c r="G454" s="3" t="s">
        <v>208</v>
      </c>
      <c r="H454" s="3" t="s">
        <v>45</v>
      </c>
      <c r="I454" s="3">
        <v>2025</v>
      </c>
      <c r="J454" s="3" t="str">
        <f>CONCATENATE("54820046941")</f>
        <v>54820046941</v>
      </c>
      <c r="K454" s="3" t="s">
        <v>33</v>
      </c>
      <c r="L454" s="3"/>
      <c r="M454" s="3" t="s">
        <v>131</v>
      </c>
      <c r="N454" s="3" t="str">
        <f>CONCATENATE("GBLRME47A01B026R")</f>
        <v>GBLRME47A01B026R</v>
      </c>
      <c r="O454" s="3" t="s">
        <v>571</v>
      </c>
      <c r="P454" s="3" t="s">
        <v>36</v>
      </c>
      <c r="Q454" s="3"/>
      <c r="R454" s="4">
        <v>45996</v>
      </c>
      <c r="S454" s="3" t="s">
        <v>37</v>
      </c>
      <c r="T454" s="3" t="s">
        <v>38</v>
      </c>
      <c r="U454" s="3" t="s">
        <v>39</v>
      </c>
      <c r="V454" s="3">
        <v>117.35</v>
      </c>
      <c r="W454" s="3">
        <v>49.87</v>
      </c>
      <c r="X454" s="3">
        <v>47.23</v>
      </c>
      <c r="Y454" s="3">
        <v>20.25</v>
      </c>
    </row>
    <row r="455" spans="1:25" ht="60.75" x14ac:dyDescent="0.25">
      <c r="A455" s="3" t="s">
        <v>26</v>
      </c>
      <c r="B455" s="3" t="s">
        <v>27</v>
      </c>
      <c r="C455" s="3" t="s">
        <v>28</v>
      </c>
      <c r="D455" s="3" t="s">
        <v>104</v>
      </c>
      <c r="E455" s="3" t="s">
        <v>268</v>
      </c>
      <c r="F455" s="3" t="s">
        <v>104</v>
      </c>
      <c r="G455" s="3" t="s">
        <v>268</v>
      </c>
      <c r="H455" s="3" t="s">
        <v>32</v>
      </c>
      <c r="I455" s="3">
        <v>2025</v>
      </c>
      <c r="J455" s="3" t="str">
        <f>CONCATENATE("54820080114")</f>
        <v>54820080114</v>
      </c>
      <c r="K455" s="3" t="s">
        <v>33</v>
      </c>
      <c r="L455" s="3"/>
      <c r="M455" s="3" t="s">
        <v>131</v>
      </c>
      <c r="N455" s="3" t="str">
        <f>CONCATENATE("MNCDNC40A08I651O")</f>
        <v>MNCDNC40A08I651O</v>
      </c>
      <c r="O455" s="3" t="s">
        <v>572</v>
      </c>
      <c r="P455" s="3" t="s">
        <v>36</v>
      </c>
      <c r="Q455" s="3"/>
      <c r="R455" s="4">
        <v>45996</v>
      </c>
      <c r="S455" s="3" t="s">
        <v>37</v>
      </c>
      <c r="T455" s="3" t="s">
        <v>38</v>
      </c>
      <c r="U455" s="3" t="s">
        <v>39</v>
      </c>
      <c r="V455" s="3">
        <v>194.72</v>
      </c>
      <c r="W455" s="3">
        <v>82.76</v>
      </c>
      <c r="X455" s="3">
        <v>78.37</v>
      </c>
      <c r="Y455" s="3">
        <v>33.590000000000003</v>
      </c>
    </row>
    <row r="456" spans="1:25" ht="60.75" x14ac:dyDescent="0.25">
      <c r="A456" s="3" t="s">
        <v>26</v>
      </c>
      <c r="B456" s="3" t="s">
        <v>27</v>
      </c>
      <c r="C456" s="3" t="s">
        <v>28</v>
      </c>
      <c r="D456" s="3" t="s">
        <v>29</v>
      </c>
      <c r="E456" s="3" t="s">
        <v>101</v>
      </c>
      <c r="F456" s="3" t="s">
        <v>31</v>
      </c>
      <c r="G456" s="3" t="s">
        <v>101</v>
      </c>
      <c r="H456" s="3" t="s">
        <v>32</v>
      </c>
      <c r="I456" s="3">
        <v>2025</v>
      </c>
      <c r="J456" s="3" t="str">
        <f>CONCATENATE("54820102983")</f>
        <v>54820102983</v>
      </c>
      <c r="K456" s="3" t="s">
        <v>33</v>
      </c>
      <c r="L456" s="3"/>
      <c r="M456" s="3" t="s">
        <v>131</v>
      </c>
      <c r="N456" s="3" t="str">
        <f>CONCATENATE("RPRSFN72A64E783Q")</f>
        <v>RPRSFN72A64E783Q</v>
      </c>
      <c r="O456" s="3" t="s">
        <v>573</v>
      </c>
      <c r="P456" s="3" t="s">
        <v>36</v>
      </c>
      <c r="Q456" s="3"/>
      <c r="R456" s="4">
        <v>45996</v>
      </c>
      <c r="S456" s="3" t="s">
        <v>37</v>
      </c>
      <c r="T456" s="3" t="s">
        <v>38</v>
      </c>
      <c r="U456" s="3" t="s">
        <v>39</v>
      </c>
      <c r="V456" s="3">
        <v>368.14</v>
      </c>
      <c r="W456" s="3">
        <v>156.46</v>
      </c>
      <c r="X456" s="3">
        <v>148.18</v>
      </c>
      <c r="Y456" s="3">
        <v>63.5</v>
      </c>
    </row>
    <row r="457" spans="1:25" ht="60.75" x14ac:dyDescent="0.25">
      <c r="A457" s="3" t="s">
        <v>26</v>
      </c>
      <c r="B457" s="3" t="s">
        <v>27</v>
      </c>
      <c r="C457" s="3" t="s">
        <v>28</v>
      </c>
      <c r="D457" s="3" t="s">
        <v>50</v>
      </c>
      <c r="E457" s="3" t="s">
        <v>147</v>
      </c>
      <c r="F457" s="3" t="s">
        <v>52</v>
      </c>
      <c r="G457" s="3" t="s">
        <v>147</v>
      </c>
      <c r="H457" s="3" t="s">
        <v>45</v>
      </c>
      <c r="I457" s="3">
        <v>2025</v>
      </c>
      <c r="J457" s="3" t="str">
        <f>CONCATENATE("54820162185")</f>
        <v>54820162185</v>
      </c>
      <c r="K457" s="3" t="s">
        <v>33</v>
      </c>
      <c r="L457" s="3"/>
      <c r="M457" s="3" t="s">
        <v>131</v>
      </c>
      <c r="N457" s="3" t="str">
        <f>CONCATENATE("PNENSI77R69G479E")</f>
        <v>PNENSI77R69G479E</v>
      </c>
      <c r="O457" s="3" t="s">
        <v>574</v>
      </c>
      <c r="P457" s="3" t="s">
        <v>36</v>
      </c>
      <c r="Q457" s="3"/>
      <c r="R457" s="4">
        <v>45996</v>
      </c>
      <c r="S457" s="3" t="s">
        <v>37</v>
      </c>
      <c r="T457" s="3" t="s">
        <v>38</v>
      </c>
      <c r="U457" s="3" t="s">
        <v>39</v>
      </c>
      <c r="V457" s="3">
        <v>113.22</v>
      </c>
      <c r="W457" s="3">
        <v>48.12</v>
      </c>
      <c r="X457" s="3">
        <v>45.57</v>
      </c>
      <c r="Y457" s="3">
        <v>19.53</v>
      </c>
    </row>
    <row r="458" spans="1:25" ht="60.75" x14ac:dyDescent="0.25">
      <c r="A458" s="3" t="s">
        <v>26</v>
      </c>
      <c r="B458" s="3" t="s">
        <v>27</v>
      </c>
      <c r="C458" s="3" t="s">
        <v>28</v>
      </c>
      <c r="D458" s="3" t="s">
        <v>29</v>
      </c>
      <c r="E458" s="3" t="s">
        <v>186</v>
      </c>
      <c r="F458" s="3" t="s">
        <v>31</v>
      </c>
      <c r="G458" s="3" t="s">
        <v>186</v>
      </c>
      <c r="H458" s="3" t="s">
        <v>45</v>
      </c>
      <c r="I458" s="3">
        <v>2025</v>
      </c>
      <c r="J458" s="3" t="str">
        <f>CONCATENATE("54820144928")</f>
        <v>54820144928</v>
      </c>
      <c r="K458" s="3" t="s">
        <v>33</v>
      </c>
      <c r="L458" s="3"/>
      <c r="M458" s="3" t="s">
        <v>131</v>
      </c>
      <c r="N458" s="3" t="str">
        <f>CONCATENATE("DTLMRA61P24Z130F")</f>
        <v>DTLMRA61P24Z130F</v>
      </c>
      <c r="O458" s="3" t="s">
        <v>575</v>
      </c>
      <c r="P458" s="3" t="s">
        <v>36</v>
      </c>
      <c r="Q458" s="3"/>
      <c r="R458" s="4">
        <v>45996</v>
      </c>
      <c r="S458" s="3" t="s">
        <v>37</v>
      </c>
      <c r="T458" s="3" t="s">
        <v>38</v>
      </c>
      <c r="U458" s="3" t="s">
        <v>39</v>
      </c>
      <c r="V458" s="5">
        <v>1047.9000000000001</v>
      </c>
      <c r="W458" s="3">
        <v>445.36</v>
      </c>
      <c r="X458" s="3">
        <v>421.78</v>
      </c>
      <c r="Y458" s="3">
        <v>180.76</v>
      </c>
    </row>
    <row r="459" spans="1:25" ht="60.75" x14ac:dyDescent="0.25">
      <c r="A459" s="3" t="s">
        <v>26</v>
      </c>
      <c r="B459" s="3" t="s">
        <v>27</v>
      </c>
      <c r="C459" s="3" t="s">
        <v>28</v>
      </c>
      <c r="D459" s="3" t="s">
        <v>50</v>
      </c>
      <c r="E459" s="3" t="s">
        <v>60</v>
      </c>
      <c r="F459" s="3" t="s">
        <v>52</v>
      </c>
      <c r="G459" s="3" t="s">
        <v>60</v>
      </c>
      <c r="H459" s="3" t="s">
        <v>45</v>
      </c>
      <c r="I459" s="3">
        <v>2025</v>
      </c>
      <c r="J459" s="3" t="str">
        <f>CONCATENATE("54820120944")</f>
        <v>54820120944</v>
      </c>
      <c r="K459" s="3" t="s">
        <v>33</v>
      </c>
      <c r="L459" s="3"/>
      <c r="M459" s="3" t="s">
        <v>131</v>
      </c>
      <c r="N459" s="3" t="str">
        <f>CONCATENATE("MNCVRN37B57G453L")</f>
        <v>MNCVRN37B57G453L</v>
      </c>
      <c r="O459" s="3" t="s">
        <v>576</v>
      </c>
      <c r="P459" s="3" t="s">
        <v>36</v>
      </c>
      <c r="Q459" s="3"/>
      <c r="R459" s="4">
        <v>45996</v>
      </c>
      <c r="S459" s="3" t="s">
        <v>37</v>
      </c>
      <c r="T459" s="3" t="s">
        <v>38</v>
      </c>
      <c r="U459" s="3" t="s">
        <v>39</v>
      </c>
      <c r="V459" s="3">
        <v>297.45</v>
      </c>
      <c r="W459" s="3">
        <v>126.42</v>
      </c>
      <c r="X459" s="3">
        <v>119.72</v>
      </c>
      <c r="Y459" s="3">
        <v>51.31</v>
      </c>
    </row>
    <row r="460" spans="1:25" ht="72.75" x14ac:dyDescent="0.25">
      <c r="A460" s="3" t="s">
        <v>26</v>
      </c>
      <c r="B460" s="3" t="s">
        <v>27</v>
      </c>
      <c r="C460" s="3" t="s">
        <v>28</v>
      </c>
      <c r="D460" s="3" t="s">
        <v>91</v>
      </c>
      <c r="E460" s="3" t="s">
        <v>151</v>
      </c>
      <c r="F460" s="3" t="s">
        <v>93</v>
      </c>
      <c r="G460" s="3" t="s">
        <v>151</v>
      </c>
      <c r="H460" s="3" t="s">
        <v>45</v>
      </c>
      <c r="I460" s="3">
        <v>2025</v>
      </c>
      <c r="J460" s="3" t="str">
        <f>CONCATENATE("54820115639")</f>
        <v>54820115639</v>
      </c>
      <c r="K460" s="3" t="s">
        <v>33</v>
      </c>
      <c r="L460" s="3"/>
      <c r="M460" s="3" t="s">
        <v>131</v>
      </c>
      <c r="N460" s="3" t="str">
        <f>CONCATENATE("VMPMLN46M55B846O")</f>
        <v>VMPMLN46M55B846O</v>
      </c>
      <c r="O460" s="3" t="s">
        <v>577</v>
      </c>
      <c r="P460" s="3" t="s">
        <v>36</v>
      </c>
      <c r="Q460" s="3"/>
      <c r="R460" s="4">
        <v>45996</v>
      </c>
      <c r="S460" s="3" t="s">
        <v>37</v>
      </c>
      <c r="T460" s="3" t="s">
        <v>38</v>
      </c>
      <c r="U460" s="3" t="s">
        <v>39</v>
      </c>
      <c r="V460" s="3">
        <v>356.95</v>
      </c>
      <c r="W460" s="3">
        <v>151.69999999999999</v>
      </c>
      <c r="X460" s="3">
        <v>143.66999999999999</v>
      </c>
      <c r="Y460" s="3">
        <v>61.58</v>
      </c>
    </row>
    <row r="461" spans="1:25" ht="36.75" x14ac:dyDescent="0.25">
      <c r="A461" s="3" t="s">
        <v>26</v>
      </c>
      <c r="B461" s="3" t="s">
        <v>27</v>
      </c>
      <c r="C461" s="3" t="s">
        <v>28</v>
      </c>
      <c r="D461" s="3" t="s">
        <v>29</v>
      </c>
      <c r="E461" s="3" t="s">
        <v>476</v>
      </c>
      <c r="F461" s="3" t="s">
        <v>31</v>
      </c>
      <c r="G461" s="3" t="s">
        <v>476</v>
      </c>
      <c r="H461" s="3" t="s">
        <v>48</v>
      </c>
      <c r="I461" s="3">
        <v>2025</v>
      </c>
      <c r="J461" s="3" t="str">
        <f>CONCATENATE("54820110614")</f>
        <v>54820110614</v>
      </c>
      <c r="K461" s="3" t="s">
        <v>33</v>
      </c>
      <c r="L461" s="3"/>
      <c r="M461" s="3" t="s">
        <v>131</v>
      </c>
      <c r="N461" s="3" t="str">
        <f>CONCATENATE("00094420429")</f>
        <v>00094420429</v>
      </c>
      <c r="O461" s="3" t="s">
        <v>578</v>
      </c>
      <c r="P461" s="3" t="s">
        <v>36</v>
      </c>
      <c r="Q461" s="3"/>
      <c r="R461" s="4">
        <v>45996</v>
      </c>
      <c r="S461" s="3" t="s">
        <v>37</v>
      </c>
      <c r="T461" s="3" t="s">
        <v>38</v>
      </c>
      <c r="U461" s="3" t="s">
        <v>39</v>
      </c>
      <c r="V461" s="3">
        <v>577.51</v>
      </c>
      <c r="W461" s="3">
        <v>245.44</v>
      </c>
      <c r="X461" s="3">
        <v>232.45</v>
      </c>
      <c r="Y461" s="3">
        <v>99.62</v>
      </c>
    </row>
    <row r="462" spans="1:25" ht="36.75" x14ac:dyDescent="0.25">
      <c r="A462" s="3" t="s">
        <v>26</v>
      </c>
      <c r="B462" s="3" t="s">
        <v>27</v>
      </c>
      <c r="C462" s="3" t="s">
        <v>28</v>
      </c>
      <c r="D462" s="3" t="s">
        <v>50</v>
      </c>
      <c r="E462" s="3" t="s">
        <v>212</v>
      </c>
      <c r="F462" s="3" t="s">
        <v>52</v>
      </c>
      <c r="G462" s="3" t="s">
        <v>212</v>
      </c>
      <c r="H462" s="3" t="s">
        <v>32</v>
      </c>
      <c r="I462" s="3">
        <v>2025</v>
      </c>
      <c r="J462" s="3" t="str">
        <f>CONCATENATE("54820120118")</f>
        <v>54820120118</v>
      </c>
      <c r="K462" s="3" t="s">
        <v>33</v>
      </c>
      <c r="L462" s="3"/>
      <c r="M462" s="3" t="s">
        <v>131</v>
      </c>
      <c r="N462" s="3" t="str">
        <f>CONCATENATE("00972350433")</f>
        <v>00972350433</v>
      </c>
      <c r="O462" s="3" t="s">
        <v>579</v>
      </c>
      <c r="P462" s="3" t="s">
        <v>36</v>
      </c>
      <c r="Q462" s="3"/>
      <c r="R462" s="4">
        <v>45996</v>
      </c>
      <c r="S462" s="3" t="s">
        <v>37</v>
      </c>
      <c r="T462" s="3" t="s">
        <v>38</v>
      </c>
      <c r="U462" s="3" t="s">
        <v>39</v>
      </c>
      <c r="V462" s="3">
        <v>248.99</v>
      </c>
      <c r="W462" s="3">
        <v>105.82</v>
      </c>
      <c r="X462" s="3">
        <v>100.22</v>
      </c>
      <c r="Y462" s="3">
        <v>42.95</v>
      </c>
    </row>
    <row r="463" spans="1:25" ht="36.75" x14ac:dyDescent="0.25">
      <c r="A463" s="3" t="s">
        <v>26</v>
      </c>
      <c r="B463" s="3" t="s">
        <v>27</v>
      </c>
      <c r="C463" s="3" t="s">
        <v>28</v>
      </c>
      <c r="D463" s="3" t="s">
        <v>29</v>
      </c>
      <c r="E463" s="3" t="s">
        <v>72</v>
      </c>
      <c r="F463" s="3" t="s">
        <v>31</v>
      </c>
      <c r="G463" s="3" t="s">
        <v>72</v>
      </c>
      <c r="H463" s="3" t="s">
        <v>45</v>
      </c>
      <c r="I463" s="3">
        <v>2025</v>
      </c>
      <c r="J463" s="3" t="str">
        <f>CONCATENATE("54820251806")</f>
        <v>54820251806</v>
      </c>
      <c r="K463" s="3" t="s">
        <v>33</v>
      </c>
      <c r="L463" s="3"/>
      <c r="M463" s="3" t="s">
        <v>131</v>
      </c>
      <c r="N463" s="3" t="str">
        <f>CONCATENATE("01438640417")</f>
        <v>01438640417</v>
      </c>
      <c r="O463" s="3" t="s">
        <v>580</v>
      </c>
      <c r="P463" s="3" t="s">
        <v>36</v>
      </c>
      <c r="Q463" s="3"/>
      <c r="R463" s="4">
        <v>45996</v>
      </c>
      <c r="S463" s="3" t="s">
        <v>37</v>
      </c>
      <c r="T463" s="3" t="s">
        <v>38</v>
      </c>
      <c r="U463" s="3" t="s">
        <v>39</v>
      </c>
      <c r="V463" s="5">
        <v>1256.5</v>
      </c>
      <c r="W463" s="3">
        <v>534.01</v>
      </c>
      <c r="X463" s="3">
        <v>505.74</v>
      </c>
      <c r="Y463" s="3">
        <v>216.75</v>
      </c>
    </row>
    <row r="464" spans="1:25" ht="72.75" x14ac:dyDescent="0.25">
      <c r="A464" s="3" t="s">
        <v>26</v>
      </c>
      <c r="B464" s="3" t="s">
        <v>27</v>
      </c>
      <c r="C464" s="3" t="s">
        <v>28</v>
      </c>
      <c r="D464" s="3" t="s">
        <v>29</v>
      </c>
      <c r="E464" s="3" t="s">
        <v>68</v>
      </c>
      <c r="F464" s="3" t="s">
        <v>31</v>
      </c>
      <c r="G464" s="3" t="s">
        <v>68</v>
      </c>
      <c r="H464" s="3" t="s">
        <v>32</v>
      </c>
      <c r="I464" s="3">
        <v>2025</v>
      </c>
      <c r="J464" s="3" t="str">
        <f>CONCATENATE("54820107180")</f>
        <v>54820107180</v>
      </c>
      <c r="K464" s="3" t="s">
        <v>33</v>
      </c>
      <c r="L464" s="3"/>
      <c r="M464" s="3" t="s">
        <v>131</v>
      </c>
      <c r="N464" s="3" t="str">
        <f>CONCATENATE("CTNNTS58D04G436D")</f>
        <v>CTNNTS58D04G436D</v>
      </c>
      <c r="O464" s="3" t="s">
        <v>581</v>
      </c>
      <c r="P464" s="3" t="s">
        <v>36</v>
      </c>
      <c r="Q464" s="3"/>
      <c r="R464" s="4">
        <v>45996</v>
      </c>
      <c r="S464" s="3" t="s">
        <v>37</v>
      </c>
      <c r="T464" s="3" t="s">
        <v>38</v>
      </c>
      <c r="U464" s="3" t="s">
        <v>39</v>
      </c>
      <c r="V464" s="3">
        <v>169.9</v>
      </c>
      <c r="W464" s="3">
        <v>72.209999999999994</v>
      </c>
      <c r="X464" s="3">
        <v>68.38</v>
      </c>
      <c r="Y464" s="3">
        <v>29.31</v>
      </c>
    </row>
    <row r="465" spans="1:25" ht="60.75" x14ac:dyDescent="0.25">
      <c r="A465" s="3" t="s">
        <v>26</v>
      </c>
      <c r="B465" s="3" t="s">
        <v>27</v>
      </c>
      <c r="C465" s="3" t="s">
        <v>28</v>
      </c>
      <c r="D465" s="3" t="s">
        <v>50</v>
      </c>
      <c r="E465" s="3" t="s">
        <v>149</v>
      </c>
      <c r="F465" s="3" t="s">
        <v>52</v>
      </c>
      <c r="G465" s="3" t="s">
        <v>149</v>
      </c>
      <c r="H465" s="3" t="s">
        <v>96</v>
      </c>
      <c r="I465" s="3">
        <v>2025</v>
      </c>
      <c r="J465" s="3" t="str">
        <f>CONCATENATE("54820065404")</f>
        <v>54820065404</v>
      </c>
      <c r="K465" s="3" t="s">
        <v>33</v>
      </c>
      <c r="L465" s="3"/>
      <c r="M465" s="3" t="s">
        <v>131</v>
      </c>
      <c r="N465" s="3" t="str">
        <f>CONCATENATE("CLMPTR57C24H390K")</f>
        <v>CLMPTR57C24H390K</v>
      </c>
      <c r="O465" s="3" t="s">
        <v>582</v>
      </c>
      <c r="P465" s="3" t="s">
        <v>36</v>
      </c>
      <c r="Q465" s="3"/>
      <c r="R465" s="4">
        <v>45996</v>
      </c>
      <c r="S465" s="3" t="s">
        <v>37</v>
      </c>
      <c r="T465" s="3" t="s">
        <v>38</v>
      </c>
      <c r="U465" s="3" t="s">
        <v>39</v>
      </c>
      <c r="V465" s="3">
        <v>66.95</v>
      </c>
      <c r="W465" s="3">
        <v>28.45</v>
      </c>
      <c r="X465" s="3">
        <v>26.95</v>
      </c>
      <c r="Y465" s="3">
        <v>11.55</v>
      </c>
    </row>
    <row r="466" spans="1:25" ht="36.75" x14ac:dyDescent="0.25">
      <c r="A466" s="3" t="s">
        <v>26</v>
      </c>
      <c r="B466" s="3" t="s">
        <v>27</v>
      </c>
      <c r="C466" s="3" t="s">
        <v>28</v>
      </c>
      <c r="D466" s="3" t="s">
        <v>40</v>
      </c>
      <c r="E466" s="3" t="s">
        <v>54</v>
      </c>
      <c r="F466" s="3" t="s">
        <v>42</v>
      </c>
      <c r="G466" s="3" t="s">
        <v>54</v>
      </c>
      <c r="H466" s="3" t="s">
        <v>45</v>
      </c>
      <c r="I466" s="3">
        <v>2025</v>
      </c>
      <c r="J466" s="3" t="str">
        <f>CONCATENATE("54820073853")</f>
        <v>54820073853</v>
      </c>
      <c r="K466" s="3" t="s">
        <v>33</v>
      </c>
      <c r="L466" s="3"/>
      <c r="M466" s="3" t="s">
        <v>131</v>
      </c>
      <c r="N466" s="3" t="str">
        <f>CONCATENATE("02678730413")</f>
        <v>02678730413</v>
      </c>
      <c r="O466" s="3" t="s">
        <v>583</v>
      </c>
      <c r="P466" s="3" t="s">
        <v>36</v>
      </c>
      <c r="Q466" s="3"/>
      <c r="R466" s="4">
        <v>45996</v>
      </c>
      <c r="S466" s="3" t="s">
        <v>37</v>
      </c>
      <c r="T466" s="3" t="s">
        <v>38</v>
      </c>
      <c r="U466" s="3" t="s">
        <v>39</v>
      </c>
      <c r="V466" s="3">
        <v>942.13</v>
      </c>
      <c r="W466" s="3">
        <v>400.41</v>
      </c>
      <c r="X466" s="3">
        <v>379.21</v>
      </c>
      <c r="Y466" s="3">
        <v>162.51</v>
      </c>
    </row>
    <row r="467" spans="1:25" ht="36.75" x14ac:dyDescent="0.25">
      <c r="A467" s="3" t="s">
        <v>26</v>
      </c>
      <c r="B467" s="3" t="s">
        <v>27</v>
      </c>
      <c r="C467" s="3" t="s">
        <v>28</v>
      </c>
      <c r="D467" s="3" t="s">
        <v>104</v>
      </c>
      <c r="E467" s="3" t="s">
        <v>141</v>
      </c>
      <c r="F467" s="3" t="s">
        <v>104</v>
      </c>
      <c r="G467" s="3" t="s">
        <v>141</v>
      </c>
      <c r="H467" s="3" t="s">
        <v>96</v>
      </c>
      <c r="I467" s="3">
        <v>2025</v>
      </c>
      <c r="J467" s="3" t="str">
        <f>CONCATENATE("54820276944")</f>
        <v>54820276944</v>
      </c>
      <c r="K467" s="3" t="s">
        <v>33</v>
      </c>
      <c r="L467" s="3"/>
      <c r="M467" s="3" t="s">
        <v>131</v>
      </c>
      <c r="N467" s="3" t="str">
        <f>CONCATENATE("01569470444")</f>
        <v>01569470444</v>
      </c>
      <c r="O467" s="3" t="s">
        <v>584</v>
      </c>
      <c r="P467" s="3" t="s">
        <v>36</v>
      </c>
      <c r="Q467" s="3"/>
      <c r="R467" s="4">
        <v>45996</v>
      </c>
      <c r="S467" s="3" t="s">
        <v>37</v>
      </c>
      <c r="T467" s="3" t="s">
        <v>38</v>
      </c>
      <c r="U467" s="3" t="s">
        <v>39</v>
      </c>
      <c r="V467" s="3">
        <v>909.78</v>
      </c>
      <c r="W467" s="3">
        <v>386.66</v>
      </c>
      <c r="X467" s="3">
        <v>366.19</v>
      </c>
      <c r="Y467" s="3">
        <v>156.93</v>
      </c>
    </row>
    <row r="468" spans="1:25" ht="36.75" x14ac:dyDescent="0.25">
      <c r="A468" s="3" t="s">
        <v>26</v>
      </c>
      <c r="B468" s="3" t="s">
        <v>27</v>
      </c>
      <c r="C468" s="3" t="s">
        <v>28</v>
      </c>
      <c r="D468" s="3" t="s">
        <v>464</v>
      </c>
      <c r="E468" s="3" t="s">
        <v>465</v>
      </c>
      <c r="F468" s="3" t="s">
        <v>466</v>
      </c>
      <c r="G468" s="3" t="s">
        <v>465</v>
      </c>
      <c r="H468" s="3" t="s">
        <v>96</v>
      </c>
      <c r="I468" s="3">
        <v>2025</v>
      </c>
      <c r="J468" s="3" t="str">
        <f>CONCATENATE("54820192695")</f>
        <v>54820192695</v>
      </c>
      <c r="K468" s="3" t="s">
        <v>33</v>
      </c>
      <c r="L468" s="3"/>
      <c r="M468" s="3" t="s">
        <v>131</v>
      </c>
      <c r="N468" s="3" t="str">
        <f>CONCATENATE("01716790686")</f>
        <v>01716790686</v>
      </c>
      <c r="O468" s="3" t="s">
        <v>585</v>
      </c>
      <c r="P468" s="3" t="s">
        <v>36</v>
      </c>
      <c r="Q468" s="3"/>
      <c r="R468" s="4">
        <v>45996</v>
      </c>
      <c r="S468" s="3" t="s">
        <v>37</v>
      </c>
      <c r="T468" s="3" t="s">
        <v>38</v>
      </c>
      <c r="U468" s="3" t="s">
        <v>39</v>
      </c>
      <c r="V468" s="3">
        <v>834.45</v>
      </c>
      <c r="W468" s="3">
        <v>354.64</v>
      </c>
      <c r="X468" s="3">
        <v>335.87</v>
      </c>
      <c r="Y468" s="3">
        <v>143.94</v>
      </c>
    </row>
    <row r="469" spans="1:25" ht="60.75" x14ac:dyDescent="0.25">
      <c r="A469" s="3" t="s">
        <v>26</v>
      </c>
      <c r="B469" s="3" t="s">
        <v>27</v>
      </c>
      <c r="C469" s="3" t="s">
        <v>28</v>
      </c>
      <c r="D469" s="3" t="s">
        <v>29</v>
      </c>
      <c r="E469" s="3" t="s">
        <v>476</v>
      </c>
      <c r="F469" s="3" t="s">
        <v>31</v>
      </c>
      <c r="G469" s="3" t="s">
        <v>476</v>
      </c>
      <c r="H469" s="3" t="s">
        <v>48</v>
      </c>
      <c r="I469" s="3">
        <v>2025</v>
      </c>
      <c r="J469" s="3" t="str">
        <f>CONCATENATE("54820216338")</f>
        <v>54820216338</v>
      </c>
      <c r="K469" s="3" t="s">
        <v>33</v>
      </c>
      <c r="L469" s="3"/>
      <c r="M469" s="3" t="s">
        <v>131</v>
      </c>
      <c r="N469" s="3" t="str">
        <f>CONCATENATE("ZMPMRC77A31E388W")</f>
        <v>ZMPMRC77A31E388W</v>
      </c>
      <c r="O469" s="3" t="s">
        <v>586</v>
      </c>
      <c r="P469" s="3" t="s">
        <v>36</v>
      </c>
      <c r="Q469" s="3"/>
      <c r="R469" s="4">
        <v>45996</v>
      </c>
      <c r="S469" s="3" t="s">
        <v>37</v>
      </c>
      <c r="T469" s="3" t="s">
        <v>38</v>
      </c>
      <c r="U469" s="3" t="s">
        <v>39</v>
      </c>
      <c r="V469" s="3">
        <v>680.02</v>
      </c>
      <c r="W469" s="3">
        <v>289.01</v>
      </c>
      <c r="X469" s="3">
        <v>273.70999999999998</v>
      </c>
      <c r="Y469" s="3">
        <v>117.3</v>
      </c>
    </row>
    <row r="470" spans="1:25" ht="60.75" x14ac:dyDescent="0.25">
      <c r="A470" s="3" t="s">
        <v>26</v>
      </c>
      <c r="B470" s="3" t="s">
        <v>27</v>
      </c>
      <c r="C470" s="3" t="s">
        <v>28</v>
      </c>
      <c r="D470" s="3" t="s">
        <v>91</v>
      </c>
      <c r="E470" s="3" t="s">
        <v>151</v>
      </c>
      <c r="F470" s="3" t="s">
        <v>93</v>
      </c>
      <c r="G470" s="3" t="s">
        <v>151</v>
      </c>
      <c r="H470" s="3" t="s">
        <v>45</v>
      </c>
      <c r="I470" s="3">
        <v>2025</v>
      </c>
      <c r="J470" s="3" t="str">
        <f>CONCATENATE("54820253950")</f>
        <v>54820253950</v>
      </c>
      <c r="K470" s="3" t="s">
        <v>33</v>
      </c>
      <c r="L470" s="3"/>
      <c r="M470" s="3" t="s">
        <v>131</v>
      </c>
      <c r="N470" s="3" t="str">
        <f>CONCATENATE("CSSLBT03D57F205R")</f>
        <v>CSSLBT03D57F205R</v>
      </c>
      <c r="O470" s="3" t="s">
        <v>587</v>
      </c>
      <c r="P470" s="3" t="s">
        <v>36</v>
      </c>
      <c r="Q470" s="3"/>
      <c r="R470" s="4">
        <v>45996</v>
      </c>
      <c r="S470" s="3" t="s">
        <v>37</v>
      </c>
      <c r="T470" s="3" t="s">
        <v>38</v>
      </c>
      <c r="U470" s="3" t="s">
        <v>39</v>
      </c>
      <c r="V470" s="3">
        <v>217</v>
      </c>
      <c r="W470" s="3">
        <v>92.23</v>
      </c>
      <c r="X470" s="3">
        <v>87.34</v>
      </c>
      <c r="Y470" s="3">
        <v>37.43</v>
      </c>
    </row>
    <row r="471" spans="1:25" ht="60.75" x14ac:dyDescent="0.25">
      <c r="A471" s="3" t="s">
        <v>26</v>
      </c>
      <c r="B471" s="3" t="s">
        <v>27</v>
      </c>
      <c r="C471" s="3" t="s">
        <v>28</v>
      </c>
      <c r="D471" s="3" t="s">
        <v>50</v>
      </c>
      <c r="E471" s="3" t="s">
        <v>173</v>
      </c>
      <c r="F471" s="3" t="s">
        <v>52</v>
      </c>
      <c r="G471" s="3" t="s">
        <v>173</v>
      </c>
      <c r="H471" s="3" t="s">
        <v>45</v>
      </c>
      <c r="I471" s="3">
        <v>2025</v>
      </c>
      <c r="J471" s="3" t="str">
        <f>CONCATENATE("54820069158")</f>
        <v>54820069158</v>
      </c>
      <c r="K471" s="3" t="s">
        <v>33</v>
      </c>
      <c r="L471" s="3"/>
      <c r="M471" s="3" t="s">
        <v>131</v>
      </c>
      <c r="N471" s="3" t="str">
        <f>CONCATENATE("CSTDNL76B11I459I")</f>
        <v>CSTDNL76B11I459I</v>
      </c>
      <c r="O471" s="3" t="s">
        <v>588</v>
      </c>
      <c r="P471" s="3" t="s">
        <v>36</v>
      </c>
      <c r="Q471" s="3"/>
      <c r="R471" s="4">
        <v>45996</v>
      </c>
      <c r="S471" s="3" t="s">
        <v>37</v>
      </c>
      <c r="T471" s="3" t="s">
        <v>38</v>
      </c>
      <c r="U471" s="3" t="s">
        <v>39</v>
      </c>
      <c r="V471" s="3">
        <v>706.08</v>
      </c>
      <c r="W471" s="3">
        <v>300.08</v>
      </c>
      <c r="X471" s="3">
        <v>284.2</v>
      </c>
      <c r="Y471" s="3">
        <v>121.8</v>
      </c>
    </row>
    <row r="472" spans="1:25" ht="72.75" x14ac:dyDescent="0.25">
      <c r="A472" s="3" t="s">
        <v>26</v>
      </c>
      <c r="B472" s="3" t="s">
        <v>27</v>
      </c>
      <c r="C472" s="3" t="s">
        <v>28</v>
      </c>
      <c r="D472" s="3" t="s">
        <v>29</v>
      </c>
      <c r="E472" s="3" t="s">
        <v>56</v>
      </c>
      <c r="F472" s="3" t="s">
        <v>31</v>
      </c>
      <c r="G472" s="3" t="s">
        <v>56</v>
      </c>
      <c r="H472" s="3" t="s">
        <v>32</v>
      </c>
      <c r="I472" s="3">
        <v>2025</v>
      </c>
      <c r="J472" s="3" t="str">
        <f>CONCATENATE("54820015797")</f>
        <v>54820015797</v>
      </c>
      <c r="K472" s="3" t="s">
        <v>33</v>
      </c>
      <c r="L472" s="3"/>
      <c r="M472" s="3" t="s">
        <v>131</v>
      </c>
      <c r="N472" s="3" t="str">
        <f>CONCATENATE("BRVPRZ59B48B474Q")</f>
        <v>BRVPRZ59B48B474Q</v>
      </c>
      <c r="O472" s="3" t="s">
        <v>589</v>
      </c>
      <c r="P472" s="3" t="s">
        <v>36</v>
      </c>
      <c r="Q472" s="3"/>
      <c r="R472" s="4">
        <v>45996</v>
      </c>
      <c r="S472" s="3" t="s">
        <v>37</v>
      </c>
      <c r="T472" s="3" t="s">
        <v>38</v>
      </c>
      <c r="U472" s="3" t="s">
        <v>39</v>
      </c>
      <c r="V472" s="3">
        <v>225.8</v>
      </c>
      <c r="W472" s="3">
        <v>95.97</v>
      </c>
      <c r="X472" s="3">
        <v>90.88</v>
      </c>
      <c r="Y472" s="3">
        <v>38.950000000000003</v>
      </c>
    </row>
    <row r="473" spans="1:25" ht="60.75" x14ac:dyDescent="0.25">
      <c r="A473" s="3" t="s">
        <v>26</v>
      </c>
      <c r="B473" s="3" t="s">
        <v>27</v>
      </c>
      <c r="C473" s="3" t="s">
        <v>28</v>
      </c>
      <c r="D473" s="3" t="s">
        <v>50</v>
      </c>
      <c r="E473" s="3" t="s">
        <v>173</v>
      </c>
      <c r="F473" s="3" t="s">
        <v>52</v>
      </c>
      <c r="G473" s="3" t="s">
        <v>173</v>
      </c>
      <c r="H473" s="3" t="s">
        <v>45</v>
      </c>
      <c r="I473" s="3">
        <v>2025</v>
      </c>
      <c r="J473" s="3" t="str">
        <f>CONCATENATE("54820239462")</f>
        <v>54820239462</v>
      </c>
      <c r="K473" s="3" t="s">
        <v>33</v>
      </c>
      <c r="L473" s="3"/>
      <c r="M473" s="3" t="s">
        <v>131</v>
      </c>
      <c r="N473" s="3" t="str">
        <f>CONCATENATE("CSRLSN83S12I459U")</f>
        <v>CSRLSN83S12I459U</v>
      </c>
      <c r="O473" s="3" t="s">
        <v>590</v>
      </c>
      <c r="P473" s="3" t="s">
        <v>36</v>
      </c>
      <c r="Q473" s="3"/>
      <c r="R473" s="4">
        <v>45996</v>
      </c>
      <c r="S473" s="3" t="s">
        <v>37</v>
      </c>
      <c r="T473" s="3" t="s">
        <v>38</v>
      </c>
      <c r="U473" s="3" t="s">
        <v>39</v>
      </c>
      <c r="V473" s="3">
        <v>885.12</v>
      </c>
      <c r="W473" s="3">
        <v>376.18</v>
      </c>
      <c r="X473" s="3">
        <v>356.26</v>
      </c>
      <c r="Y473" s="3">
        <v>152.68</v>
      </c>
    </row>
    <row r="474" spans="1:25" ht="60.75" x14ac:dyDescent="0.25">
      <c r="A474" s="3" t="s">
        <v>26</v>
      </c>
      <c r="B474" s="3" t="s">
        <v>27</v>
      </c>
      <c r="C474" s="3" t="s">
        <v>28</v>
      </c>
      <c r="D474" s="3" t="s">
        <v>29</v>
      </c>
      <c r="E474" s="3" t="s">
        <v>228</v>
      </c>
      <c r="F474" s="3" t="s">
        <v>31</v>
      </c>
      <c r="G474" s="3" t="s">
        <v>228</v>
      </c>
      <c r="H474" s="3" t="s">
        <v>45</v>
      </c>
      <c r="I474" s="3">
        <v>2025</v>
      </c>
      <c r="J474" s="3" t="str">
        <f>CONCATENATE("54820106505")</f>
        <v>54820106505</v>
      </c>
      <c r="K474" s="3" t="s">
        <v>33</v>
      </c>
      <c r="L474" s="3"/>
      <c r="M474" s="3" t="s">
        <v>131</v>
      </c>
      <c r="N474" s="3" t="str">
        <f>CONCATENATE("BTTRCR45D01D749I")</f>
        <v>BTTRCR45D01D749I</v>
      </c>
      <c r="O474" s="3" t="s">
        <v>591</v>
      </c>
      <c r="P474" s="3" t="s">
        <v>36</v>
      </c>
      <c r="Q474" s="3"/>
      <c r="R474" s="4">
        <v>45996</v>
      </c>
      <c r="S474" s="3" t="s">
        <v>37</v>
      </c>
      <c r="T474" s="3" t="s">
        <v>38</v>
      </c>
      <c r="U474" s="3" t="s">
        <v>39</v>
      </c>
      <c r="V474" s="3">
        <v>66.599999999999994</v>
      </c>
      <c r="W474" s="3">
        <v>28.31</v>
      </c>
      <c r="X474" s="3">
        <v>26.81</v>
      </c>
      <c r="Y474" s="3">
        <v>11.48</v>
      </c>
    </row>
    <row r="475" spans="1:25" ht="60.75" x14ac:dyDescent="0.25">
      <c r="A475" s="3" t="s">
        <v>26</v>
      </c>
      <c r="B475" s="3" t="s">
        <v>27</v>
      </c>
      <c r="C475" s="3" t="s">
        <v>28</v>
      </c>
      <c r="D475" s="3" t="s">
        <v>29</v>
      </c>
      <c r="E475" s="3" t="s">
        <v>47</v>
      </c>
      <c r="F475" s="3" t="s">
        <v>31</v>
      </c>
      <c r="G475" s="3" t="s">
        <v>47</v>
      </c>
      <c r="H475" s="3" t="s">
        <v>48</v>
      </c>
      <c r="I475" s="3">
        <v>2025</v>
      </c>
      <c r="J475" s="3" t="str">
        <f>CONCATENATE("54820219050")</f>
        <v>54820219050</v>
      </c>
      <c r="K475" s="3" t="s">
        <v>33</v>
      </c>
      <c r="L475" s="3"/>
      <c r="M475" s="3" t="s">
        <v>131</v>
      </c>
      <c r="N475" s="3" t="str">
        <f>CONCATENATE("ZMPSDR51R31I653K")</f>
        <v>ZMPSDR51R31I653K</v>
      </c>
      <c r="O475" s="3" t="s">
        <v>592</v>
      </c>
      <c r="P475" s="3" t="s">
        <v>36</v>
      </c>
      <c r="Q475" s="3"/>
      <c r="R475" s="4">
        <v>45996</v>
      </c>
      <c r="S475" s="3" t="s">
        <v>37</v>
      </c>
      <c r="T475" s="3" t="s">
        <v>38</v>
      </c>
      <c r="U475" s="3" t="s">
        <v>39</v>
      </c>
      <c r="V475" s="3">
        <v>66.47</v>
      </c>
      <c r="W475" s="3">
        <v>28.25</v>
      </c>
      <c r="X475" s="3">
        <v>26.75</v>
      </c>
      <c r="Y475" s="3">
        <v>11.47</v>
      </c>
    </row>
    <row r="476" spans="1:25" ht="36.75" x14ac:dyDescent="0.25">
      <c r="A476" s="3" t="s">
        <v>26</v>
      </c>
      <c r="B476" s="3" t="s">
        <v>27</v>
      </c>
      <c r="C476" s="3" t="s">
        <v>28</v>
      </c>
      <c r="D476" s="3" t="s">
        <v>91</v>
      </c>
      <c r="E476" s="3" t="s">
        <v>151</v>
      </c>
      <c r="F476" s="3" t="s">
        <v>93</v>
      </c>
      <c r="G476" s="3" t="s">
        <v>151</v>
      </c>
      <c r="H476" s="3" t="s">
        <v>45</v>
      </c>
      <c r="I476" s="3">
        <v>2025</v>
      </c>
      <c r="J476" s="3" t="str">
        <f>CONCATENATE("54820238118")</f>
        <v>54820238118</v>
      </c>
      <c r="K476" s="3" t="s">
        <v>33</v>
      </c>
      <c r="L476" s="3"/>
      <c r="M476" s="3" t="s">
        <v>131</v>
      </c>
      <c r="N476" s="3" t="str">
        <f>CONCATENATE("02782610410")</f>
        <v>02782610410</v>
      </c>
      <c r="O476" s="3" t="s">
        <v>593</v>
      </c>
      <c r="P476" s="3" t="s">
        <v>36</v>
      </c>
      <c r="Q476" s="3"/>
      <c r="R476" s="4">
        <v>45996</v>
      </c>
      <c r="S476" s="3" t="s">
        <v>37</v>
      </c>
      <c r="T476" s="3" t="s">
        <v>38</v>
      </c>
      <c r="U476" s="3" t="s">
        <v>39</v>
      </c>
      <c r="V476" s="3">
        <v>91.48</v>
      </c>
      <c r="W476" s="3">
        <v>38.880000000000003</v>
      </c>
      <c r="X476" s="3">
        <v>36.82</v>
      </c>
      <c r="Y476" s="3">
        <v>15.78</v>
      </c>
    </row>
    <row r="477" spans="1:25" ht="60.75" x14ac:dyDescent="0.25">
      <c r="A477" s="3" t="s">
        <v>26</v>
      </c>
      <c r="B477" s="3" t="s">
        <v>27</v>
      </c>
      <c r="C477" s="3" t="s">
        <v>28</v>
      </c>
      <c r="D477" s="3" t="s">
        <v>104</v>
      </c>
      <c r="E477" s="3" t="s">
        <v>141</v>
      </c>
      <c r="F477" s="3" t="s">
        <v>104</v>
      </c>
      <c r="G477" s="3" t="s">
        <v>141</v>
      </c>
      <c r="H477" s="3" t="s">
        <v>96</v>
      </c>
      <c r="I477" s="3">
        <v>2025</v>
      </c>
      <c r="J477" s="3" t="str">
        <f>CONCATENATE("54820277140")</f>
        <v>54820277140</v>
      </c>
      <c r="K477" s="3" t="s">
        <v>33</v>
      </c>
      <c r="L477" s="3"/>
      <c r="M477" s="3" t="s">
        <v>131</v>
      </c>
      <c r="N477" s="3" t="str">
        <f>CONCATENATE("VLNLRS81S22D542M")</f>
        <v>VLNLRS81S22D542M</v>
      </c>
      <c r="O477" s="3" t="s">
        <v>594</v>
      </c>
      <c r="P477" s="3" t="s">
        <v>36</v>
      </c>
      <c r="Q477" s="3"/>
      <c r="R477" s="4">
        <v>45996</v>
      </c>
      <c r="S477" s="3" t="s">
        <v>37</v>
      </c>
      <c r="T477" s="3" t="s">
        <v>38</v>
      </c>
      <c r="U477" s="3" t="s">
        <v>39</v>
      </c>
      <c r="V477" s="3">
        <v>258.07</v>
      </c>
      <c r="W477" s="3">
        <v>109.68</v>
      </c>
      <c r="X477" s="3">
        <v>103.87</v>
      </c>
      <c r="Y477" s="3">
        <v>44.52</v>
      </c>
    </row>
    <row r="478" spans="1:25" ht="60.75" x14ac:dyDescent="0.25">
      <c r="A478" s="3" t="s">
        <v>26</v>
      </c>
      <c r="B478" s="3" t="s">
        <v>27</v>
      </c>
      <c r="C478" s="3" t="s">
        <v>28</v>
      </c>
      <c r="D478" s="3" t="s">
        <v>104</v>
      </c>
      <c r="E478" s="3" t="s">
        <v>141</v>
      </c>
      <c r="F478" s="3" t="s">
        <v>104</v>
      </c>
      <c r="G478" s="3" t="s">
        <v>141</v>
      </c>
      <c r="H478" s="3" t="s">
        <v>96</v>
      </c>
      <c r="I478" s="3">
        <v>2025</v>
      </c>
      <c r="J478" s="3" t="str">
        <f>CONCATENATE("54820277066")</f>
        <v>54820277066</v>
      </c>
      <c r="K478" s="3" t="s">
        <v>33</v>
      </c>
      <c r="L478" s="3"/>
      <c r="M478" s="3" t="s">
        <v>131</v>
      </c>
      <c r="N478" s="3" t="str">
        <f>CONCATENATE("RCCGNN39M16H390Y")</f>
        <v>RCCGNN39M16H390Y</v>
      </c>
      <c r="O478" s="3" t="s">
        <v>595</v>
      </c>
      <c r="P478" s="3" t="s">
        <v>36</v>
      </c>
      <c r="Q478" s="3"/>
      <c r="R478" s="4">
        <v>45996</v>
      </c>
      <c r="S478" s="3" t="s">
        <v>37</v>
      </c>
      <c r="T478" s="3" t="s">
        <v>38</v>
      </c>
      <c r="U478" s="3" t="s">
        <v>39</v>
      </c>
      <c r="V478" s="3">
        <v>60.14</v>
      </c>
      <c r="W478" s="3">
        <v>25.56</v>
      </c>
      <c r="X478" s="3">
        <v>24.21</v>
      </c>
      <c r="Y478" s="3">
        <v>10.37</v>
      </c>
    </row>
    <row r="479" spans="1:25" ht="60.75" x14ac:dyDescent="0.25">
      <c r="A479" s="3" t="s">
        <v>26</v>
      </c>
      <c r="B479" s="3" t="s">
        <v>27</v>
      </c>
      <c r="C479" s="3" t="s">
        <v>28</v>
      </c>
      <c r="D479" s="3" t="s">
        <v>29</v>
      </c>
      <c r="E479" s="3" t="s">
        <v>56</v>
      </c>
      <c r="F479" s="3" t="s">
        <v>31</v>
      </c>
      <c r="G479" s="3" t="s">
        <v>56</v>
      </c>
      <c r="H479" s="3" t="s">
        <v>32</v>
      </c>
      <c r="I479" s="3">
        <v>2025</v>
      </c>
      <c r="J479" s="3" t="str">
        <f>CONCATENATE("54820290598")</f>
        <v>54820290598</v>
      </c>
      <c r="K479" s="3" t="s">
        <v>33</v>
      </c>
      <c r="L479" s="3"/>
      <c r="M479" s="3" t="s">
        <v>131</v>
      </c>
      <c r="N479" s="3" t="str">
        <f>CONCATENATE("ZCCFRC63D02A266X")</f>
        <v>ZCCFRC63D02A266X</v>
      </c>
      <c r="O479" s="3" t="s">
        <v>596</v>
      </c>
      <c r="P479" s="3" t="s">
        <v>36</v>
      </c>
      <c r="Q479" s="3"/>
      <c r="R479" s="4">
        <v>45996</v>
      </c>
      <c r="S479" s="3" t="s">
        <v>37</v>
      </c>
      <c r="T479" s="3" t="s">
        <v>38</v>
      </c>
      <c r="U479" s="3" t="s">
        <v>39</v>
      </c>
      <c r="V479" s="3">
        <v>411.85</v>
      </c>
      <c r="W479" s="3">
        <v>175.04</v>
      </c>
      <c r="X479" s="3">
        <v>165.77</v>
      </c>
      <c r="Y479" s="3">
        <v>71.040000000000006</v>
      </c>
    </row>
    <row r="480" spans="1:25" ht="60.75" x14ac:dyDescent="0.25">
      <c r="A480" s="3" t="s">
        <v>26</v>
      </c>
      <c r="B480" s="3" t="s">
        <v>27</v>
      </c>
      <c r="C480" s="3" t="s">
        <v>28</v>
      </c>
      <c r="D480" s="3" t="s">
        <v>50</v>
      </c>
      <c r="E480" s="3" t="s">
        <v>147</v>
      </c>
      <c r="F480" s="3" t="s">
        <v>52</v>
      </c>
      <c r="G480" s="3" t="s">
        <v>147</v>
      </c>
      <c r="H480" s="3" t="s">
        <v>45</v>
      </c>
      <c r="I480" s="3">
        <v>2025</v>
      </c>
      <c r="J480" s="3" t="str">
        <f>CONCATENATE("54820226360")</f>
        <v>54820226360</v>
      </c>
      <c r="K480" s="3" t="s">
        <v>33</v>
      </c>
      <c r="L480" s="3"/>
      <c r="M480" s="3" t="s">
        <v>131</v>
      </c>
      <c r="N480" s="3" t="str">
        <f>CONCATENATE("NCRLRA46A60C830T")</f>
        <v>NCRLRA46A60C830T</v>
      </c>
      <c r="O480" s="3" t="s">
        <v>597</v>
      </c>
      <c r="P480" s="3" t="s">
        <v>36</v>
      </c>
      <c r="Q480" s="3"/>
      <c r="R480" s="4">
        <v>45996</v>
      </c>
      <c r="S480" s="3" t="s">
        <v>37</v>
      </c>
      <c r="T480" s="3" t="s">
        <v>38</v>
      </c>
      <c r="U480" s="3" t="s">
        <v>39</v>
      </c>
      <c r="V480" s="3">
        <v>328.52</v>
      </c>
      <c r="W480" s="3">
        <v>139.62</v>
      </c>
      <c r="X480" s="3">
        <v>132.22999999999999</v>
      </c>
      <c r="Y480" s="3">
        <v>56.67</v>
      </c>
    </row>
    <row r="481" spans="1:25" ht="60.75" x14ac:dyDescent="0.25">
      <c r="A481" s="3" t="s">
        <v>26</v>
      </c>
      <c r="B481" s="3" t="s">
        <v>27</v>
      </c>
      <c r="C481" s="3" t="s">
        <v>28</v>
      </c>
      <c r="D481" s="3" t="s">
        <v>29</v>
      </c>
      <c r="E481" s="3" t="s">
        <v>47</v>
      </c>
      <c r="F481" s="3" t="s">
        <v>31</v>
      </c>
      <c r="G481" s="3" t="s">
        <v>47</v>
      </c>
      <c r="H481" s="3" t="s">
        <v>48</v>
      </c>
      <c r="I481" s="3">
        <v>2025</v>
      </c>
      <c r="J481" s="3" t="str">
        <f>CONCATENATE("54820198528")</f>
        <v>54820198528</v>
      </c>
      <c r="K481" s="3" t="s">
        <v>33</v>
      </c>
      <c r="L481" s="3"/>
      <c r="M481" s="3" t="s">
        <v>131</v>
      </c>
      <c r="N481" s="3" t="str">
        <f>CONCATENATE("GMBGLI34M29I653C")</f>
        <v>GMBGLI34M29I653C</v>
      </c>
      <c r="O481" s="3" t="s">
        <v>598</v>
      </c>
      <c r="P481" s="3" t="s">
        <v>36</v>
      </c>
      <c r="Q481" s="3"/>
      <c r="R481" s="4">
        <v>45996</v>
      </c>
      <c r="S481" s="3" t="s">
        <v>37</v>
      </c>
      <c r="T481" s="3" t="s">
        <v>38</v>
      </c>
      <c r="U481" s="3" t="s">
        <v>39</v>
      </c>
      <c r="V481" s="3">
        <v>48.21</v>
      </c>
      <c r="W481" s="3">
        <v>20.49</v>
      </c>
      <c r="X481" s="3">
        <v>19.399999999999999</v>
      </c>
      <c r="Y481" s="3">
        <v>8.32</v>
      </c>
    </row>
    <row r="482" spans="1:25" ht="60.75" x14ac:dyDescent="0.25">
      <c r="A482" s="3" t="s">
        <v>26</v>
      </c>
      <c r="B482" s="3" t="s">
        <v>27</v>
      </c>
      <c r="C482" s="3" t="s">
        <v>28</v>
      </c>
      <c r="D482" s="3" t="s">
        <v>29</v>
      </c>
      <c r="E482" s="3" t="s">
        <v>72</v>
      </c>
      <c r="F482" s="3" t="s">
        <v>31</v>
      </c>
      <c r="G482" s="3" t="s">
        <v>72</v>
      </c>
      <c r="H482" s="3" t="s">
        <v>45</v>
      </c>
      <c r="I482" s="3">
        <v>2025</v>
      </c>
      <c r="J482" s="3" t="str">
        <f>CONCATENATE("54820371596")</f>
        <v>54820371596</v>
      </c>
      <c r="K482" s="3" t="s">
        <v>33</v>
      </c>
      <c r="L482" s="3"/>
      <c r="M482" s="3" t="s">
        <v>131</v>
      </c>
      <c r="N482" s="3" t="str">
        <f>CONCATENATE("TGNNZR57D20D808I")</f>
        <v>TGNNZR57D20D808I</v>
      </c>
      <c r="O482" s="3" t="s">
        <v>599</v>
      </c>
      <c r="P482" s="3" t="s">
        <v>36</v>
      </c>
      <c r="Q482" s="3"/>
      <c r="R482" s="4">
        <v>45996</v>
      </c>
      <c r="S482" s="3" t="s">
        <v>37</v>
      </c>
      <c r="T482" s="3" t="s">
        <v>38</v>
      </c>
      <c r="U482" s="3" t="s">
        <v>39</v>
      </c>
      <c r="V482" s="3">
        <v>714.47</v>
      </c>
      <c r="W482" s="3">
        <v>303.64999999999998</v>
      </c>
      <c r="X482" s="3">
        <v>287.57</v>
      </c>
      <c r="Y482" s="3">
        <v>123.25</v>
      </c>
    </row>
    <row r="483" spans="1:25" ht="72.75" x14ac:dyDescent="0.25">
      <c r="A483" s="3" t="s">
        <v>26</v>
      </c>
      <c r="B483" s="3" t="s">
        <v>27</v>
      </c>
      <c r="C483" s="3" t="s">
        <v>28</v>
      </c>
      <c r="D483" s="3" t="s">
        <v>457</v>
      </c>
      <c r="E483" s="3" t="s">
        <v>458</v>
      </c>
      <c r="F483" s="3" t="s">
        <v>459</v>
      </c>
      <c r="G483" s="3" t="s">
        <v>458</v>
      </c>
      <c r="H483" s="3" t="s">
        <v>32</v>
      </c>
      <c r="I483" s="3">
        <v>2025</v>
      </c>
      <c r="J483" s="3" t="str">
        <f>CONCATENATE("54820273479")</f>
        <v>54820273479</v>
      </c>
      <c r="K483" s="3" t="s">
        <v>33</v>
      </c>
      <c r="L483" s="3"/>
      <c r="M483" s="3" t="s">
        <v>131</v>
      </c>
      <c r="N483" s="3" t="str">
        <f>CONCATENATE("PZZRMN71A46B474H")</f>
        <v>PZZRMN71A46B474H</v>
      </c>
      <c r="O483" s="3" t="s">
        <v>600</v>
      </c>
      <c r="P483" s="3" t="s">
        <v>36</v>
      </c>
      <c r="Q483" s="3"/>
      <c r="R483" s="4">
        <v>45996</v>
      </c>
      <c r="S483" s="3" t="s">
        <v>37</v>
      </c>
      <c r="T483" s="3" t="s">
        <v>38</v>
      </c>
      <c r="U483" s="3" t="s">
        <v>39</v>
      </c>
      <c r="V483" s="3">
        <v>156.16999999999999</v>
      </c>
      <c r="W483" s="3">
        <v>66.37</v>
      </c>
      <c r="X483" s="3">
        <v>62.86</v>
      </c>
      <c r="Y483" s="3">
        <v>26.94</v>
      </c>
    </row>
    <row r="484" spans="1:25" ht="60.75" x14ac:dyDescent="0.25">
      <c r="A484" s="3" t="s">
        <v>26</v>
      </c>
      <c r="B484" s="3" t="s">
        <v>27</v>
      </c>
      <c r="C484" s="3" t="s">
        <v>28</v>
      </c>
      <c r="D484" s="3" t="s">
        <v>29</v>
      </c>
      <c r="E484" s="3" t="s">
        <v>47</v>
      </c>
      <c r="F484" s="3" t="s">
        <v>31</v>
      </c>
      <c r="G484" s="3" t="s">
        <v>47</v>
      </c>
      <c r="H484" s="3" t="s">
        <v>48</v>
      </c>
      <c r="I484" s="3">
        <v>2025</v>
      </c>
      <c r="J484" s="3" t="str">
        <f>CONCATENATE("54820210562")</f>
        <v>54820210562</v>
      </c>
      <c r="K484" s="3" t="s">
        <v>33</v>
      </c>
      <c r="L484" s="3"/>
      <c r="M484" s="3" t="s">
        <v>131</v>
      </c>
      <c r="N484" s="3" t="str">
        <f>CONCATENATE("PLTLLN52L66D451J")</f>
        <v>PLTLLN52L66D451J</v>
      </c>
      <c r="O484" s="3" t="s">
        <v>601</v>
      </c>
      <c r="P484" s="3" t="s">
        <v>36</v>
      </c>
      <c r="Q484" s="3"/>
      <c r="R484" s="4">
        <v>45996</v>
      </c>
      <c r="S484" s="3" t="s">
        <v>37</v>
      </c>
      <c r="T484" s="3" t="s">
        <v>38</v>
      </c>
      <c r="U484" s="3" t="s">
        <v>39</v>
      </c>
      <c r="V484" s="3">
        <v>126.21</v>
      </c>
      <c r="W484" s="3">
        <v>53.64</v>
      </c>
      <c r="X484" s="3">
        <v>50.8</v>
      </c>
      <c r="Y484" s="3">
        <v>21.77</v>
      </c>
    </row>
    <row r="485" spans="1:25" ht="60.75" x14ac:dyDescent="0.25">
      <c r="A485" s="3" t="s">
        <v>26</v>
      </c>
      <c r="B485" s="3" t="s">
        <v>27</v>
      </c>
      <c r="C485" s="3" t="s">
        <v>28</v>
      </c>
      <c r="D485" s="3" t="s">
        <v>29</v>
      </c>
      <c r="E485" s="3" t="s">
        <v>47</v>
      </c>
      <c r="F485" s="3" t="s">
        <v>31</v>
      </c>
      <c r="G485" s="3" t="s">
        <v>47</v>
      </c>
      <c r="H485" s="3" t="s">
        <v>48</v>
      </c>
      <c r="I485" s="3">
        <v>2025</v>
      </c>
      <c r="J485" s="3" t="str">
        <f>CONCATENATE("54820211917")</f>
        <v>54820211917</v>
      </c>
      <c r="K485" s="3" t="s">
        <v>33</v>
      </c>
      <c r="L485" s="3"/>
      <c r="M485" s="3" t="s">
        <v>131</v>
      </c>
      <c r="N485" s="3" t="str">
        <f>CONCATENATE("RSSFSC63B60F356K")</f>
        <v>RSSFSC63B60F356K</v>
      </c>
      <c r="O485" s="3" t="s">
        <v>602</v>
      </c>
      <c r="P485" s="3" t="s">
        <v>36</v>
      </c>
      <c r="Q485" s="3"/>
      <c r="R485" s="4">
        <v>45996</v>
      </c>
      <c r="S485" s="3" t="s">
        <v>37</v>
      </c>
      <c r="T485" s="3" t="s">
        <v>38</v>
      </c>
      <c r="U485" s="3" t="s">
        <v>39</v>
      </c>
      <c r="V485" s="3">
        <v>195.21</v>
      </c>
      <c r="W485" s="3">
        <v>82.96</v>
      </c>
      <c r="X485" s="3">
        <v>78.569999999999993</v>
      </c>
      <c r="Y485" s="3">
        <v>33.68</v>
      </c>
    </row>
    <row r="486" spans="1:25" ht="60.75" x14ac:dyDescent="0.25">
      <c r="A486" s="3" t="s">
        <v>26</v>
      </c>
      <c r="B486" s="3" t="s">
        <v>27</v>
      </c>
      <c r="C486" s="3" t="s">
        <v>28</v>
      </c>
      <c r="D486" s="3" t="s">
        <v>29</v>
      </c>
      <c r="E486" s="3" t="s">
        <v>136</v>
      </c>
      <c r="F486" s="3" t="s">
        <v>31</v>
      </c>
      <c r="G486" s="3" t="s">
        <v>136</v>
      </c>
      <c r="H486" s="3" t="s">
        <v>48</v>
      </c>
      <c r="I486" s="3">
        <v>2025</v>
      </c>
      <c r="J486" s="3" t="str">
        <f>CONCATENATE("54820272992")</f>
        <v>54820272992</v>
      </c>
      <c r="K486" s="3" t="s">
        <v>33</v>
      </c>
      <c r="L486" s="3"/>
      <c r="M486" s="3" t="s">
        <v>131</v>
      </c>
      <c r="N486" s="3" t="str">
        <f>CONCATENATE("PLVFBA47A21I461T")</f>
        <v>PLVFBA47A21I461T</v>
      </c>
      <c r="O486" s="3" t="s">
        <v>603</v>
      </c>
      <c r="P486" s="3" t="s">
        <v>36</v>
      </c>
      <c r="Q486" s="3"/>
      <c r="R486" s="4">
        <v>45996</v>
      </c>
      <c r="S486" s="3" t="s">
        <v>37</v>
      </c>
      <c r="T486" s="3" t="s">
        <v>38</v>
      </c>
      <c r="U486" s="3" t="s">
        <v>39</v>
      </c>
      <c r="V486" s="3">
        <v>62.43</v>
      </c>
      <c r="W486" s="3">
        <v>26.53</v>
      </c>
      <c r="X486" s="3">
        <v>25.13</v>
      </c>
      <c r="Y486" s="3">
        <v>10.77</v>
      </c>
    </row>
    <row r="487" spans="1:25" ht="72.75" x14ac:dyDescent="0.25">
      <c r="A487" s="3" t="s">
        <v>26</v>
      </c>
      <c r="B487" s="3" t="s">
        <v>27</v>
      </c>
      <c r="C487" s="3" t="s">
        <v>28</v>
      </c>
      <c r="D487" s="3" t="s">
        <v>29</v>
      </c>
      <c r="E487" s="3" t="s">
        <v>136</v>
      </c>
      <c r="F487" s="3" t="s">
        <v>31</v>
      </c>
      <c r="G487" s="3" t="s">
        <v>136</v>
      </c>
      <c r="H487" s="3" t="s">
        <v>48</v>
      </c>
      <c r="I487" s="3">
        <v>2025</v>
      </c>
      <c r="J487" s="3" t="str">
        <f>CONCATENATE("54820068432")</f>
        <v>54820068432</v>
      </c>
      <c r="K487" s="3" t="s">
        <v>33</v>
      </c>
      <c r="L487" s="3"/>
      <c r="M487" s="3" t="s">
        <v>131</v>
      </c>
      <c r="N487" s="3" t="str">
        <f>CONCATENATE("FRNLGU39M02D965W")</f>
        <v>FRNLGU39M02D965W</v>
      </c>
      <c r="O487" s="3" t="s">
        <v>604</v>
      </c>
      <c r="P487" s="3" t="s">
        <v>36</v>
      </c>
      <c r="Q487" s="3"/>
      <c r="R487" s="4">
        <v>45996</v>
      </c>
      <c r="S487" s="3" t="s">
        <v>37</v>
      </c>
      <c r="T487" s="3" t="s">
        <v>38</v>
      </c>
      <c r="U487" s="3" t="s">
        <v>39</v>
      </c>
      <c r="V487" s="3">
        <v>49.48</v>
      </c>
      <c r="W487" s="3">
        <v>21.03</v>
      </c>
      <c r="X487" s="3">
        <v>19.920000000000002</v>
      </c>
      <c r="Y487" s="3">
        <v>8.5299999999999994</v>
      </c>
    </row>
    <row r="488" spans="1:25" ht="72.75" x14ac:dyDescent="0.25">
      <c r="A488" s="3" t="s">
        <v>26</v>
      </c>
      <c r="B488" s="3" t="s">
        <v>27</v>
      </c>
      <c r="C488" s="3" t="s">
        <v>28</v>
      </c>
      <c r="D488" s="3" t="s">
        <v>29</v>
      </c>
      <c r="E488" s="3" t="s">
        <v>208</v>
      </c>
      <c r="F488" s="3" t="s">
        <v>31</v>
      </c>
      <c r="G488" s="3" t="s">
        <v>208</v>
      </c>
      <c r="H488" s="3" t="s">
        <v>45</v>
      </c>
      <c r="I488" s="3">
        <v>2025</v>
      </c>
      <c r="J488" s="3" t="str">
        <f>CONCATENATE("54820215397")</f>
        <v>54820215397</v>
      </c>
      <c r="K488" s="3" t="s">
        <v>33</v>
      </c>
      <c r="L488" s="3"/>
      <c r="M488" s="3" t="s">
        <v>131</v>
      </c>
      <c r="N488" s="3" t="str">
        <f>CONCATENATE("GHSGPP51R25G416W")</f>
        <v>GHSGPP51R25G416W</v>
      </c>
      <c r="O488" s="3" t="s">
        <v>605</v>
      </c>
      <c r="P488" s="3" t="s">
        <v>36</v>
      </c>
      <c r="Q488" s="3"/>
      <c r="R488" s="4">
        <v>45996</v>
      </c>
      <c r="S488" s="3" t="s">
        <v>37</v>
      </c>
      <c r="T488" s="3" t="s">
        <v>38</v>
      </c>
      <c r="U488" s="3" t="s">
        <v>39</v>
      </c>
      <c r="V488" s="3">
        <v>797.32</v>
      </c>
      <c r="W488" s="3">
        <v>338.86</v>
      </c>
      <c r="X488" s="3">
        <v>320.92</v>
      </c>
      <c r="Y488" s="3">
        <v>137.54</v>
      </c>
    </row>
    <row r="489" spans="1:25" ht="72.75" x14ac:dyDescent="0.25">
      <c r="A489" s="3" t="s">
        <v>26</v>
      </c>
      <c r="B489" s="3" t="s">
        <v>27</v>
      </c>
      <c r="C489" s="3" t="s">
        <v>28</v>
      </c>
      <c r="D489" s="3" t="s">
        <v>104</v>
      </c>
      <c r="E489" s="3" t="s">
        <v>141</v>
      </c>
      <c r="F489" s="3" t="s">
        <v>104</v>
      </c>
      <c r="G489" s="3" t="s">
        <v>141</v>
      </c>
      <c r="H489" s="3" t="s">
        <v>96</v>
      </c>
      <c r="I489" s="3">
        <v>2025</v>
      </c>
      <c r="J489" s="3" t="str">
        <f>CONCATENATE("54820277132")</f>
        <v>54820277132</v>
      </c>
      <c r="K489" s="3" t="s">
        <v>33</v>
      </c>
      <c r="L489" s="3"/>
      <c r="M489" s="3" t="s">
        <v>131</v>
      </c>
      <c r="N489" s="3" t="str">
        <f>CONCATENATE("CRCMRA53R46A252B")</f>
        <v>CRCMRA53R46A252B</v>
      </c>
      <c r="O489" s="3" t="s">
        <v>606</v>
      </c>
      <c r="P489" s="3" t="s">
        <v>36</v>
      </c>
      <c r="Q489" s="3"/>
      <c r="R489" s="4">
        <v>45996</v>
      </c>
      <c r="S489" s="3" t="s">
        <v>37</v>
      </c>
      <c r="T489" s="3" t="s">
        <v>38</v>
      </c>
      <c r="U489" s="3" t="s">
        <v>39</v>
      </c>
      <c r="V489" s="3">
        <v>250.34</v>
      </c>
      <c r="W489" s="3">
        <v>106.39</v>
      </c>
      <c r="X489" s="3">
        <v>100.76</v>
      </c>
      <c r="Y489" s="3">
        <v>43.19</v>
      </c>
    </row>
    <row r="490" spans="1:25" ht="60.75" x14ac:dyDescent="0.25">
      <c r="A490" s="3" t="s">
        <v>26</v>
      </c>
      <c r="B490" s="3" t="s">
        <v>27</v>
      </c>
      <c r="C490" s="3" t="s">
        <v>28</v>
      </c>
      <c r="D490" s="3" t="s">
        <v>104</v>
      </c>
      <c r="E490" s="3" t="s">
        <v>141</v>
      </c>
      <c r="F490" s="3" t="s">
        <v>104</v>
      </c>
      <c r="G490" s="3" t="s">
        <v>141</v>
      </c>
      <c r="H490" s="3" t="s">
        <v>96</v>
      </c>
      <c r="I490" s="3">
        <v>2025</v>
      </c>
      <c r="J490" s="3" t="str">
        <f>CONCATENATE("54820283403")</f>
        <v>54820283403</v>
      </c>
      <c r="K490" s="3" t="s">
        <v>33</v>
      </c>
      <c r="L490" s="3"/>
      <c r="M490" s="3" t="s">
        <v>131</v>
      </c>
      <c r="N490" s="3" t="str">
        <f>CONCATENATE("TCCMRC98P59A252M")</f>
        <v>TCCMRC98P59A252M</v>
      </c>
      <c r="O490" s="3" t="s">
        <v>607</v>
      </c>
      <c r="P490" s="3" t="s">
        <v>36</v>
      </c>
      <c r="Q490" s="3"/>
      <c r="R490" s="4">
        <v>45996</v>
      </c>
      <c r="S490" s="3" t="s">
        <v>37</v>
      </c>
      <c r="T490" s="3" t="s">
        <v>38</v>
      </c>
      <c r="U490" s="3" t="s">
        <v>39</v>
      </c>
      <c r="V490" s="5">
        <v>1266.47</v>
      </c>
      <c r="W490" s="3">
        <v>538.25</v>
      </c>
      <c r="X490" s="3">
        <v>509.75</v>
      </c>
      <c r="Y490" s="3">
        <v>218.47</v>
      </c>
    </row>
    <row r="491" spans="1:25" ht="60.75" x14ac:dyDescent="0.25">
      <c r="A491" s="3" t="s">
        <v>26</v>
      </c>
      <c r="B491" s="3" t="s">
        <v>27</v>
      </c>
      <c r="C491" s="3" t="s">
        <v>28</v>
      </c>
      <c r="D491" s="3" t="s">
        <v>29</v>
      </c>
      <c r="E491" s="3" t="s">
        <v>208</v>
      </c>
      <c r="F491" s="3" t="s">
        <v>31</v>
      </c>
      <c r="G491" s="3" t="s">
        <v>208</v>
      </c>
      <c r="H491" s="3" t="s">
        <v>45</v>
      </c>
      <c r="I491" s="3">
        <v>2025</v>
      </c>
      <c r="J491" s="3" t="str">
        <f>CONCATENATE("54820252697")</f>
        <v>54820252697</v>
      </c>
      <c r="K491" s="3" t="s">
        <v>33</v>
      </c>
      <c r="L491" s="3"/>
      <c r="M491" s="3" t="s">
        <v>131</v>
      </c>
      <c r="N491" s="3" t="str">
        <f>CONCATENATE("SCRMRK96M12L500Y")</f>
        <v>SCRMRK96M12L500Y</v>
      </c>
      <c r="O491" s="3" t="s">
        <v>608</v>
      </c>
      <c r="P491" s="3" t="s">
        <v>36</v>
      </c>
      <c r="Q491" s="3"/>
      <c r="R491" s="4">
        <v>45996</v>
      </c>
      <c r="S491" s="3" t="s">
        <v>37</v>
      </c>
      <c r="T491" s="3" t="s">
        <v>38</v>
      </c>
      <c r="U491" s="3" t="s">
        <v>39</v>
      </c>
      <c r="V491" s="3">
        <v>212.26</v>
      </c>
      <c r="W491" s="3">
        <v>90.21</v>
      </c>
      <c r="X491" s="3">
        <v>85.43</v>
      </c>
      <c r="Y491" s="3">
        <v>36.619999999999997</v>
      </c>
    </row>
    <row r="492" spans="1:25" ht="72.75" x14ac:dyDescent="0.25">
      <c r="A492" s="3" t="s">
        <v>26</v>
      </c>
      <c r="B492" s="3" t="s">
        <v>27</v>
      </c>
      <c r="C492" s="3" t="s">
        <v>28</v>
      </c>
      <c r="D492" s="3" t="s">
        <v>40</v>
      </c>
      <c r="E492" s="3" t="s">
        <v>44</v>
      </c>
      <c r="F492" s="3" t="s">
        <v>42</v>
      </c>
      <c r="G492" s="3" t="s">
        <v>44</v>
      </c>
      <c r="H492" s="3" t="s">
        <v>32</v>
      </c>
      <c r="I492" s="3">
        <v>2025</v>
      </c>
      <c r="J492" s="3" t="str">
        <f>CONCATENATE("54820013503")</f>
        <v>54820013503</v>
      </c>
      <c r="K492" s="3" t="s">
        <v>33</v>
      </c>
      <c r="L492" s="3"/>
      <c r="M492" s="3" t="s">
        <v>131</v>
      </c>
      <c r="N492" s="3" t="str">
        <f>CONCATENATE("BCCMSM76A31L191M")</f>
        <v>BCCMSM76A31L191M</v>
      </c>
      <c r="O492" s="3" t="s">
        <v>609</v>
      </c>
      <c r="P492" s="3" t="s">
        <v>36</v>
      </c>
      <c r="Q492" s="3"/>
      <c r="R492" s="4">
        <v>45996</v>
      </c>
      <c r="S492" s="3" t="s">
        <v>37</v>
      </c>
      <c r="T492" s="3" t="s">
        <v>38</v>
      </c>
      <c r="U492" s="3" t="s">
        <v>39</v>
      </c>
      <c r="V492" s="3">
        <v>100.1</v>
      </c>
      <c r="W492" s="3">
        <v>42.54</v>
      </c>
      <c r="X492" s="3">
        <v>40.29</v>
      </c>
      <c r="Y492" s="3">
        <v>17.27</v>
      </c>
    </row>
    <row r="493" spans="1:25" ht="36.75" x14ac:dyDescent="0.25">
      <c r="A493" s="3" t="s">
        <v>26</v>
      </c>
      <c r="B493" s="3" t="s">
        <v>27</v>
      </c>
      <c r="C493" s="3" t="s">
        <v>28</v>
      </c>
      <c r="D493" s="3" t="s">
        <v>29</v>
      </c>
      <c r="E493" s="3" t="s">
        <v>208</v>
      </c>
      <c r="F493" s="3" t="s">
        <v>31</v>
      </c>
      <c r="G493" s="3" t="s">
        <v>208</v>
      </c>
      <c r="H493" s="3" t="s">
        <v>45</v>
      </c>
      <c r="I493" s="3">
        <v>2025</v>
      </c>
      <c r="J493" s="3" t="str">
        <f>CONCATENATE("54820045943")</f>
        <v>54820045943</v>
      </c>
      <c r="K493" s="3" t="s">
        <v>33</v>
      </c>
      <c r="L493" s="3"/>
      <c r="M493" s="3" t="s">
        <v>131</v>
      </c>
      <c r="N493" s="3" t="str">
        <f>CONCATENATE("01429170416")</f>
        <v>01429170416</v>
      </c>
      <c r="O493" s="3" t="s">
        <v>610</v>
      </c>
      <c r="P493" s="3" t="s">
        <v>36</v>
      </c>
      <c r="Q493" s="3"/>
      <c r="R493" s="4">
        <v>45996</v>
      </c>
      <c r="S493" s="3" t="s">
        <v>37</v>
      </c>
      <c r="T493" s="3" t="s">
        <v>38</v>
      </c>
      <c r="U493" s="3" t="s">
        <v>39</v>
      </c>
      <c r="V493" s="3">
        <v>836.45</v>
      </c>
      <c r="W493" s="3">
        <v>355.49</v>
      </c>
      <c r="X493" s="3">
        <v>336.67</v>
      </c>
      <c r="Y493" s="3">
        <v>144.29</v>
      </c>
    </row>
    <row r="494" spans="1:25" ht="60.75" x14ac:dyDescent="0.25">
      <c r="A494" s="3" t="s">
        <v>26</v>
      </c>
      <c r="B494" s="3" t="s">
        <v>27</v>
      </c>
      <c r="C494" s="3" t="s">
        <v>28</v>
      </c>
      <c r="D494" s="3" t="s">
        <v>40</v>
      </c>
      <c r="E494" s="3" t="s">
        <v>41</v>
      </c>
      <c r="F494" s="3" t="s">
        <v>42</v>
      </c>
      <c r="G494" s="3" t="s">
        <v>41</v>
      </c>
      <c r="H494" s="3" t="s">
        <v>32</v>
      </c>
      <c r="I494" s="3">
        <v>2025</v>
      </c>
      <c r="J494" s="3" t="str">
        <f>CONCATENATE("54820019088")</f>
        <v>54820019088</v>
      </c>
      <c r="K494" s="3" t="s">
        <v>33</v>
      </c>
      <c r="L494" s="3"/>
      <c r="M494" s="3" t="s">
        <v>131</v>
      </c>
      <c r="N494" s="3" t="str">
        <f>CONCATENATE("SPTNRC76E27F051W")</f>
        <v>SPTNRC76E27F051W</v>
      </c>
      <c r="O494" s="3" t="s">
        <v>611</v>
      </c>
      <c r="P494" s="3" t="s">
        <v>36</v>
      </c>
      <c r="Q494" s="3"/>
      <c r="R494" s="4">
        <v>45996</v>
      </c>
      <c r="S494" s="3" t="s">
        <v>37</v>
      </c>
      <c r="T494" s="3" t="s">
        <v>38</v>
      </c>
      <c r="U494" s="3" t="s">
        <v>39</v>
      </c>
      <c r="V494" s="3">
        <v>230.8</v>
      </c>
      <c r="W494" s="3">
        <v>98.09</v>
      </c>
      <c r="X494" s="3">
        <v>92.9</v>
      </c>
      <c r="Y494" s="3">
        <v>39.81</v>
      </c>
    </row>
    <row r="495" spans="1:25" ht="36.75" x14ac:dyDescent="0.25">
      <c r="A495" s="3" t="s">
        <v>26</v>
      </c>
      <c r="B495" s="3" t="s">
        <v>27</v>
      </c>
      <c r="C495" s="3" t="s">
        <v>28</v>
      </c>
      <c r="D495" s="3" t="s">
        <v>40</v>
      </c>
      <c r="E495" s="3" t="s">
        <v>54</v>
      </c>
      <c r="F495" s="3" t="s">
        <v>42</v>
      </c>
      <c r="G495" s="3" t="s">
        <v>54</v>
      </c>
      <c r="H495" s="3" t="s">
        <v>45</v>
      </c>
      <c r="I495" s="3">
        <v>2025</v>
      </c>
      <c r="J495" s="3" t="str">
        <f>CONCATENATE("54820083670")</f>
        <v>54820083670</v>
      </c>
      <c r="K495" s="3" t="s">
        <v>33</v>
      </c>
      <c r="L495" s="3"/>
      <c r="M495" s="3" t="s">
        <v>131</v>
      </c>
      <c r="N495" s="3" t="str">
        <f>CONCATENATE("02244030413")</f>
        <v>02244030413</v>
      </c>
      <c r="O495" s="3" t="s">
        <v>612</v>
      </c>
      <c r="P495" s="3" t="s">
        <v>36</v>
      </c>
      <c r="Q495" s="3"/>
      <c r="R495" s="4">
        <v>45996</v>
      </c>
      <c r="S495" s="3" t="s">
        <v>37</v>
      </c>
      <c r="T495" s="3" t="s">
        <v>38</v>
      </c>
      <c r="U495" s="3" t="s">
        <v>39</v>
      </c>
      <c r="V495" s="3">
        <v>231.96</v>
      </c>
      <c r="W495" s="3">
        <v>98.58</v>
      </c>
      <c r="X495" s="3">
        <v>93.36</v>
      </c>
      <c r="Y495" s="3">
        <v>40.020000000000003</v>
      </c>
    </row>
    <row r="496" spans="1:25" ht="60.75" x14ac:dyDescent="0.25">
      <c r="A496" s="3" t="s">
        <v>26</v>
      </c>
      <c r="B496" s="3" t="s">
        <v>27</v>
      </c>
      <c r="C496" s="3" t="s">
        <v>28</v>
      </c>
      <c r="D496" s="3" t="s">
        <v>40</v>
      </c>
      <c r="E496" s="3" t="s">
        <v>287</v>
      </c>
      <c r="F496" s="3" t="s">
        <v>42</v>
      </c>
      <c r="G496" s="3" t="s">
        <v>287</v>
      </c>
      <c r="H496" s="3" t="s">
        <v>32</v>
      </c>
      <c r="I496" s="3">
        <v>2025</v>
      </c>
      <c r="J496" s="3" t="str">
        <f>CONCATENATE("54820015284")</f>
        <v>54820015284</v>
      </c>
      <c r="K496" s="3" t="s">
        <v>33</v>
      </c>
      <c r="L496" s="3"/>
      <c r="M496" s="3" t="s">
        <v>131</v>
      </c>
      <c r="N496" s="3" t="str">
        <f>CONCATENATE("CCCTTI67P18B474U")</f>
        <v>CCCTTI67P18B474U</v>
      </c>
      <c r="O496" s="3" t="s">
        <v>613</v>
      </c>
      <c r="P496" s="3" t="s">
        <v>36</v>
      </c>
      <c r="Q496" s="3"/>
      <c r="R496" s="4">
        <v>45996</v>
      </c>
      <c r="S496" s="3" t="s">
        <v>37</v>
      </c>
      <c r="T496" s="3" t="s">
        <v>38</v>
      </c>
      <c r="U496" s="3" t="s">
        <v>39</v>
      </c>
      <c r="V496" s="3">
        <v>730.61</v>
      </c>
      <c r="W496" s="3">
        <v>310.51</v>
      </c>
      <c r="X496" s="3">
        <v>294.07</v>
      </c>
      <c r="Y496" s="3">
        <v>126.03</v>
      </c>
    </row>
    <row r="497" spans="1:25" ht="72.75" x14ac:dyDescent="0.25">
      <c r="A497" s="3" t="s">
        <v>26</v>
      </c>
      <c r="B497" s="3" t="s">
        <v>27</v>
      </c>
      <c r="C497" s="3" t="s">
        <v>28</v>
      </c>
      <c r="D497" s="3" t="s">
        <v>29</v>
      </c>
      <c r="E497" s="3" t="s">
        <v>119</v>
      </c>
      <c r="F497" s="3" t="s">
        <v>31</v>
      </c>
      <c r="G497" s="3" t="s">
        <v>119</v>
      </c>
      <c r="H497" s="3" t="s">
        <v>96</v>
      </c>
      <c r="I497" s="3">
        <v>2025</v>
      </c>
      <c r="J497" s="3" t="str">
        <f>CONCATENATE("54820009105")</f>
        <v>54820009105</v>
      </c>
      <c r="K497" s="3" t="s">
        <v>33</v>
      </c>
      <c r="L497" s="3"/>
      <c r="M497" s="3" t="s">
        <v>131</v>
      </c>
      <c r="N497" s="3" t="str">
        <f>CONCATENATE("BLDFNC42D29G289W")</f>
        <v>BLDFNC42D29G289W</v>
      </c>
      <c r="O497" s="3" t="s">
        <v>614</v>
      </c>
      <c r="P497" s="3" t="s">
        <v>36</v>
      </c>
      <c r="Q497" s="3"/>
      <c r="R497" s="4">
        <v>45996</v>
      </c>
      <c r="S497" s="3" t="s">
        <v>37</v>
      </c>
      <c r="T497" s="3" t="s">
        <v>38</v>
      </c>
      <c r="U497" s="3" t="s">
        <v>39</v>
      </c>
      <c r="V497" s="3">
        <v>90.68</v>
      </c>
      <c r="W497" s="3">
        <v>38.54</v>
      </c>
      <c r="X497" s="3">
        <v>36.5</v>
      </c>
      <c r="Y497" s="3">
        <v>15.64</v>
      </c>
    </row>
    <row r="498" spans="1:25" ht="60.75" x14ac:dyDescent="0.25">
      <c r="A498" s="3" t="s">
        <v>26</v>
      </c>
      <c r="B498" s="3" t="s">
        <v>27</v>
      </c>
      <c r="C498" s="3" t="s">
        <v>28</v>
      </c>
      <c r="D498" s="3" t="s">
        <v>29</v>
      </c>
      <c r="E498" s="3" t="s">
        <v>72</v>
      </c>
      <c r="F498" s="3" t="s">
        <v>31</v>
      </c>
      <c r="G498" s="3" t="s">
        <v>72</v>
      </c>
      <c r="H498" s="3" t="s">
        <v>45</v>
      </c>
      <c r="I498" s="3">
        <v>2025</v>
      </c>
      <c r="J498" s="3" t="str">
        <f>CONCATENATE("54820100482")</f>
        <v>54820100482</v>
      </c>
      <c r="K498" s="3" t="s">
        <v>33</v>
      </c>
      <c r="L498" s="3"/>
      <c r="M498" s="3" t="s">
        <v>131</v>
      </c>
      <c r="N498" s="3" t="str">
        <f>CONCATENATE("CHSGRG93P43L500D")</f>
        <v>CHSGRG93P43L500D</v>
      </c>
      <c r="O498" s="3" t="s">
        <v>615</v>
      </c>
      <c r="P498" s="3" t="s">
        <v>36</v>
      </c>
      <c r="Q498" s="3"/>
      <c r="R498" s="4">
        <v>45996</v>
      </c>
      <c r="S498" s="3" t="s">
        <v>37</v>
      </c>
      <c r="T498" s="3" t="s">
        <v>38</v>
      </c>
      <c r="U498" s="3" t="s">
        <v>39</v>
      </c>
      <c r="V498" s="3">
        <v>189.42</v>
      </c>
      <c r="W498" s="3">
        <v>80.5</v>
      </c>
      <c r="X498" s="3">
        <v>76.239999999999995</v>
      </c>
      <c r="Y498" s="3">
        <v>32.68</v>
      </c>
    </row>
    <row r="499" spans="1:25" ht="60.75" x14ac:dyDescent="0.25">
      <c r="A499" s="3" t="s">
        <v>26</v>
      </c>
      <c r="B499" s="3" t="s">
        <v>27</v>
      </c>
      <c r="C499" s="3" t="s">
        <v>28</v>
      </c>
      <c r="D499" s="3" t="s">
        <v>50</v>
      </c>
      <c r="E499" s="3" t="s">
        <v>60</v>
      </c>
      <c r="F499" s="3" t="s">
        <v>52</v>
      </c>
      <c r="G499" s="3" t="s">
        <v>60</v>
      </c>
      <c r="H499" s="3" t="s">
        <v>45</v>
      </c>
      <c r="I499" s="3">
        <v>2025</v>
      </c>
      <c r="J499" s="3" t="str">
        <f>CONCATENATE("54820104708")</f>
        <v>54820104708</v>
      </c>
      <c r="K499" s="3" t="s">
        <v>33</v>
      </c>
      <c r="L499" s="3"/>
      <c r="M499" s="3" t="s">
        <v>131</v>
      </c>
      <c r="N499" s="3" t="str">
        <f>CONCATENATE("BRZMRA43C07B352I")</f>
        <v>BRZMRA43C07B352I</v>
      </c>
      <c r="O499" s="3" t="s">
        <v>616</v>
      </c>
      <c r="P499" s="3" t="s">
        <v>36</v>
      </c>
      <c r="Q499" s="3"/>
      <c r="R499" s="4">
        <v>45996</v>
      </c>
      <c r="S499" s="3" t="s">
        <v>37</v>
      </c>
      <c r="T499" s="3" t="s">
        <v>38</v>
      </c>
      <c r="U499" s="3" t="s">
        <v>39</v>
      </c>
      <c r="V499" s="3">
        <v>156.94999999999999</v>
      </c>
      <c r="W499" s="3">
        <v>66.7</v>
      </c>
      <c r="X499" s="3">
        <v>63.17</v>
      </c>
      <c r="Y499" s="3">
        <v>27.08</v>
      </c>
    </row>
    <row r="500" spans="1:25" ht="60.75" x14ac:dyDescent="0.25">
      <c r="A500" s="3" t="s">
        <v>26</v>
      </c>
      <c r="B500" s="3" t="s">
        <v>27</v>
      </c>
      <c r="C500" s="3" t="s">
        <v>28</v>
      </c>
      <c r="D500" s="3" t="s">
        <v>29</v>
      </c>
      <c r="E500" s="3" t="s">
        <v>47</v>
      </c>
      <c r="F500" s="3" t="s">
        <v>31</v>
      </c>
      <c r="G500" s="3" t="s">
        <v>47</v>
      </c>
      <c r="H500" s="3" t="s">
        <v>48</v>
      </c>
      <c r="I500" s="3">
        <v>2025</v>
      </c>
      <c r="J500" s="3" t="str">
        <f>CONCATENATE("54820151014")</f>
        <v>54820151014</v>
      </c>
      <c r="K500" s="3" t="s">
        <v>33</v>
      </c>
      <c r="L500" s="3"/>
      <c r="M500" s="3" t="s">
        <v>131</v>
      </c>
      <c r="N500" s="3" t="str">
        <f>CONCATENATE("BRTNTN43T10F911W")</f>
        <v>BRTNTN43T10F911W</v>
      </c>
      <c r="O500" s="3" t="s">
        <v>617</v>
      </c>
      <c r="P500" s="3" t="s">
        <v>36</v>
      </c>
      <c r="Q500" s="3"/>
      <c r="R500" s="4">
        <v>45996</v>
      </c>
      <c r="S500" s="3" t="s">
        <v>37</v>
      </c>
      <c r="T500" s="3" t="s">
        <v>38</v>
      </c>
      <c r="U500" s="3" t="s">
        <v>39</v>
      </c>
      <c r="V500" s="3">
        <v>84.8</v>
      </c>
      <c r="W500" s="3">
        <v>36.04</v>
      </c>
      <c r="X500" s="3">
        <v>34.130000000000003</v>
      </c>
      <c r="Y500" s="3">
        <v>14.63</v>
      </c>
    </row>
    <row r="501" spans="1:25" ht="60.75" x14ac:dyDescent="0.25">
      <c r="A501" s="3" t="s">
        <v>26</v>
      </c>
      <c r="B501" s="3" t="s">
        <v>27</v>
      </c>
      <c r="C501" s="3" t="s">
        <v>28</v>
      </c>
      <c r="D501" s="3" t="s">
        <v>50</v>
      </c>
      <c r="E501" s="3" t="s">
        <v>60</v>
      </c>
      <c r="F501" s="3" t="s">
        <v>52</v>
      </c>
      <c r="G501" s="3" t="s">
        <v>60</v>
      </c>
      <c r="H501" s="3" t="s">
        <v>45</v>
      </c>
      <c r="I501" s="3">
        <v>2025</v>
      </c>
      <c r="J501" s="3" t="str">
        <f>CONCATENATE("54820089719")</f>
        <v>54820089719</v>
      </c>
      <c r="K501" s="3" t="s">
        <v>33</v>
      </c>
      <c r="L501" s="3"/>
      <c r="M501" s="3" t="s">
        <v>131</v>
      </c>
      <c r="N501" s="3" t="str">
        <f>CONCATENATE("FRCGFR81T11E256F")</f>
        <v>FRCGFR81T11E256F</v>
      </c>
      <c r="O501" s="3" t="s">
        <v>618</v>
      </c>
      <c r="P501" s="3" t="s">
        <v>36</v>
      </c>
      <c r="Q501" s="3"/>
      <c r="R501" s="4">
        <v>45996</v>
      </c>
      <c r="S501" s="3" t="s">
        <v>37</v>
      </c>
      <c r="T501" s="3" t="s">
        <v>38</v>
      </c>
      <c r="U501" s="3" t="s">
        <v>39</v>
      </c>
      <c r="V501" s="3">
        <v>160.78</v>
      </c>
      <c r="W501" s="3">
        <v>68.33</v>
      </c>
      <c r="X501" s="3">
        <v>64.709999999999994</v>
      </c>
      <c r="Y501" s="3">
        <v>27.74</v>
      </c>
    </row>
    <row r="502" spans="1:25" ht="60.75" x14ac:dyDescent="0.25">
      <c r="A502" s="3" t="s">
        <v>26</v>
      </c>
      <c r="B502" s="3" t="s">
        <v>27</v>
      </c>
      <c r="C502" s="3" t="s">
        <v>28</v>
      </c>
      <c r="D502" s="3" t="s">
        <v>29</v>
      </c>
      <c r="E502" s="3" t="s">
        <v>228</v>
      </c>
      <c r="F502" s="3" t="s">
        <v>31</v>
      </c>
      <c r="G502" s="3" t="s">
        <v>228</v>
      </c>
      <c r="H502" s="3" t="s">
        <v>45</v>
      </c>
      <c r="I502" s="3">
        <v>2025</v>
      </c>
      <c r="J502" s="3" t="str">
        <f>CONCATENATE("54820040654")</f>
        <v>54820040654</v>
      </c>
      <c r="K502" s="3" t="s">
        <v>33</v>
      </c>
      <c r="L502" s="3"/>
      <c r="M502" s="3" t="s">
        <v>131</v>
      </c>
      <c r="N502" s="3" t="str">
        <f>CONCATENATE("MRCPRM63L06D749B")</f>
        <v>MRCPRM63L06D749B</v>
      </c>
      <c r="O502" s="3" t="s">
        <v>619</v>
      </c>
      <c r="P502" s="3" t="s">
        <v>36</v>
      </c>
      <c r="Q502" s="3"/>
      <c r="R502" s="4">
        <v>45996</v>
      </c>
      <c r="S502" s="3" t="s">
        <v>37</v>
      </c>
      <c r="T502" s="3" t="s">
        <v>38</v>
      </c>
      <c r="U502" s="3" t="s">
        <v>39</v>
      </c>
      <c r="V502" s="3">
        <v>287.64</v>
      </c>
      <c r="W502" s="3">
        <v>122.25</v>
      </c>
      <c r="X502" s="3">
        <v>115.78</v>
      </c>
      <c r="Y502" s="3">
        <v>49.61</v>
      </c>
    </row>
    <row r="503" spans="1:25" ht="72.75" x14ac:dyDescent="0.25">
      <c r="A503" s="3" t="s">
        <v>26</v>
      </c>
      <c r="B503" s="3" t="s">
        <v>27</v>
      </c>
      <c r="C503" s="3" t="s">
        <v>28</v>
      </c>
      <c r="D503" s="3" t="s">
        <v>29</v>
      </c>
      <c r="E503" s="3" t="s">
        <v>136</v>
      </c>
      <c r="F503" s="3" t="s">
        <v>31</v>
      </c>
      <c r="G503" s="3" t="s">
        <v>136</v>
      </c>
      <c r="H503" s="3" t="s">
        <v>48</v>
      </c>
      <c r="I503" s="3">
        <v>2025</v>
      </c>
      <c r="J503" s="3" t="str">
        <f>CONCATENATE("54820096441")</f>
        <v>54820096441</v>
      </c>
      <c r="K503" s="3" t="s">
        <v>33</v>
      </c>
      <c r="L503" s="3"/>
      <c r="M503" s="3" t="s">
        <v>131</v>
      </c>
      <c r="N503" s="3" t="str">
        <f>CONCATENATE("BRNBRN39D68D965U")</f>
        <v>BRNBRN39D68D965U</v>
      </c>
      <c r="O503" s="3" t="s">
        <v>620</v>
      </c>
      <c r="P503" s="3" t="s">
        <v>36</v>
      </c>
      <c r="Q503" s="3"/>
      <c r="R503" s="4">
        <v>45996</v>
      </c>
      <c r="S503" s="3" t="s">
        <v>37</v>
      </c>
      <c r="T503" s="3" t="s">
        <v>38</v>
      </c>
      <c r="U503" s="3" t="s">
        <v>39</v>
      </c>
      <c r="V503" s="3">
        <v>287.18</v>
      </c>
      <c r="W503" s="3">
        <v>122.05</v>
      </c>
      <c r="X503" s="3">
        <v>115.59</v>
      </c>
      <c r="Y503" s="3">
        <v>49.54</v>
      </c>
    </row>
    <row r="504" spans="1:25" ht="60.75" x14ac:dyDescent="0.25">
      <c r="A504" s="3" t="s">
        <v>26</v>
      </c>
      <c r="B504" s="3" t="s">
        <v>27</v>
      </c>
      <c r="C504" s="3" t="s">
        <v>28</v>
      </c>
      <c r="D504" s="3" t="s">
        <v>29</v>
      </c>
      <c r="E504" s="3" t="s">
        <v>228</v>
      </c>
      <c r="F504" s="3" t="s">
        <v>31</v>
      </c>
      <c r="G504" s="3" t="s">
        <v>228</v>
      </c>
      <c r="H504" s="3" t="s">
        <v>45</v>
      </c>
      <c r="I504" s="3">
        <v>2025</v>
      </c>
      <c r="J504" s="3" t="str">
        <f>CONCATENATE("54820187380")</f>
        <v>54820187380</v>
      </c>
      <c r="K504" s="3" t="s">
        <v>33</v>
      </c>
      <c r="L504" s="3"/>
      <c r="M504" s="3" t="s">
        <v>131</v>
      </c>
      <c r="N504" s="3" t="str">
        <f>CONCATENATE("DCRCLD83C12D488U")</f>
        <v>DCRCLD83C12D488U</v>
      </c>
      <c r="O504" s="3" t="s">
        <v>621</v>
      </c>
      <c r="P504" s="3" t="s">
        <v>36</v>
      </c>
      <c r="Q504" s="3"/>
      <c r="R504" s="4">
        <v>45996</v>
      </c>
      <c r="S504" s="3" t="s">
        <v>37</v>
      </c>
      <c r="T504" s="3" t="s">
        <v>38</v>
      </c>
      <c r="U504" s="3" t="s">
        <v>39</v>
      </c>
      <c r="V504" s="3">
        <v>844.48</v>
      </c>
      <c r="W504" s="3">
        <v>358.9</v>
      </c>
      <c r="X504" s="3">
        <v>339.9</v>
      </c>
      <c r="Y504" s="3">
        <v>145.68</v>
      </c>
    </row>
    <row r="505" spans="1:25" ht="60.75" x14ac:dyDescent="0.25">
      <c r="A505" s="3" t="s">
        <v>26</v>
      </c>
      <c r="B505" s="3" t="s">
        <v>27</v>
      </c>
      <c r="C505" s="3" t="s">
        <v>28</v>
      </c>
      <c r="D505" s="3" t="s">
        <v>50</v>
      </c>
      <c r="E505" s="3" t="s">
        <v>60</v>
      </c>
      <c r="F505" s="3" t="s">
        <v>52</v>
      </c>
      <c r="G505" s="3" t="s">
        <v>60</v>
      </c>
      <c r="H505" s="3" t="s">
        <v>45</v>
      </c>
      <c r="I505" s="3">
        <v>2025</v>
      </c>
      <c r="J505" s="3" t="str">
        <f>CONCATENATE("54820089826")</f>
        <v>54820089826</v>
      </c>
      <c r="K505" s="3" t="s">
        <v>33</v>
      </c>
      <c r="L505" s="3"/>
      <c r="M505" s="3" t="s">
        <v>131</v>
      </c>
      <c r="N505" s="3" t="str">
        <f>CONCATENATE("BRZLVI41B21B352V")</f>
        <v>BRZLVI41B21B352V</v>
      </c>
      <c r="O505" s="3" t="s">
        <v>622</v>
      </c>
      <c r="P505" s="3" t="s">
        <v>36</v>
      </c>
      <c r="Q505" s="3"/>
      <c r="R505" s="4">
        <v>45996</v>
      </c>
      <c r="S505" s="3" t="s">
        <v>37</v>
      </c>
      <c r="T505" s="3" t="s">
        <v>38</v>
      </c>
      <c r="U505" s="3" t="s">
        <v>39</v>
      </c>
      <c r="V505" s="3">
        <v>108.48</v>
      </c>
      <c r="W505" s="3">
        <v>46.1</v>
      </c>
      <c r="X505" s="3">
        <v>43.66</v>
      </c>
      <c r="Y505" s="3">
        <v>18.72</v>
      </c>
    </row>
    <row r="506" spans="1:25" ht="60.75" x14ac:dyDescent="0.25">
      <c r="A506" s="3" t="s">
        <v>26</v>
      </c>
      <c r="B506" s="3" t="s">
        <v>27</v>
      </c>
      <c r="C506" s="3" t="s">
        <v>28</v>
      </c>
      <c r="D506" s="3" t="s">
        <v>40</v>
      </c>
      <c r="E506" s="3" t="s">
        <v>218</v>
      </c>
      <c r="F506" s="3" t="s">
        <v>42</v>
      </c>
      <c r="G506" s="3" t="s">
        <v>218</v>
      </c>
      <c r="H506" s="3" t="s">
        <v>45</v>
      </c>
      <c r="I506" s="3">
        <v>2025</v>
      </c>
      <c r="J506" s="3" t="str">
        <f>CONCATENATE("54820089115")</f>
        <v>54820089115</v>
      </c>
      <c r="K506" s="3" t="s">
        <v>33</v>
      </c>
      <c r="L506" s="3"/>
      <c r="M506" s="3" t="s">
        <v>131</v>
      </c>
      <c r="N506" s="3" t="str">
        <f>CONCATENATE("CNTLGO91L49L500S")</f>
        <v>CNTLGO91L49L500S</v>
      </c>
      <c r="O506" s="3" t="s">
        <v>623</v>
      </c>
      <c r="P506" s="3" t="s">
        <v>36</v>
      </c>
      <c r="Q506" s="3"/>
      <c r="R506" s="4">
        <v>45996</v>
      </c>
      <c r="S506" s="3" t="s">
        <v>37</v>
      </c>
      <c r="T506" s="3" t="s">
        <v>38</v>
      </c>
      <c r="U506" s="3" t="s">
        <v>39</v>
      </c>
      <c r="V506" s="3">
        <v>98.6</v>
      </c>
      <c r="W506" s="3">
        <v>41.91</v>
      </c>
      <c r="X506" s="3">
        <v>39.69</v>
      </c>
      <c r="Y506" s="3">
        <v>17</v>
      </c>
    </row>
    <row r="507" spans="1:25" ht="36.75" x14ac:dyDescent="0.25">
      <c r="A507" s="3" t="s">
        <v>26</v>
      </c>
      <c r="B507" s="3" t="s">
        <v>27</v>
      </c>
      <c r="C507" s="3" t="s">
        <v>28</v>
      </c>
      <c r="D507" s="3" t="s">
        <v>40</v>
      </c>
      <c r="E507" s="3" t="s">
        <v>99</v>
      </c>
      <c r="F507" s="3" t="s">
        <v>42</v>
      </c>
      <c r="G507" s="3" t="s">
        <v>99</v>
      </c>
      <c r="H507" s="3" t="s">
        <v>32</v>
      </c>
      <c r="I507" s="3">
        <v>2025</v>
      </c>
      <c r="J507" s="3" t="str">
        <f>CONCATENATE("54820100961")</f>
        <v>54820100961</v>
      </c>
      <c r="K507" s="3" t="s">
        <v>33</v>
      </c>
      <c r="L507" s="3"/>
      <c r="M507" s="3" t="s">
        <v>131</v>
      </c>
      <c r="N507" s="3" t="str">
        <f>CONCATENATE("00608380432")</f>
        <v>00608380432</v>
      </c>
      <c r="O507" s="3" t="s">
        <v>624</v>
      </c>
      <c r="P507" s="3" t="s">
        <v>36</v>
      </c>
      <c r="Q507" s="3"/>
      <c r="R507" s="4">
        <v>45996</v>
      </c>
      <c r="S507" s="3" t="s">
        <v>37</v>
      </c>
      <c r="T507" s="3" t="s">
        <v>38</v>
      </c>
      <c r="U507" s="3" t="s">
        <v>39</v>
      </c>
      <c r="V507" s="3">
        <v>423.87</v>
      </c>
      <c r="W507" s="3">
        <v>180.14</v>
      </c>
      <c r="X507" s="3">
        <v>170.61</v>
      </c>
      <c r="Y507" s="3">
        <v>73.12</v>
      </c>
    </row>
    <row r="508" spans="1:25" ht="60.75" x14ac:dyDescent="0.25">
      <c r="A508" s="3" t="s">
        <v>26</v>
      </c>
      <c r="B508" s="3" t="s">
        <v>27</v>
      </c>
      <c r="C508" s="3" t="s">
        <v>28</v>
      </c>
      <c r="D508" s="3" t="s">
        <v>40</v>
      </c>
      <c r="E508" s="3" t="s">
        <v>41</v>
      </c>
      <c r="F508" s="3" t="s">
        <v>42</v>
      </c>
      <c r="G508" s="3" t="s">
        <v>41</v>
      </c>
      <c r="H508" s="3" t="s">
        <v>32</v>
      </c>
      <c r="I508" s="3">
        <v>2025</v>
      </c>
      <c r="J508" s="3" t="str">
        <f>CONCATENATE("54820042932")</f>
        <v>54820042932</v>
      </c>
      <c r="K508" s="3" t="s">
        <v>33</v>
      </c>
      <c r="L508" s="3"/>
      <c r="M508" s="3" t="s">
        <v>131</v>
      </c>
      <c r="N508" s="3" t="str">
        <f>CONCATENATE("MSCGPP54L13I661T")</f>
        <v>MSCGPP54L13I661T</v>
      </c>
      <c r="O508" s="3" t="s">
        <v>625</v>
      </c>
      <c r="P508" s="3" t="s">
        <v>36</v>
      </c>
      <c r="Q508" s="3"/>
      <c r="R508" s="4">
        <v>45996</v>
      </c>
      <c r="S508" s="3" t="s">
        <v>37</v>
      </c>
      <c r="T508" s="3" t="s">
        <v>38</v>
      </c>
      <c r="U508" s="3" t="s">
        <v>39</v>
      </c>
      <c r="V508" s="3">
        <v>185.46</v>
      </c>
      <c r="W508" s="3">
        <v>78.819999999999993</v>
      </c>
      <c r="X508" s="3">
        <v>74.650000000000006</v>
      </c>
      <c r="Y508" s="3">
        <v>31.99</v>
      </c>
    </row>
    <row r="509" spans="1:25" ht="60.75" x14ac:dyDescent="0.25">
      <c r="A509" s="3" t="s">
        <v>26</v>
      </c>
      <c r="B509" s="3" t="s">
        <v>27</v>
      </c>
      <c r="C509" s="3" t="s">
        <v>28</v>
      </c>
      <c r="D509" s="3" t="s">
        <v>29</v>
      </c>
      <c r="E509" s="3" t="s">
        <v>56</v>
      </c>
      <c r="F509" s="3" t="s">
        <v>31</v>
      </c>
      <c r="G509" s="3" t="s">
        <v>56</v>
      </c>
      <c r="H509" s="3" t="s">
        <v>32</v>
      </c>
      <c r="I509" s="3">
        <v>2025</v>
      </c>
      <c r="J509" s="3" t="str">
        <f>CONCATENATE("54820067996")</f>
        <v>54820067996</v>
      </c>
      <c r="K509" s="3" t="s">
        <v>33</v>
      </c>
      <c r="L509" s="3"/>
      <c r="M509" s="3" t="s">
        <v>131</v>
      </c>
      <c r="N509" s="3" t="str">
        <f>CONCATENATE("SNTLCU40E63B474C")</f>
        <v>SNTLCU40E63B474C</v>
      </c>
      <c r="O509" s="3" t="s">
        <v>626</v>
      </c>
      <c r="P509" s="3" t="s">
        <v>36</v>
      </c>
      <c r="Q509" s="3"/>
      <c r="R509" s="4">
        <v>45996</v>
      </c>
      <c r="S509" s="3" t="s">
        <v>37</v>
      </c>
      <c r="T509" s="3" t="s">
        <v>38</v>
      </c>
      <c r="U509" s="3" t="s">
        <v>39</v>
      </c>
      <c r="V509" s="3">
        <v>118.33</v>
      </c>
      <c r="W509" s="3">
        <v>50.29</v>
      </c>
      <c r="X509" s="3">
        <v>47.63</v>
      </c>
      <c r="Y509" s="3">
        <v>20.41</v>
      </c>
    </row>
    <row r="510" spans="1:25" ht="60.75" x14ac:dyDescent="0.25">
      <c r="A510" s="3" t="s">
        <v>26</v>
      </c>
      <c r="B510" s="3" t="s">
        <v>27</v>
      </c>
      <c r="C510" s="3" t="s">
        <v>28</v>
      </c>
      <c r="D510" s="3" t="s">
        <v>40</v>
      </c>
      <c r="E510" s="3" t="s">
        <v>287</v>
      </c>
      <c r="F510" s="3" t="s">
        <v>42</v>
      </c>
      <c r="G510" s="3" t="s">
        <v>287</v>
      </c>
      <c r="H510" s="3" t="s">
        <v>32</v>
      </c>
      <c r="I510" s="3">
        <v>2025</v>
      </c>
      <c r="J510" s="3" t="str">
        <f>CONCATENATE("54820017397")</f>
        <v>54820017397</v>
      </c>
      <c r="K510" s="3" t="s">
        <v>33</v>
      </c>
      <c r="L510" s="3"/>
      <c r="M510" s="3" t="s">
        <v>131</v>
      </c>
      <c r="N510" s="3" t="str">
        <f>CONCATENATE("RSSVNZ56T02B474M")</f>
        <v>RSSVNZ56T02B474M</v>
      </c>
      <c r="O510" s="3" t="s">
        <v>627</v>
      </c>
      <c r="P510" s="3" t="s">
        <v>36</v>
      </c>
      <c r="Q510" s="3"/>
      <c r="R510" s="4">
        <v>45996</v>
      </c>
      <c r="S510" s="3" t="s">
        <v>37</v>
      </c>
      <c r="T510" s="3" t="s">
        <v>38</v>
      </c>
      <c r="U510" s="3" t="s">
        <v>39</v>
      </c>
      <c r="V510" s="3">
        <v>52.24</v>
      </c>
      <c r="W510" s="3">
        <v>22.2</v>
      </c>
      <c r="X510" s="3">
        <v>21.03</v>
      </c>
      <c r="Y510" s="3">
        <v>9.01</v>
      </c>
    </row>
    <row r="511" spans="1:25" ht="72.75" x14ac:dyDescent="0.25">
      <c r="A511" s="3" t="s">
        <v>26</v>
      </c>
      <c r="B511" s="3" t="s">
        <v>27</v>
      </c>
      <c r="C511" s="3" t="s">
        <v>28</v>
      </c>
      <c r="D511" s="3" t="s">
        <v>50</v>
      </c>
      <c r="E511" s="3" t="s">
        <v>51</v>
      </c>
      <c r="F511" s="3" t="s">
        <v>52</v>
      </c>
      <c r="G511" s="3" t="s">
        <v>51</v>
      </c>
      <c r="H511" s="3" t="s">
        <v>48</v>
      </c>
      <c r="I511" s="3">
        <v>2025</v>
      </c>
      <c r="J511" s="3" t="str">
        <f>CONCATENATE("54820116611")</f>
        <v>54820116611</v>
      </c>
      <c r="K511" s="3" t="s">
        <v>33</v>
      </c>
      <c r="L511" s="3"/>
      <c r="M511" s="3" t="s">
        <v>131</v>
      </c>
      <c r="N511" s="3" t="str">
        <f>CONCATENATE("ZNESRN65B47D451M")</f>
        <v>ZNESRN65B47D451M</v>
      </c>
      <c r="O511" s="3" t="s">
        <v>628</v>
      </c>
      <c r="P511" s="3" t="s">
        <v>36</v>
      </c>
      <c r="Q511" s="3"/>
      <c r="R511" s="4">
        <v>45996</v>
      </c>
      <c r="S511" s="3" t="s">
        <v>37</v>
      </c>
      <c r="T511" s="3" t="s">
        <v>38</v>
      </c>
      <c r="U511" s="3" t="s">
        <v>39</v>
      </c>
      <c r="V511" s="3">
        <v>48.8</v>
      </c>
      <c r="W511" s="3">
        <v>20.74</v>
      </c>
      <c r="X511" s="3">
        <v>19.64</v>
      </c>
      <c r="Y511" s="3">
        <v>8.42</v>
      </c>
    </row>
    <row r="512" spans="1:25" ht="60.75" x14ac:dyDescent="0.25">
      <c r="A512" s="3" t="s">
        <v>26</v>
      </c>
      <c r="B512" s="3" t="s">
        <v>27</v>
      </c>
      <c r="C512" s="3" t="s">
        <v>28</v>
      </c>
      <c r="D512" s="3" t="s">
        <v>50</v>
      </c>
      <c r="E512" s="3" t="s">
        <v>212</v>
      </c>
      <c r="F512" s="3" t="s">
        <v>52</v>
      </c>
      <c r="G512" s="3" t="s">
        <v>212</v>
      </c>
      <c r="H512" s="3" t="s">
        <v>32</v>
      </c>
      <c r="I512" s="3">
        <v>2025</v>
      </c>
      <c r="J512" s="3" t="str">
        <f>CONCATENATE("54820184759")</f>
        <v>54820184759</v>
      </c>
      <c r="K512" s="3" t="s">
        <v>33</v>
      </c>
      <c r="L512" s="3"/>
      <c r="M512" s="3" t="s">
        <v>131</v>
      </c>
      <c r="N512" s="3" t="str">
        <f>CONCATENATE("VRSPRI58H29B474B")</f>
        <v>VRSPRI58H29B474B</v>
      </c>
      <c r="O512" s="3" t="s">
        <v>629</v>
      </c>
      <c r="P512" s="3" t="s">
        <v>36</v>
      </c>
      <c r="Q512" s="3"/>
      <c r="R512" s="4">
        <v>45996</v>
      </c>
      <c r="S512" s="3" t="s">
        <v>37</v>
      </c>
      <c r="T512" s="3" t="s">
        <v>38</v>
      </c>
      <c r="U512" s="3" t="s">
        <v>39</v>
      </c>
      <c r="V512" s="3">
        <v>165.84</v>
      </c>
      <c r="W512" s="3">
        <v>70.48</v>
      </c>
      <c r="X512" s="3">
        <v>66.75</v>
      </c>
      <c r="Y512" s="3">
        <v>28.61</v>
      </c>
    </row>
    <row r="513" spans="1:25" ht="60.75" x14ac:dyDescent="0.25">
      <c r="A513" s="3" t="s">
        <v>26</v>
      </c>
      <c r="B513" s="3" t="s">
        <v>27</v>
      </c>
      <c r="C513" s="3" t="s">
        <v>28</v>
      </c>
      <c r="D513" s="3" t="s">
        <v>50</v>
      </c>
      <c r="E513" s="3" t="s">
        <v>60</v>
      </c>
      <c r="F513" s="3" t="s">
        <v>52</v>
      </c>
      <c r="G513" s="3" t="s">
        <v>60</v>
      </c>
      <c r="H513" s="3" t="s">
        <v>45</v>
      </c>
      <c r="I513" s="3">
        <v>2025</v>
      </c>
      <c r="J513" s="3" t="str">
        <f>CONCATENATE("54820085527")</f>
        <v>54820085527</v>
      </c>
      <c r="K513" s="3" t="s">
        <v>33</v>
      </c>
      <c r="L513" s="3"/>
      <c r="M513" s="3" t="s">
        <v>131</v>
      </c>
      <c r="N513" s="3" t="str">
        <f>CONCATENATE("BCLVNI41P51E256Y")</f>
        <v>BCLVNI41P51E256Y</v>
      </c>
      <c r="O513" s="3" t="s">
        <v>630</v>
      </c>
      <c r="P513" s="3" t="s">
        <v>36</v>
      </c>
      <c r="Q513" s="3"/>
      <c r="R513" s="4">
        <v>45996</v>
      </c>
      <c r="S513" s="3" t="s">
        <v>37</v>
      </c>
      <c r="T513" s="3" t="s">
        <v>38</v>
      </c>
      <c r="U513" s="3" t="s">
        <v>39</v>
      </c>
      <c r="V513" s="3">
        <v>786.9</v>
      </c>
      <c r="W513" s="3">
        <v>334.43</v>
      </c>
      <c r="X513" s="3">
        <v>316.73</v>
      </c>
      <c r="Y513" s="3">
        <v>135.74</v>
      </c>
    </row>
    <row r="514" spans="1:25" ht="60.75" x14ac:dyDescent="0.25">
      <c r="A514" s="3" t="s">
        <v>26</v>
      </c>
      <c r="B514" s="3" t="s">
        <v>27</v>
      </c>
      <c r="C514" s="3" t="s">
        <v>28</v>
      </c>
      <c r="D514" s="3" t="s">
        <v>50</v>
      </c>
      <c r="E514" s="3" t="s">
        <v>51</v>
      </c>
      <c r="F514" s="3" t="s">
        <v>52</v>
      </c>
      <c r="G514" s="3" t="s">
        <v>51</v>
      </c>
      <c r="H514" s="3" t="s">
        <v>48</v>
      </c>
      <c r="I514" s="3">
        <v>2025</v>
      </c>
      <c r="J514" s="3" t="str">
        <f>CONCATENATE("54820209606")</f>
        <v>54820209606</v>
      </c>
      <c r="K514" s="3" t="s">
        <v>33</v>
      </c>
      <c r="L514" s="3"/>
      <c r="M514" s="3" t="s">
        <v>131</v>
      </c>
      <c r="N514" s="3" t="str">
        <f>CONCATENATE("MGNDNC60L09I461C")</f>
        <v>MGNDNC60L09I461C</v>
      </c>
      <c r="O514" s="3" t="s">
        <v>631</v>
      </c>
      <c r="P514" s="3" t="s">
        <v>36</v>
      </c>
      <c r="Q514" s="3"/>
      <c r="R514" s="4">
        <v>45996</v>
      </c>
      <c r="S514" s="3" t="s">
        <v>37</v>
      </c>
      <c r="T514" s="3" t="s">
        <v>38</v>
      </c>
      <c r="U514" s="3" t="s">
        <v>39</v>
      </c>
      <c r="V514" s="5">
        <v>1039.96</v>
      </c>
      <c r="W514" s="3">
        <v>441.98</v>
      </c>
      <c r="X514" s="3">
        <v>418.58</v>
      </c>
      <c r="Y514" s="3">
        <v>179.4</v>
      </c>
    </row>
    <row r="515" spans="1:25" ht="36.75" x14ac:dyDescent="0.25">
      <c r="A515" s="3" t="s">
        <v>26</v>
      </c>
      <c r="B515" s="3" t="s">
        <v>27</v>
      </c>
      <c r="C515" s="3" t="s">
        <v>28</v>
      </c>
      <c r="D515" s="3" t="s">
        <v>29</v>
      </c>
      <c r="E515" s="3" t="s">
        <v>186</v>
      </c>
      <c r="F515" s="3" t="s">
        <v>31</v>
      </c>
      <c r="G515" s="3" t="s">
        <v>186</v>
      </c>
      <c r="H515" s="3" t="s">
        <v>45</v>
      </c>
      <c r="I515" s="3">
        <v>2025</v>
      </c>
      <c r="J515" s="3" t="str">
        <f>CONCATENATE("54820134762")</f>
        <v>54820134762</v>
      </c>
      <c r="K515" s="3" t="s">
        <v>33</v>
      </c>
      <c r="L515" s="3"/>
      <c r="M515" s="3" t="s">
        <v>131</v>
      </c>
      <c r="N515" s="3" t="str">
        <f>CONCATENATE("00414160416")</f>
        <v>00414160416</v>
      </c>
      <c r="O515" s="3" t="s">
        <v>632</v>
      </c>
      <c r="P515" s="3" t="s">
        <v>36</v>
      </c>
      <c r="Q515" s="3"/>
      <c r="R515" s="4">
        <v>45996</v>
      </c>
      <c r="S515" s="3" t="s">
        <v>37</v>
      </c>
      <c r="T515" s="3" t="s">
        <v>38</v>
      </c>
      <c r="U515" s="3" t="s">
        <v>39</v>
      </c>
      <c r="V515" s="3">
        <v>346.1</v>
      </c>
      <c r="W515" s="3">
        <v>147.09</v>
      </c>
      <c r="X515" s="3">
        <v>139.31</v>
      </c>
      <c r="Y515" s="3">
        <v>59.7</v>
      </c>
    </row>
    <row r="516" spans="1:25" ht="60.75" x14ac:dyDescent="0.25">
      <c r="A516" s="3" t="s">
        <v>26</v>
      </c>
      <c r="B516" s="3" t="s">
        <v>27</v>
      </c>
      <c r="C516" s="3" t="s">
        <v>28</v>
      </c>
      <c r="D516" s="3" t="s">
        <v>29</v>
      </c>
      <c r="E516" s="3" t="s">
        <v>233</v>
      </c>
      <c r="F516" s="3" t="s">
        <v>31</v>
      </c>
      <c r="G516" s="3" t="s">
        <v>233</v>
      </c>
      <c r="H516" s="3" t="s">
        <v>96</v>
      </c>
      <c r="I516" s="3">
        <v>2025</v>
      </c>
      <c r="J516" s="3" t="str">
        <f>CONCATENATE("54820084199")</f>
        <v>54820084199</v>
      </c>
      <c r="K516" s="3" t="s">
        <v>33</v>
      </c>
      <c r="L516" s="3"/>
      <c r="M516" s="3" t="s">
        <v>131</v>
      </c>
      <c r="N516" s="3" t="str">
        <f>CONCATENATE("LRAPLA59H05A437S")</f>
        <v>LRAPLA59H05A437S</v>
      </c>
      <c r="O516" s="3" t="s">
        <v>633</v>
      </c>
      <c r="P516" s="3" t="s">
        <v>36</v>
      </c>
      <c r="Q516" s="3"/>
      <c r="R516" s="4">
        <v>45996</v>
      </c>
      <c r="S516" s="3" t="s">
        <v>37</v>
      </c>
      <c r="T516" s="3" t="s">
        <v>38</v>
      </c>
      <c r="U516" s="3" t="s">
        <v>39</v>
      </c>
      <c r="V516" s="3">
        <v>503.27</v>
      </c>
      <c r="W516" s="3">
        <v>213.89</v>
      </c>
      <c r="X516" s="3">
        <v>202.57</v>
      </c>
      <c r="Y516" s="3">
        <v>86.81</v>
      </c>
    </row>
    <row r="517" spans="1:25" ht="72.75" x14ac:dyDescent="0.25">
      <c r="A517" s="3" t="s">
        <v>26</v>
      </c>
      <c r="B517" s="3" t="s">
        <v>27</v>
      </c>
      <c r="C517" s="3" t="s">
        <v>28</v>
      </c>
      <c r="D517" s="3" t="s">
        <v>50</v>
      </c>
      <c r="E517" s="3" t="s">
        <v>513</v>
      </c>
      <c r="F517" s="3" t="s">
        <v>52</v>
      </c>
      <c r="G517" s="3" t="s">
        <v>513</v>
      </c>
      <c r="H517" s="3" t="s">
        <v>96</v>
      </c>
      <c r="I517" s="3">
        <v>2025</v>
      </c>
      <c r="J517" s="3" t="str">
        <f>CONCATENATE("54820161096")</f>
        <v>54820161096</v>
      </c>
      <c r="K517" s="3" t="s">
        <v>33</v>
      </c>
      <c r="L517" s="3"/>
      <c r="M517" s="3" t="s">
        <v>131</v>
      </c>
      <c r="N517" s="3" t="str">
        <f>CONCATENATE("SMNMRN39M20H588F")</f>
        <v>SMNMRN39M20H588F</v>
      </c>
      <c r="O517" s="3" t="s">
        <v>634</v>
      </c>
      <c r="P517" s="3" t="s">
        <v>36</v>
      </c>
      <c r="Q517" s="3"/>
      <c r="R517" s="4">
        <v>45996</v>
      </c>
      <c r="S517" s="3" t="s">
        <v>37</v>
      </c>
      <c r="T517" s="3" t="s">
        <v>38</v>
      </c>
      <c r="U517" s="3" t="s">
        <v>39</v>
      </c>
      <c r="V517" s="3">
        <v>328.59</v>
      </c>
      <c r="W517" s="3">
        <v>139.65</v>
      </c>
      <c r="X517" s="3">
        <v>132.26</v>
      </c>
      <c r="Y517" s="3">
        <v>56.68</v>
      </c>
    </row>
    <row r="518" spans="1:25" ht="36.75" x14ac:dyDescent="0.25">
      <c r="A518" s="3" t="s">
        <v>26</v>
      </c>
      <c r="B518" s="3" t="s">
        <v>27</v>
      </c>
      <c r="C518" s="3" t="s">
        <v>28</v>
      </c>
      <c r="D518" s="3" t="s">
        <v>91</v>
      </c>
      <c r="E518" s="3" t="s">
        <v>522</v>
      </c>
      <c r="F518" s="3" t="s">
        <v>93</v>
      </c>
      <c r="G518" s="3" t="s">
        <v>522</v>
      </c>
      <c r="H518" s="3" t="s">
        <v>32</v>
      </c>
      <c r="I518" s="3">
        <v>2025</v>
      </c>
      <c r="J518" s="3" t="str">
        <f>CONCATENATE("54820141429")</f>
        <v>54820141429</v>
      </c>
      <c r="K518" s="3" t="s">
        <v>33</v>
      </c>
      <c r="L518" s="3"/>
      <c r="M518" s="3" t="s">
        <v>131</v>
      </c>
      <c r="N518" s="3" t="str">
        <f>CONCATENATE("01329350431")</f>
        <v>01329350431</v>
      </c>
      <c r="O518" s="3" t="s">
        <v>635</v>
      </c>
      <c r="P518" s="3" t="s">
        <v>36</v>
      </c>
      <c r="Q518" s="3"/>
      <c r="R518" s="4">
        <v>45996</v>
      </c>
      <c r="S518" s="3" t="s">
        <v>37</v>
      </c>
      <c r="T518" s="3" t="s">
        <v>38</v>
      </c>
      <c r="U518" s="3" t="s">
        <v>39</v>
      </c>
      <c r="V518" s="3">
        <v>179.66</v>
      </c>
      <c r="W518" s="3">
        <v>76.36</v>
      </c>
      <c r="X518" s="3">
        <v>72.31</v>
      </c>
      <c r="Y518" s="3">
        <v>30.99</v>
      </c>
    </row>
    <row r="519" spans="1:25" ht="60.75" x14ac:dyDescent="0.25">
      <c r="A519" s="3" t="s">
        <v>26</v>
      </c>
      <c r="B519" s="3" t="s">
        <v>27</v>
      </c>
      <c r="C519" s="3" t="s">
        <v>28</v>
      </c>
      <c r="D519" s="3" t="s">
        <v>50</v>
      </c>
      <c r="E519" s="3" t="s">
        <v>107</v>
      </c>
      <c r="F519" s="3" t="s">
        <v>52</v>
      </c>
      <c r="G519" s="3" t="s">
        <v>107</v>
      </c>
      <c r="H519" s="3" t="s">
        <v>48</v>
      </c>
      <c r="I519" s="3">
        <v>2025</v>
      </c>
      <c r="J519" s="3" t="str">
        <f>CONCATENATE("54820071261")</f>
        <v>54820071261</v>
      </c>
      <c r="K519" s="3" t="s">
        <v>33</v>
      </c>
      <c r="L519" s="3"/>
      <c r="M519" s="3" t="s">
        <v>131</v>
      </c>
      <c r="N519" s="3" t="str">
        <f>CONCATENATE("TNGFNC38A45I461V")</f>
        <v>TNGFNC38A45I461V</v>
      </c>
      <c r="O519" s="3" t="s">
        <v>636</v>
      </c>
      <c r="P519" s="3" t="s">
        <v>36</v>
      </c>
      <c r="Q519" s="3"/>
      <c r="R519" s="4">
        <v>45996</v>
      </c>
      <c r="S519" s="3" t="s">
        <v>37</v>
      </c>
      <c r="T519" s="3" t="s">
        <v>38</v>
      </c>
      <c r="U519" s="3" t="s">
        <v>39</v>
      </c>
      <c r="V519" s="3">
        <v>156.77000000000001</v>
      </c>
      <c r="W519" s="3">
        <v>66.63</v>
      </c>
      <c r="X519" s="3">
        <v>63.1</v>
      </c>
      <c r="Y519" s="3">
        <v>27.04</v>
      </c>
    </row>
    <row r="520" spans="1:25" ht="72.75" x14ac:dyDescent="0.25">
      <c r="A520" s="3" t="s">
        <v>26</v>
      </c>
      <c r="B520" s="3" t="s">
        <v>27</v>
      </c>
      <c r="C520" s="3" t="s">
        <v>28</v>
      </c>
      <c r="D520" s="3" t="s">
        <v>50</v>
      </c>
      <c r="E520" s="3" t="s">
        <v>60</v>
      </c>
      <c r="F520" s="3" t="s">
        <v>52</v>
      </c>
      <c r="G520" s="3" t="s">
        <v>60</v>
      </c>
      <c r="H520" s="3" t="s">
        <v>45</v>
      </c>
      <c r="I520" s="3">
        <v>2025</v>
      </c>
      <c r="J520" s="3" t="str">
        <f>CONCATENATE("54820107107")</f>
        <v>54820107107</v>
      </c>
      <c r="K520" s="3" t="s">
        <v>33</v>
      </c>
      <c r="L520" s="3"/>
      <c r="M520" s="3" t="s">
        <v>131</v>
      </c>
      <c r="N520" s="3" t="str">
        <f>CONCATENATE("BRTNDR83B25D749U")</f>
        <v>BRTNDR83B25D749U</v>
      </c>
      <c r="O520" s="3" t="s">
        <v>637</v>
      </c>
      <c r="P520" s="3" t="s">
        <v>36</v>
      </c>
      <c r="Q520" s="3"/>
      <c r="R520" s="4">
        <v>45996</v>
      </c>
      <c r="S520" s="3" t="s">
        <v>37</v>
      </c>
      <c r="T520" s="3" t="s">
        <v>38</v>
      </c>
      <c r="U520" s="3" t="s">
        <v>39</v>
      </c>
      <c r="V520" s="3">
        <v>715.82</v>
      </c>
      <c r="W520" s="3">
        <v>304.22000000000003</v>
      </c>
      <c r="X520" s="3">
        <v>288.12</v>
      </c>
      <c r="Y520" s="3">
        <v>123.48</v>
      </c>
    </row>
    <row r="521" spans="1:25" ht="72.75" x14ac:dyDescent="0.25">
      <c r="A521" s="3" t="s">
        <v>26</v>
      </c>
      <c r="B521" s="3" t="s">
        <v>27</v>
      </c>
      <c r="C521" s="3" t="s">
        <v>28</v>
      </c>
      <c r="D521" s="3" t="s">
        <v>29</v>
      </c>
      <c r="E521" s="3" t="s">
        <v>233</v>
      </c>
      <c r="F521" s="3" t="s">
        <v>31</v>
      </c>
      <c r="G521" s="3" t="s">
        <v>233</v>
      </c>
      <c r="H521" s="3" t="s">
        <v>96</v>
      </c>
      <c r="I521" s="3">
        <v>2025</v>
      </c>
      <c r="J521" s="3" t="str">
        <f>CONCATENATE("54820066709")</f>
        <v>54820066709</v>
      </c>
      <c r="K521" s="3" t="s">
        <v>33</v>
      </c>
      <c r="L521" s="3"/>
      <c r="M521" s="3" t="s">
        <v>131</v>
      </c>
      <c r="N521" s="3" t="str">
        <f>CONCATENATE("PCASMN89B19A462V")</f>
        <v>PCASMN89B19A462V</v>
      </c>
      <c r="O521" s="3" t="s">
        <v>638</v>
      </c>
      <c r="P521" s="3" t="s">
        <v>36</v>
      </c>
      <c r="Q521" s="3"/>
      <c r="R521" s="4">
        <v>45996</v>
      </c>
      <c r="S521" s="3" t="s">
        <v>37</v>
      </c>
      <c r="T521" s="3" t="s">
        <v>38</v>
      </c>
      <c r="U521" s="3" t="s">
        <v>39</v>
      </c>
      <c r="V521" s="3">
        <v>259.42</v>
      </c>
      <c r="W521" s="3">
        <v>110.25</v>
      </c>
      <c r="X521" s="3">
        <v>104.42</v>
      </c>
      <c r="Y521" s="3">
        <v>44.75</v>
      </c>
    </row>
    <row r="522" spans="1:25" ht="60.75" x14ac:dyDescent="0.25">
      <c r="A522" s="3" t="s">
        <v>26</v>
      </c>
      <c r="B522" s="3" t="s">
        <v>27</v>
      </c>
      <c r="C522" s="3" t="s">
        <v>28</v>
      </c>
      <c r="D522" s="3" t="s">
        <v>50</v>
      </c>
      <c r="E522" s="3" t="s">
        <v>147</v>
      </c>
      <c r="F522" s="3" t="s">
        <v>52</v>
      </c>
      <c r="G522" s="3" t="s">
        <v>147</v>
      </c>
      <c r="H522" s="3" t="s">
        <v>45</v>
      </c>
      <c r="I522" s="3">
        <v>2025</v>
      </c>
      <c r="J522" s="3" t="str">
        <f>CONCATENATE("54820080460")</f>
        <v>54820080460</v>
      </c>
      <c r="K522" s="3" t="s">
        <v>33</v>
      </c>
      <c r="L522" s="3"/>
      <c r="M522" s="3" t="s">
        <v>131</v>
      </c>
      <c r="N522" s="3" t="str">
        <f>CONCATENATE("FDRFNC55C29L500S")</f>
        <v>FDRFNC55C29L500S</v>
      </c>
      <c r="O522" s="3" t="s">
        <v>639</v>
      </c>
      <c r="P522" s="3" t="s">
        <v>36</v>
      </c>
      <c r="Q522" s="3"/>
      <c r="R522" s="4">
        <v>45996</v>
      </c>
      <c r="S522" s="3" t="s">
        <v>37</v>
      </c>
      <c r="T522" s="3" t="s">
        <v>38</v>
      </c>
      <c r="U522" s="3" t="s">
        <v>39</v>
      </c>
      <c r="V522" s="3">
        <v>70.14</v>
      </c>
      <c r="W522" s="3">
        <v>29.81</v>
      </c>
      <c r="X522" s="3">
        <v>28.23</v>
      </c>
      <c r="Y522" s="3">
        <v>12.1</v>
      </c>
    </row>
    <row r="523" spans="1:25" ht="72.75" x14ac:dyDescent="0.25">
      <c r="A523" s="3" t="s">
        <v>26</v>
      </c>
      <c r="B523" s="3" t="s">
        <v>27</v>
      </c>
      <c r="C523" s="3" t="s">
        <v>28</v>
      </c>
      <c r="D523" s="3" t="s">
        <v>29</v>
      </c>
      <c r="E523" s="3" t="s">
        <v>119</v>
      </c>
      <c r="F523" s="3" t="s">
        <v>31</v>
      </c>
      <c r="G523" s="3" t="s">
        <v>119</v>
      </c>
      <c r="H523" s="3" t="s">
        <v>96</v>
      </c>
      <c r="I523" s="3">
        <v>2025</v>
      </c>
      <c r="J523" s="3" t="str">
        <f>CONCATENATE("54820105671")</f>
        <v>54820105671</v>
      </c>
      <c r="K523" s="3" t="s">
        <v>33</v>
      </c>
      <c r="L523" s="3"/>
      <c r="M523" s="3" t="s">
        <v>131</v>
      </c>
      <c r="N523" s="3" t="str">
        <f>CONCATENATE("LSNNZR42B08D691W")</f>
        <v>LSNNZR42B08D691W</v>
      </c>
      <c r="O523" s="3" t="s">
        <v>640</v>
      </c>
      <c r="P523" s="3" t="s">
        <v>36</v>
      </c>
      <c r="Q523" s="3"/>
      <c r="R523" s="4">
        <v>45996</v>
      </c>
      <c r="S523" s="3" t="s">
        <v>37</v>
      </c>
      <c r="T523" s="3" t="s">
        <v>38</v>
      </c>
      <c r="U523" s="3" t="s">
        <v>39</v>
      </c>
      <c r="V523" s="3">
        <v>96.7</v>
      </c>
      <c r="W523" s="3">
        <v>41.1</v>
      </c>
      <c r="X523" s="3">
        <v>38.92</v>
      </c>
      <c r="Y523" s="3">
        <v>16.68</v>
      </c>
    </row>
    <row r="524" spans="1:25" ht="36.75" x14ac:dyDescent="0.25">
      <c r="A524" s="3" t="s">
        <v>26</v>
      </c>
      <c r="B524" s="3" t="s">
        <v>27</v>
      </c>
      <c r="C524" s="3" t="s">
        <v>28</v>
      </c>
      <c r="D524" s="3" t="s">
        <v>157</v>
      </c>
      <c r="E524" s="3" t="s">
        <v>310</v>
      </c>
      <c r="F524" s="3" t="s">
        <v>159</v>
      </c>
      <c r="G524" s="3" t="s">
        <v>310</v>
      </c>
      <c r="H524" s="3" t="s">
        <v>96</v>
      </c>
      <c r="I524" s="3">
        <v>2025</v>
      </c>
      <c r="J524" s="3" t="str">
        <f>CONCATENATE("54820231584")</f>
        <v>54820231584</v>
      </c>
      <c r="K524" s="3" t="s">
        <v>33</v>
      </c>
      <c r="L524" s="3"/>
      <c r="M524" s="3" t="s">
        <v>131</v>
      </c>
      <c r="N524" s="3" t="str">
        <f>CONCATENATE("02482590441")</f>
        <v>02482590441</v>
      </c>
      <c r="O524" s="3" t="s">
        <v>641</v>
      </c>
      <c r="P524" s="3" t="s">
        <v>36</v>
      </c>
      <c r="Q524" s="3"/>
      <c r="R524" s="4">
        <v>45996</v>
      </c>
      <c r="S524" s="3" t="s">
        <v>37</v>
      </c>
      <c r="T524" s="3" t="s">
        <v>38</v>
      </c>
      <c r="U524" s="3" t="s">
        <v>39</v>
      </c>
      <c r="V524" s="3">
        <v>576.53</v>
      </c>
      <c r="W524" s="3">
        <v>245.03</v>
      </c>
      <c r="X524" s="3">
        <v>232.05</v>
      </c>
      <c r="Y524" s="3">
        <v>99.45</v>
      </c>
    </row>
    <row r="525" spans="1:25" ht="60.75" x14ac:dyDescent="0.25">
      <c r="A525" s="3" t="s">
        <v>26</v>
      </c>
      <c r="B525" s="3" t="s">
        <v>27</v>
      </c>
      <c r="C525" s="3" t="s">
        <v>28</v>
      </c>
      <c r="D525" s="3" t="s">
        <v>29</v>
      </c>
      <c r="E525" s="3" t="s">
        <v>228</v>
      </c>
      <c r="F525" s="3" t="s">
        <v>31</v>
      </c>
      <c r="G525" s="3" t="s">
        <v>228</v>
      </c>
      <c r="H525" s="3" t="s">
        <v>45</v>
      </c>
      <c r="I525" s="3">
        <v>2025</v>
      </c>
      <c r="J525" s="3" t="str">
        <f>CONCATENATE("54820167853")</f>
        <v>54820167853</v>
      </c>
      <c r="K525" s="3" t="s">
        <v>33</v>
      </c>
      <c r="L525" s="3"/>
      <c r="M525" s="3" t="s">
        <v>131</v>
      </c>
      <c r="N525" s="3" t="str">
        <f>CONCATENATE("NRDGNN81P65D749O")</f>
        <v>NRDGNN81P65D749O</v>
      </c>
      <c r="O525" s="3" t="s">
        <v>642</v>
      </c>
      <c r="P525" s="3" t="s">
        <v>36</v>
      </c>
      <c r="Q525" s="3"/>
      <c r="R525" s="4">
        <v>45996</v>
      </c>
      <c r="S525" s="3" t="s">
        <v>37</v>
      </c>
      <c r="T525" s="3" t="s">
        <v>38</v>
      </c>
      <c r="U525" s="3" t="s">
        <v>39</v>
      </c>
      <c r="V525" s="3">
        <v>755.68</v>
      </c>
      <c r="W525" s="3">
        <v>321.16000000000003</v>
      </c>
      <c r="X525" s="3">
        <v>304.16000000000003</v>
      </c>
      <c r="Y525" s="3">
        <v>130.36000000000001</v>
      </c>
    </row>
    <row r="526" spans="1:25" ht="72.75" x14ac:dyDescent="0.25">
      <c r="A526" s="3" t="s">
        <v>26</v>
      </c>
      <c r="B526" s="3" t="s">
        <v>27</v>
      </c>
      <c r="C526" s="3" t="s">
        <v>28</v>
      </c>
      <c r="D526" s="3" t="s">
        <v>50</v>
      </c>
      <c r="E526" s="3" t="s">
        <v>149</v>
      </c>
      <c r="F526" s="3" t="s">
        <v>52</v>
      </c>
      <c r="G526" s="3" t="s">
        <v>149</v>
      </c>
      <c r="H526" s="3" t="s">
        <v>96</v>
      </c>
      <c r="I526" s="3">
        <v>2025</v>
      </c>
      <c r="J526" s="3" t="str">
        <f>CONCATENATE("54820171269")</f>
        <v>54820171269</v>
      </c>
      <c r="K526" s="3" t="s">
        <v>33</v>
      </c>
      <c r="L526" s="3"/>
      <c r="M526" s="3" t="s">
        <v>131</v>
      </c>
      <c r="N526" s="3" t="str">
        <f>CONCATENATE("PRCMLN88A06A462N")</f>
        <v>PRCMLN88A06A462N</v>
      </c>
      <c r="O526" s="3" t="s">
        <v>643</v>
      </c>
      <c r="P526" s="3" t="s">
        <v>36</v>
      </c>
      <c r="Q526" s="3"/>
      <c r="R526" s="4">
        <v>45996</v>
      </c>
      <c r="S526" s="3" t="s">
        <v>37</v>
      </c>
      <c r="T526" s="3" t="s">
        <v>38</v>
      </c>
      <c r="U526" s="3" t="s">
        <v>39</v>
      </c>
      <c r="V526" s="3">
        <v>132.49</v>
      </c>
      <c r="W526" s="3">
        <v>56.31</v>
      </c>
      <c r="X526" s="3">
        <v>53.33</v>
      </c>
      <c r="Y526" s="3">
        <v>22.85</v>
      </c>
    </row>
    <row r="527" spans="1:25" ht="60.75" x14ac:dyDescent="0.25">
      <c r="A527" s="3" t="s">
        <v>26</v>
      </c>
      <c r="B527" s="3" t="s">
        <v>27</v>
      </c>
      <c r="C527" s="3" t="s">
        <v>28</v>
      </c>
      <c r="D527" s="3" t="s">
        <v>29</v>
      </c>
      <c r="E527" s="3" t="s">
        <v>80</v>
      </c>
      <c r="F527" s="3" t="s">
        <v>31</v>
      </c>
      <c r="G527" s="3" t="s">
        <v>80</v>
      </c>
      <c r="H527" s="3" t="s">
        <v>45</v>
      </c>
      <c r="I527" s="3">
        <v>2025</v>
      </c>
      <c r="J527" s="3" t="str">
        <f>CONCATENATE("54820041090")</f>
        <v>54820041090</v>
      </c>
      <c r="K527" s="3" t="s">
        <v>33</v>
      </c>
      <c r="L527" s="3"/>
      <c r="M527" s="3" t="s">
        <v>131</v>
      </c>
      <c r="N527" s="3" t="str">
        <f>CONCATENATE("SLFSMN82L53D488F")</f>
        <v>SLFSMN82L53D488F</v>
      </c>
      <c r="O527" s="3" t="s">
        <v>644</v>
      </c>
      <c r="P527" s="3" t="s">
        <v>36</v>
      </c>
      <c r="Q527" s="3"/>
      <c r="R527" s="4">
        <v>45996</v>
      </c>
      <c r="S527" s="3" t="s">
        <v>37</v>
      </c>
      <c r="T527" s="3" t="s">
        <v>38</v>
      </c>
      <c r="U527" s="3" t="s">
        <v>39</v>
      </c>
      <c r="V527" s="3">
        <v>137.07</v>
      </c>
      <c r="W527" s="3">
        <v>58.25</v>
      </c>
      <c r="X527" s="3">
        <v>55.17</v>
      </c>
      <c r="Y527" s="3">
        <v>23.65</v>
      </c>
    </row>
    <row r="528" spans="1:25" ht="60.75" x14ac:dyDescent="0.25">
      <c r="A528" s="3" t="s">
        <v>26</v>
      </c>
      <c r="B528" s="3" t="s">
        <v>27</v>
      </c>
      <c r="C528" s="3" t="s">
        <v>28</v>
      </c>
      <c r="D528" s="3" t="s">
        <v>29</v>
      </c>
      <c r="E528" s="3" t="s">
        <v>119</v>
      </c>
      <c r="F528" s="3" t="s">
        <v>31</v>
      </c>
      <c r="G528" s="3" t="s">
        <v>119</v>
      </c>
      <c r="H528" s="3" t="s">
        <v>96</v>
      </c>
      <c r="I528" s="3">
        <v>2025</v>
      </c>
      <c r="J528" s="3" t="str">
        <f>CONCATENATE("54820117254")</f>
        <v>54820117254</v>
      </c>
      <c r="K528" s="3" t="s">
        <v>33</v>
      </c>
      <c r="L528" s="3"/>
      <c r="M528" s="3" t="s">
        <v>131</v>
      </c>
      <c r="N528" s="3" t="str">
        <f>CONCATENATE("DRBMCR81L71Z129H")</f>
        <v>DRBMCR81L71Z129H</v>
      </c>
      <c r="O528" s="3" t="s">
        <v>645</v>
      </c>
      <c r="P528" s="3" t="s">
        <v>36</v>
      </c>
      <c r="Q528" s="3"/>
      <c r="R528" s="4">
        <v>45996</v>
      </c>
      <c r="S528" s="3" t="s">
        <v>37</v>
      </c>
      <c r="T528" s="3" t="s">
        <v>38</v>
      </c>
      <c r="U528" s="3" t="s">
        <v>39</v>
      </c>
      <c r="V528" s="3">
        <v>411.31</v>
      </c>
      <c r="W528" s="3">
        <v>174.81</v>
      </c>
      <c r="X528" s="3">
        <v>165.55</v>
      </c>
      <c r="Y528" s="3">
        <v>70.95</v>
      </c>
    </row>
    <row r="529" spans="1:25" ht="72.75" x14ac:dyDescent="0.25">
      <c r="A529" s="3" t="s">
        <v>26</v>
      </c>
      <c r="B529" s="3" t="s">
        <v>27</v>
      </c>
      <c r="C529" s="3" t="s">
        <v>28</v>
      </c>
      <c r="D529" s="3" t="s">
        <v>29</v>
      </c>
      <c r="E529" s="3" t="s">
        <v>119</v>
      </c>
      <c r="F529" s="3" t="s">
        <v>31</v>
      </c>
      <c r="G529" s="3" t="s">
        <v>119</v>
      </c>
      <c r="H529" s="3" t="s">
        <v>96</v>
      </c>
      <c r="I529" s="3">
        <v>2025</v>
      </c>
      <c r="J529" s="3" t="str">
        <f>CONCATENATE("54820067855")</f>
        <v>54820067855</v>
      </c>
      <c r="K529" s="3" t="s">
        <v>33</v>
      </c>
      <c r="L529" s="3"/>
      <c r="M529" s="3" t="s">
        <v>131</v>
      </c>
      <c r="N529" s="3" t="str">
        <f>CONCATENATE("MDABDT53B14D691Y")</f>
        <v>MDABDT53B14D691Y</v>
      </c>
      <c r="O529" s="3" t="s">
        <v>646</v>
      </c>
      <c r="P529" s="3" t="s">
        <v>36</v>
      </c>
      <c r="Q529" s="3"/>
      <c r="R529" s="4">
        <v>45996</v>
      </c>
      <c r="S529" s="3" t="s">
        <v>37</v>
      </c>
      <c r="T529" s="3" t="s">
        <v>38</v>
      </c>
      <c r="U529" s="3" t="s">
        <v>39</v>
      </c>
      <c r="V529" s="3">
        <v>527.72</v>
      </c>
      <c r="W529" s="3">
        <v>224.28</v>
      </c>
      <c r="X529" s="3">
        <v>212.41</v>
      </c>
      <c r="Y529" s="3">
        <v>91.03</v>
      </c>
    </row>
    <row r="530" spans="1:25" ht="60.75" x14ac:dyDescent="0.25">
      <c r="A530" s="3" t="s">
        <v>26</v>
      </c>
      <c r="B530" s="3" t="s">
        <v>27</v>
      </c>
      <c r="C530" s="3" t="s">
        <v>28</v>
      </c>
      <c r="D530" s="3" t="s">
        <v>91</v>
      </c>
      <c r="E530" s="3" t="s">
        <v>522</v>
      </c>
      <c r="F530" s="3" t="s">
        <v>93</v>
      </c>
      <c r="G530" s="3" t="s">
        <v>522</v>
      </c>
      <c r="H530" s="3" t="s">
        <v>32</v>
      </c>
      <c r="I530" s="3">
        <v>2025</v>
      </c>
      <c r="J530" s="3" t="str">
        <f>CONCATENATE("54820068564")</f>
        <v>54820068564</v>
      </c>
      <c r="K530" s="3" t="s">
        <v>33</v>
      </c>
      <c r="L530" s="3"/>
      <c r="M530" s="3" t="s">
        <v>131</v>
      </c>
      <c r="N530" s="3" t="str">
        <f>CONCATENATE("GCHPFR69M06G157I")</f>
        <v>GCHPFR69M06G157I</v>
      </c>
      <c r="O530" s="3" t="s">
        <v>647</v>
      </c>
      <c r="P530" s="3" t="s">
        <v>36</v>
      </c>
      <c r="Q530" s="3"/>
      <c r="R530" s="4">
        <v>45996</v>
      </c>
      <c r="S530" s="3" t="s">
        <v>37</v>
      </c>
      <c r="T530" s="3" t="s">
        <v>38</v>
      </c>
      <c r="U530" s="3" t="s">
        <v>39</v>
      </c>
      <c r="V530" s="3">
        <v>640.6</v>
      </c>
      <c r="W530" s="3">
        <v>272.26</v>
      </c>
      <c r="X530" s="3">
        <v>257.83999999999997</v>
      </c>
      <c r="Y530" s="3">
        <v>110.5</v>
      </c>
    </row>
    <row r="531" spans="1:25" ht="60.75" x14ac:dyDescent="0.25">
      <c r="A531" s="3" t="s">
        <v>26</v>
      </c>
      <c r="B531" s="3" t="s">
        <v>27</v>
      </c>
      <c r="C531" s="3" t="s">
        <v>28</v>
      </c>
      <c r="D531" s="3" t="s">
        <v>50</v>
      </c>
      <c r="E531" s="3" t="s">
        <v>252</v>
      </c>
      <c r="F531" s="3" t="s">
        <v>52</v>
      </c>
      <c r="G531" s="3" t="s">
        <v>252</v>
      </c>
      <c r="H531" s="3" t="s">
        <v>45</v>
      </c>
      <c r="I531" s="3">
        <v>2025</v>
      </c>
      <c r="J531" s="3" t="str">
        <f>CONCATENATE("54820133301")</f>
        <v>54820133301</v>
      </c>
      <c r="K531" s="3" t="s">
        <v>33</v>
      </c>
      <c r="L531" s="3"/>
      <c r="M531" s="3" t="s">
        <v>131</v>
      </c>
      <c r="N531" s="3" t="str">
        <f>CONCATENATE("TRRGBR65P50D749G")</f>
        <v>TRRGBR65P50D749G</v>
      </c>
      <c r="O531" s="3" t="s">
        <v>648</v>
      </c>
      <c r="P531" s="3" t="s">
        <v>36</v>
      </c>
      <c r="Q531" s="3"/>
      <c r="R531" s="4">
        <v>45996</v>
      </c>
      <c r="S531" s="3" t="s">
        <v>37</v>
      </c>
      <c r="T531" s="3" t="s">
        <v>38</v>
      </c>
      <c r="U531" s="3" t="s">
        <v>39</v>
      </c>
      <c r="V531" s="3">
        <v>576.66999999999996</v>
      </c>
      <c r="W531" s="3">
        <v>245.08</v>
      </c>
      <c r="X531" s="3">
        <v>232.11</v>
      </c>
      <c r="Y531" s="3">
        <v>99.48</v>
      </c>
    </row>
    <row r="532" spans="1:25" ht="60.75" x14ac:dyDescent="0.25">
      <c r="A532" s="3" t="s">
        <v>26</v>
      </c>
      <c r="B532" s="3" t="s">
        <v>27</v>
      </c>
      <c r="C532" s="3" t="s">
        <v>28</v>
      </c>
      <c r="D532" s="3" t="s">
        <v>50</v>
      </c>
      <c r="E532" s="3" t="s">
        <v>252</v>
      </c>
      <c r="F532" s="3" t="s">
        <v>52</v>
      </c>
      <c r="G532" s="3" t="s">
        <v>252</v>
      </c>
      <c r="H532" s="3" t="s">
        <v>45</v>
      </c>
      <c r="I532" s="3">
        <v>2025</v>
      </c>
      <c r="J532" s="3" t="str">
        <f>CONCATENATE("54820135389")</f>
        <v>54820135389</v>
      </c>
      <c r="K532" s="3" t="s">
        <v>33</v>
      </c>
      <c r="L532" s="3"/>
      <c r="M532" s="3" t="s">
        <v>131</v>
      </c>
      <c r="N532" s="3" t="str">
        <f>CONCATENATE("PRMRRT84R05L500V")</f>
        <v>PRMRRT84R05L500V</v>
      </c>
      <c r="O532" s="3" t="s">
        <v>649</v>
      </c>
      <c r="P532" s="3" t="s">
        <v>36</v>
      </c>
      <c r="Q532" s="3"/>
      <c r="R532" s="4">
        <v>45996</v>
      </c>
      <c r="S532" s="3" t="s">
        <v>37</v>
      </c>
      <c r="T532" s="3" t="s">
        <v>38</v>
      </c>
      <c r="U532" s="3" t="s">
        <v>39</v>
      </c>
      <c r="V532" s="3">
        <v>64.25</v>
      </c>
      <c r="W532" s="3">
        <v>27.31</v>
      </c>
      <c r="X532" s="3">
        <v>25.86</v>
      </c>
      <c r="Y532" s="3">
        <v>11.08</v>
      </c>
    </row>
    <row r="533" spans="1:25" ht="36.75" x14ac:dyDescent="0.25">
      <c r="A533" s="3" t="s">
        <v>26</v>
      </c>
      <c r="B533" s="3" t="s">
        <v>27</v>
      </c>
      <c r="C533" s="3" t="s">
        <v>28</v>
      </c>
      <c r="D533" s="3" t="s">
        <v>40</v>
      </c>
      <c r="E533" s="3" t="s">
        <v>218</v>
      </c>
      <c r="F533" s="3" t="s">
        <v>42</v>
      </c>
      <c r="G533" s="3" t="s">
        <v>218</v>
      </c>
      <c r="H533" s="3" t="s">
        <v>45</v>
      </c>
      <c r="I533" s="3">
        <v>2025</v>
      </c>
      <c r="J533" s="3" t="str">
        <f>CONCATENATE("54820054911")</f>
        <v>54820054911</v>
      </c>
      <c r="K533" s="3" t="s">
        <v>33</v>
      </c>
      <c r="L533" s="3"/>
      <c r="M533" s="3" t="s">
        <v>131</v>
      </c>
      <c r="N533" s="3" t="str">
        <f>CONCATENATE("02168780415")</f>
        <v>02168780415</v>
      </c>
      <c r="O533" s="3" t="s">
        <v>650</v>
      </c>
      <c r="P533" s="3" t="s">
        <v>36</v>
      </c>
      <c r="Q533" s="3"/>
      <c r="R533" s="4">
        <v>45996</v>
      </c>
      <c r="S533" s="3" t="s">
        <v>37</v>
      </c>
      <c r="T533" s="3" t="s">
        <v>38</v>
      </c>
      <c r="U533" s="3" t="s">
        <v>39</v>
      </c>
      <c r="V533" s="3">
        <v>546.59</v>
      </c>
      <c r="W533" s="3">
        <v>232.3</v>
      </c>
      <c r="X533" s="3">
        <v>220</v>
      </c>
      <c r="Y533" s="3">
        <v>94.29</v>
      </c>
    </row>
    <row r="534" spans="1:25" ht="60.75" x14ac:dyDescent="0.25">
      <c r="A534" s="3" t="s">
        <v>26</v>
      </c>
      <c r="B534" s="3" t="s">
        <v>27</v>
      </c>
      <c r="C534" s="3" t="s">
        <v>28</v>
      </c>
      <c r="D534" s="3" t="s">
        <v>104</v>
      </c>
      <c r="E534" s="3" t="s">
        <v>141</v>
      </c>
      <c r="F534" s="3" t="s">
        <v>104</v>
      </c>
      <c r="G534" s="3" t="s">
        <v>141</v>
      </c>
      <c r="H534" s="3" t="s">
        <v>96</v>
      </c>
      <c r="I534" s="3">
        <v>2025</v>
      </c>
      <c r="J534" s="3" t="str">
        <f>CONCATENATE("54820135322")</f>
        <v>54820135322</v>
      </c>
      <c r="K534" s="3" t="s">
        <v>33</v>
      </c>
      <c r="L534" s="3"/>
      <c r="M534" s="3" t="s">
        <v>131</v>
      </c>
      <c r="N534" s="3" t="str">
        <f>CONCATENATE("ZRLNNA69S60A462K")</f>
        <v>ZRLNNA69S60A462K</v>
      </c>
      <c r="O534" s="3" t="s">
        <v>651</v>
      </c>
      <c r="P534" s="3" t="s">
        <v>36</v>
      </c>
      <c r="Q534" s="3"/>
      <c r="R534" s="4">
        <v>45996</v>
      </c>
      <c r="S534" s="3" t="s">
        <v>37</v>
      </c>
      <c r="T534" s="3" t="s">
        <v>38</v>
      </c>
      <c r="U534" s="3" t="s">
        <v>39</v>
      </c>
      <c r="V534" s="3">
        <v>60.38</v>
      </c>
      <c r="W534" s="3">
        <v>25.66</v>
      </c>
      <c r="X534" s="3">
        <v>24.3</v>
      </c>
      <c r="Y534" s="3">
        <v>10.42</v>
      </c>
    </row>
    <row r="535" spans="1:25" ht="60.75" x14ac:dyDescent="0.25">
      <c r="A535" s="3" t="s">
        <v>26</v>
      </c>
      <c r="B535" s="3" t="s">
        <v>27</v>
      </c>
      <c r="C535" s="3" t="s">
        <v>28</v>
      </c>
      <c r="D535" s="3" t="s">
        <v>40</v>
      </c>
      <c r="E535" s="3" t="s">
        <v>99</v>
      </c>
      <c r="F535" s="3" t="s">
        <v>42</v>
      </c>
      <c r="G535" s="3" t="s">
        <v>99</v>
      </c>
      <c r="H535" s="3" t="s">
        <v>32</v>
      </c>
      <c r="I535" s="3">
        <v>2025</v>
      </c>
      <c r="J535" s="3" t="str">
        <f>CONCATENATE("54820095443")</f>
        <v>54820095443</v>
      </c>
      <c r="K535" s="3" t="s">
        <v>33</v>
      </c>
      <c r="L535" s="3"/>
      <c r="M535" s="3" t="s">
        <v>131</v>
      </c>
      <c r="N535" s="3" t="str">
        <f>CONCATENATE("MSCLSN89S13B474V")</f>
        <v>MSCLSN89S13B474V</v>
      </c>
      <c r="O535" s="3" t="s">
        <v>652</v>
      </c>
      <c r="P535" s="3" t="s">
        <v>36</v>
      </c>
      <c r="Q535" s="3"/>
      <c r="R535" s="4">
        <v>45996</v>
      </c>
      <c r="S535" s="3" t="s">
        <v>37</v>
      </c>
      <c r="T535" s="3" t="s">
        <v>38</v>
      </c>
      <c r="U535" s="3" t="s">
        <v>39</v>
      </c>
      <c r="V535" s="3">
        <v>497.45</v>
      </c>
      <c r="W535" s="3">
        <v>211.42</v>
      </c>
      <c r="X535" s="3">
        <v>200.22</v>
      </c>
      <c r="Y535" s="3">
        <v>85.81</v>
      </c>
    </row>
    <row r="536" spans="1:25" ht="60.75" x14ac:dyDescent="0.25">
      <c r="A536" s="3" t="s">
        <v>26</v>
      </c>
      <c r="B536" s="3" t="s">
        <v>27</v>
      </c>
      <c r="C536" s="3" t="s">
        <v>28</v>
      </c>
      <c r="D536" s="3" t="s">
        <v>40</v>
      </c>
      <c r="E536" s="3" t="s">
        <v>287</v>
      </c>
      <c r="F536" s="3" t="s">
        <v>42</v>
      </c>
      <c r="G536" s="3" t="s">
        <v>287</v>
      </c>
      <c r="H536" s="3" t="s">
        <v>32</v>
      </c>
      <c r="I536" s="3">
        <v>2025</v>
      </c>
      <c r="J536" s="3" t="str">
        <f>CONCATENATE("54820016498")</f>
        <v>54820016498</v>
      </c>
      <c r="K536" s="3" t="s">
        <v>33</v>
      </c>
      <c r="L536" s="3"/>
      <c r="M536" s="3" t="s">
        <v>131</v>
      </c>
      <c r="N536" s="3" t="str">
        <f>CONCATENATE("MGLFNC52C27B474Q")</f>
        <v>MGLFNC52C27B474Q</v>
      </c>
      <c r="O536" s="3" t="s">
        <v>653</v>
      </c>
      <c r="P536" s="3" t="s">
        <v>36</v>
      </c>
      <c r="Q536" s="3"/>
      <c r="R536" s="4">
        <v>45996</v>
      </c>
      <c r="S536" s="3" t="s">
        <v>37</v>
      </c>
      <c r="T536" s="3" t="s">
        <v>38</v>
      </c>
      <c r="U536" s="3" t="s">
        <v>39</v>
      </c>
      <c r="V536" s="3">
        <v>122.07</v>
      </c>
      <c r="W536" s="3">
        <v>51.88</v>
      </c>
      <c r="X536" s="3">
        <v>49.13</v>
      </c>
      <c r="Y536" s="3">
        <v>21.06</v>
      </c>
    </row>
    <row r="537" spans="1:25" ht="60.75" x14ac:dyDescent="0.25">
      <c r="A537" s="3" t="s">
        <v>26</v>
      </c>
      <c r="B537" s="3" t="s">
        <v>27</v>
      </c>
      <c r="C537" s="3" t="s">
        <v>28</v>
      </c>
      <c r="D537" s="3" t="s">
        <v>50</v>
      </c>
      <c r="E537" s="3" t="s">
        <v>51</v>
      </c>
      <c r="F537" s="3" t="s">
        <v>52</v>
      </c>
      <c r="G537" s="3" t="s">
        <v>51</v>
      </c>
      <c r="H537" s="3" t="s">
        <v>48</v>
      </c>
      <c r="I537" s="3">
        <v>2025</v>
      </c>
      <c r="J537" s="3" t="str">
        <f>CONCATENATE("54820185806")</f>
        <v>54820185806</v>
      </c>
      <c r="K537" s="3" t="s">
        <v>33</v>
      </c>
      <c r="L537" s="3"/>
      <c r="M537" s="3" t="s">
        <v>131</v>
      </c>
      <c r="N537" s="3" t="str">
        <f>CONCATENATE("BMPLRT68E06A366Y")</f>
        <v>BMPLRT68E06A366Y</v>
      </c>
      <c r="O537" s="3" t="s">
        <v>654</v>
      </c>
      <c r="P537" s="3" t="s">
        <v>36</v>
      </c>
      <c r="Q537" s="3"/>
      <c r="R537" s="4">
        <v>45996</v>
      </c>
      <c r="S537" s="3" t="s">
        <v>37</v>
      </c>
      <c r="T537" s="3" t="s">
        <v>38</v>
      </c>
      <c r="U537" s="3" t="s">
        <v>39</v>
      </c>
      <c r="V537" s="3">
        <v>302.41000000000003</v>
      </c>
      <c r="W537" s="3">
        <v>128.52000000000001</v>
      </c>
      <c r="X537" s="3">
        <v>121.72</v>
      </c>
      <c r="Y537" s="3">
        <v>52.17</v>
      </c>
    </row>
    <row r="538" spans="1:25" ht="60.75" x14ac:dyDescent="0.25">
      <c r="A538" s="3" t="s">
        <v>26</v>
      </c>
      <c r="B538" s="3" t="s">
        <v>27</v>
      </c>
      <c r="C538" s="3" t="s">
        <v>28</v>
      </c>
      <c r="D538" s="3" t="s">
        <v>29</v>
      </c>
      <c r="E538" s="3" t="s">
        <v>208</v>
      </c>
      <c r="F538" s="3" t="s">
        <v>31</v>
      </c>
      <c r="G538" s="3" t="s">
        <v>208</v>
      </c>
      <c r="H538" s="3" t="s">
        <v>45</v>
      </c>
      <c r="I538" s="3">
        <v>2025</v>
      </c>
      <c r="J538" s="3" t="str">
        <f>CONCATENATE("54820038450")</f>
        <v>54820038450</v>
      </c>
      <c r="K538" s="3" t="s">
        <v>33</v>
      </c>
      <c r="L538" s="3"/>
      <c r="M538" s="3" t="s">
        <v>131</v>
      </c>
      <c r="N538" s="3" t="str">
        <f>CONCATENATE("BRNGNI62M22F135E")</f>
        <v>BRNGNI62M22F135E</v>
      </c>
      <c r="O538" s="3" t="s">
        <v>655</v>
      </c>
      <c r="P538" s="3" t="s">
        <v>36</v>
      </c>
      <c r="Q538" s="3"/>
      <c r="R538" s="4">
        <v>45996</v>
      </c>
      <c r="S538" s="3" t="s">
        <v>37</v>
      </c>
      <c r="T538" s="3" t="s">
        <v>38</v>
      </c>
      <c r="U538" s="3" t="s">
        <v>39</v>
      </c>
      <c r="V538" s="3">
        <v>103.05</v>
      </c>
      <c r="W538" s="3">
        <v>43.8</v>
      </c>
      <c r="X538" s="3">
        <v>41.48</v>
      </c>
      <c r="Y538" s="3">
        <v>17.77</v>
      </c>
    </row>
    <row r="539" spans="1:25" ht="72.75" x14ac:dyDescent="0.25">
      <c r="A539" s="3" t="s">
        <v>26</v>
      </c>
      <c r="B539" s="3" t="s">
        <v>27</v>
      </c>
      <c r="C539" s="3" t="s">
        <v>28</v>
      </c>
      <c r="D539" s="3" t="s">
        <v>40</v>
      </c>
      <c r="E539" s="3" t="s">
        <v>287</v>
      </c>
      <c r="F539" s="3" t="s">
        <v>42</v>
      </c>
      <c r="G539" s="3" t="s">
        <v>287</v>
      </c>
      <c r="H539" s="3" t="s">
        <v>32</v>
      </c>
      <c r="I539" s="3">
        <v>2025</v>
      </c>
      <c r="J539" s="3" t="str">
        <f>CONCATENATE("54820017363")</f>
        <v>54820017363</v>
      </c>
      <c r="K539" s="3" t="s">
        <v>33</v>
      </c>
      <c r="L539" s="3"/>
      <c r="M539" s="3" t="s">
        <v>131</v>
      </c>
      <c r="N539" s="3" t="str">
        <f>CONCATENATE("RMGMRZ63E10C267J")</f>
        <v>RMGMRZ63E10C267J</v>
      </c>
      <c r="O539" s="3" t="s">
        <v>656</v>
      </c>
      <c r="P539" s="3" t="s">
        <v>36</v>
      </c>
      <c r="Q539" s="3"/>
      <c r="R539" s="4">
        <v>45996</v>
      </c>
      <c r="S539" s="3" t="s">
        <v>37</v>
      </c>
      <c r="T539" s="3" t="s">
        <v>38</v>
      </c>
      <c r="U539" s="3" t="s">
        <v>39</v>
      </c>
      <c r="V539" s="3">
        <v>49.47</v>
      </c>
      <c r="W539" s="3">
        <v>21.02</v>
      </c>
      <c r="X539" s="3">
        <v>19.91</v>
      </c>
      <c r="Y539" s="3">
        <v>8.5399999999999991</v>
      </c>
    </row>
    <row r="540" spans="1:25" ht="60.75" x14ac:dyDescent="0.25">
      <c r="A540" s="3" t="s">
        <v>26</v>
      </c>
      <c r="B540" s="3" t="s">
        <v>27</v>
      </c>
      <c r="C540" s="3" t="s">
        <v>28</v>
      </c>
      <c r="D540" s="3" t="s">
        <v>50</v>
      </c>
      <c r="E540" s="3" t="s">
        <v>149</v>
      </c>
      <c r="F540" s="3" t="s">
        <v>52</v>
      </c>
      <c r="G540" s="3" t="s">
        <v>149</v>
      </c>
      <c r="H540" s="3" t="s">
        <v>96</v>
      </c>
      <c r="I540" s="3">
        <v>2025</v>
      </c>
      <c r="J540" s="3" t="str">
        <f>CONCATENATE("54820061619")</f>
        <v>54820061619</v>
      </c>
      <c r="K540" s="3" t="s">
        <v>33</v>
      </c>
      <c r="L540" s="3"/>
      <c r="M540" s="3" t="s">
        <v>131</v>
      </c>
      <c r="N540" s="3" t="str">
        <f>CONCATENATE("CNSFLC70S17A462E")</f>
        <v>CNSFLC70S17A462E</v>
      </c>
      <c r="O540" s="3" t="s">
        <v>657</v>
      </c>
      <c r="P540" s="3" t="s">
        <v>36</v>
      </c>
      <c r="Q540" s="3"/>
      <c r="R540" s="4">
        <v>45996</v>
      </c>
      <c r="S540" s="3" t="s">
        <v>37</v>
      </c>
      <c r="T540" s="3" t="s">
        <v>38</v>
      </c>
      <c r="U540" s="3" t="s">
        <v>39</v>
      </c>
      <c r="V540" s="3">
        <v>52.32</v>
      </c>
      <c r="W540" s="3">
        <v>22.24</v>
      </c>
      <c r="X540" s="3">
        <v>21.06</v>
      </c>
      <c r="Y540" s="3">
        <v>9.02</v>
      </c>
    </row>
    <row r="541" spans="1:25" ht="60.75" x14ac:dyDescent="0.25">
      <c r="A541" s="3" t="s">
        <v>26</v>
      </c>
      <c r="B541" s="3" t="s">
        <v>27</v>
      </c>
      <c r="C541" s="3" t="s">
        <v>28</v>
      </c>
      <c r="D541" s="3" t="s">
        <v>29</v>
      </c>
      <c r="E541" s="3" t="s">
        <v>47</v>
      </c>
      <c r="F541" s="3" t="s">
        <v>31</v>
      </c>
      <c r="G541" s="3" t="s">
        <v>47</v>
      </c>
      <c r="H541" s="3" t="s">
        <v>48</v>
      </c>
      <c r="I541" s="3">
        <v>2025</v>
      </c>
      <c r="J541" s="3" t="str">
        <f>CONCATENATE("54820101290")</f>
        <v>54820101290</v>
      </c>
      <c r="K541" s="3" t="s">
        <v>33</v>
      </c>
      <c r="L541" s="3"/>
      <c r="M541" s="3" t="s">
        <v>131</v>
      </c>
      <c r="N541" s="3" t="str">
        <f>CONCATENATE("STZCLD56D17D451U")</f>
        <v>STZCLD56D17D451U</v>
      </c>
      <c r="O541" s="3" t="s">
        <v>658</v>
      </c>
      <c r="P541" s="3" t="s">
        <v>36</v>
      </c>
      <c r="Q541" s="3"/>
      <c r="R541" s="4">
        <v>45996</v>
      </c>
      <c r="S541" s="3" t="s">
        <v>37</v>
      </c>
      <c r="T541" s="3" t="s">
        <v>38</v>
      </c>
      <c r="U541" s="3" t="s">
        <v>39</v>
      </c>
      <c r="V541" s="3">
        <v>77.84</v>
      </c>
      <c r="W541" s="3">
        <v>33.08</v>
      </c>
      <c r="X541" s="3">
        <v>31.33</v>
      </c>
      <c r="Y541" s="3">
        <v>13.43</v>
      </c>
    </row>
    <row r="542" spans="1:25" ht="60.75" x14ac:dyDescent="0.25">
      <c r="A542" s="3" t="s">
        <v>26</v>
      </c>
      <c r="B542" s="3" t="s">
        <v>27</v>
      </c>
      <c r="C542" s="3" t="s">
        <v>28</v>
      </c>
      <c r="D542" s="3" t="s">
        <v>50</v>
      </c>
      <c r="E542" s="3" t="s">
        <v>147</v>
      </c>
      <c r="F542" s="3" t="s">
        <v>52</v>
      </c>
      <c r="G542" s="3" t="s">
        <v>147</v>
      </c>
      <c r="H542" s="3" t="s">
        <v>45</v>
      </c>
      <c r="I542" s="3">
        <v>2025</v>
      </c>
      <c r="J542" s="3" t="str">
        <f>CONCATENATE("54820242763")</f>
        <v>54820242763</v>
      </c>
      <c r="K542" s="3" t="s">
        <v>33</v>
      </c>
      <c r="L542" s="3"/>
      <c r="M542" s="3" t="s">
        <v>131</v>
      </c>
      <c r="N542" s="3" t="str">
        <f>CONCATENATE("FNCFRZ69B07D749Z")</f>
        <v>FNCFRZ69B07D749Z</v>
      </c>
      <c r="O542" s="3" t="s">
        <v>659</v>
      </c>
      <c r="P542" s="3" t="s">
        <v>36</v>
      </c>
      <c r="Q542" s="3"/>
      <c r="R542" s="4">
        <v>45996</v>
      </c>
      <c r="S542" s="3" t="s">
        <v>37</v>
      </c>
      <c r="T542" s="3" t="s">
        <v>38</v>
      </c>
      <c r="U542" s="3" t="s">
        <v>39</v>
      </c>
      <c r="V542" s="3">
        <v>257.13</v>
      </c>
      <c r="W542" s="3">
        <v>109.28</v>
      </c>
      <c r="X542" s="3">
        <v>103.49</v>
      </c>
      <c r="Y542" s="3">
        <v>44.36</v>
      </c>
    </row>
    <row r="543" spans="1:25" ht="60.75" x14ac:dyDescent="0.25">
      <c r="A543" s="3" t="s">
        <v>26</v>
      </c>
      <c r="B543" s="3" t="s">
        <v>27</v>
      </c>
      <c r="C543" s="3" t="s">
        <v>28</v>
      </c>
      <c r="D543" s="3" t="s">
        <v>29</v>
      </c>
      <c r="E543" s="3" t="s">
        <v>47</v>
      </c>
      <c r="F543" s="3" t="s">
        <v>31</v>
      </c>
      <c r="G543" s="3" t="s">
        <v>47</v>
      </c>
      <c r="H543" s="3" t="s">
        <v>48</v>
      </c>
      <c r="I543" s="3">
        <v>2025</v>
      </c>
      <c r="J543" s="3" t="str">
        <f>CONCATENATE("54820078456")</f>
        <v>54820078456</v>
      </c>
      <c r="K543" s="3" t="s">
        <v>33</v>
      </c>
      <c r="L543" s="3"/>
      <c r="M543" s="3" t="s">
        <v>131</v>
      </c>
      <c r="N543" s="3" t="str">
        <f>CONCATENATE("MNTGNN52S10D451A")</f>
        <v>MNTGNN52S10D451A</v>
      </c>
      <c r="O543" s="3" t="s">
        <v>660</v>
      </c>
      <c r="P543" s="3" t="s">
        <v>36</v>
      </c>
      <c r="Q543" s="3"/>
      <c r="R543" s="4">
        <v>45996</v>
      </c>
      <c r="S543" s="3" t="s">
        <v>37</v>
      </c>
      <c r="T543" s="3" t="s">
        <v>38</v>
      </c>
      <c r="U543" s="3" t="s">
        <v>39</v>
      </c>
      <c r="V543" s="3">
        <v>47.51</v>
      </c>
      <c r="W543" s="3">
        <v>20.190000000000001</v>
      </c>
      <c r="X543" s="3">
        <v>19.12</v>
      </c>
      <c r="Y543" s="3">
        <v>8.1999999999999993</v>
      </c>
    </row>
    <row r="544" spans="1:25" ht="60.75" x14ac:dyDescent="0.25">
      <c r="A544" s="3" t="s">
        <v>26</v>
      </c>
      <c r="B544" s="3" t="s">
        <v>27</v>
      </c>
      <c r="C544" s="3" t="s">
        <v>28</v>
      </c>
      <c r="D544" s="3" t="s">
        <v>104</v>
      </c>
      <c r="E544" s="3" t="s">
        <v>661</v>
      </c>
      <c r="F544" s="3" t="s">
        <v>104</v>
      </c>
      <c r="G544" s="3" t="s">
        <v>661</v>
      </c>
      <c r="H544" s="3" t="s">
        <v>45</v>
      </c>
      <c r="I544" s="3">
        <v>2025</v>
      </c>
      <c r="J544" s="3" t="str">
        <f>CONCATENATE("54820135520")</f>
        <v>54820135520</v>
      </c>
      <c r="K544" s="3" t="s">
        <v>33</v>
      </c>
      <c r="L544" s="3"/>
      <c r="M544" s="3" t="s">
        <v>131</v>
      </c>
      <c r="N544" s="3" t="str">
        <f>CONCATENATE("BLLSFN65T26L219S")</f>
        <v>BLLSFN65T26L219S</v>
      </c>
      <c r="O544" s="3" t="s">
        <v>662</v>
      </c>
      <c r="P544" s="3" t="s">
        <v>36</v>
      </c>
      <c r="Q544" s="3"/>
      <c r="R544" s="4">
        <v>45996</v>
      </c>
      <c r="S544" s="3" t="s">
        <v>37</v>
      </c>
      <c r="T544" s="3" t="s">
        <v>38</v>
      </c>
      <c r="U544" s="3" t="s">
        <v>39</v>
      </c>
      <c r="V544" s="3">
        <v>207.76</v>
      </c>
      <c r="W544" s="3">
        <v>88.3</v>
      </c>
      <c r="X544" s="3">
        <v>83.62</v>
      </c>
      <c r="Y544" s="3">
        <v>35.840000000000003</v>
      </c>
    </row>
    <row r="545" spans="1:25" ht="60.75" x14ac:dyDescent="0.25">
      <c r="A545" s="3" t="s">
        <v>26</v>
      </c>
      <c r="B545" s="3" t="s">
        <v>27</v>
      </c>
      <c r="C545" s="3" t="s">
        <v>28</v>
      </c>
      <c r="D545" s="3" t="s">
        <v>29</v>
      </c>
      <c r="E545" s="3" t="s">
        <v>182</v>
      </c>
      <c r="F545" s="3" t="s">
        <v>31</v>
      </c>
      <c r="G545" s="3" t="s">
        <v>182</v>
      </c>
      <c r="H545" s="3" t="s">
        <v>45</v>
      </c>
      <c r="I545" s="3">
        <v>2025</v>
      </c>
      <c r="J545" s="3" t="str">
        <f>CONCATENATE("54820138573")</f>
        <v>54820138573</v>
      </c>
      <c r="K545" s="3" t="s">
        <v>33</v>
      </c>
      <c r="L545" s="3"/>
      <c r="M545" s="3" t="s">
        <v>131</v>
      </c>
      <c r="N545" s="3" t="str">
        <f>CONCATENATE("FRTLGN49T12D541L")</f>
        <v>FRTLGN49T12D541L</v>
      </c>
      <c r="O545" s="3" t="s">
        <v>663</v>
      </c>
      <c r="P545" s="3" t="s">
        <v>36</v>
      </c>
      <c r="Q545" s="3"/>
      <c r="R545" s="4">
        <v>45996</v>
      </c>
      <c r="S545" s="3" t="s">
        <v>37</v>
      </c>
      <c r="T545" s="3" t="s">
        <v>38</v>
      </c>
      <c r="U545" s="3" t="s">
        <v>39</v>
      </c>
      <c r="V545" s="3">
        <v>101.69</v>
      </c>
      <c r="W545" s="3">
        <v>43.22</v>
      </c>
      <c r="X545" s="3">
        <v>40.93</v>
      </c>
      <c r="Y545" s="3">
        <v>17.54</v>
      </c>
    </row>
    <row r="546" spans="1:25" ht="60.75" x14ac:dyDescent="0.25">
      <c r="A546" s="3" t="s">
        <v>26</v>
      </c>
      <c r="B546" s="3" t="s">
        <v>27</v>
      </c>
      <c r="C546" s="3" t="s">
        <v>28</v>
      </c>
      <c r="D546" s="3" t="s">
        <v>104</v>
      </c>
      <c r="E546" s="3" t="s">
        <v>141</v>
      </c>
      <c r="F546" s="3" t="s">
        <v>104</v>
      </c>
      <c r="G546" s="3" t="s">
        <v>141</v>
      </c>
      <c r="H546" s="3" t="s">
        <v>96</v>
      </c>
      <c r="I546" s="3">
        <v>2025</v>
      </c>
      <c r="J546" s="3" t="str">
        <f>CONCATENATE("54820136841")</f>
        <v>54820136841</v>
      </c>
      <c r="K546" s="3" t="s">
        <v>33</v>
      </c>
      <c r="L546" s="3"/>
      <c r="M546" s="3" t="s">
        <v>131</v>
      </c>
      <c r="N546" s="3" t="str">
        <f>CONCATENATE("BRTGPP60S23F509A")</f>
        <v>BRTGPP60S23F509A</v>
      </c>
      <c r="O546" s="3" t="s">
        <v>664</v>
      </c>
      <c r="P546" s="3" t="s">
        <v>36</v>
      </c>
      <c r="Q546" s="3"/>
      <c r="R546" s="4">
        <v>45996</v>
      </c>
      <c r="S546" s="3" t="s">
        <v>37</v>
      </c>
      <c r="T546" s="3" t="s">
        <v>38</v>
      </c>
      <c r="U546" s="3" t="s">
        <v>39</v>
      </c>
      <c r="V546" s="3">
        <v>203.07</v>
      </c>
      <c r="W546" s="3">
        <v>86.3</v>
      </c>
      <c r="X546" s="3">
        <v>81.739999999999995</v>
      </c>
      <c r="Y546" s="3">
        <v>35.03</v>
      </c>
    </row>
    <row r="547" spans="1:25" ht="72.75" x14ac:dyDescent="0.25">
      <c r="A547" s="3" t="s">
        <v>26</v>
      </c>
      <c r="B547" s="3" t="s">
        <v>27</v>
      </c>
      <c r="C547" s="3" t="s">
        <v>28</v>
      </c>
      <c r="D547" s="3" t="s">
        <v>157</v>
      </c>
      <c r="E547" s="3" t="s">
        <v>310</v>
      </c>
      <c r="F547" s="3" t="s">
        <v>159</v>
      </c>
      <c r="G547" s="3" t="s">
        <v>310</v>
      </c>
      <c r="H547" s="3" t="s">
        <v>32</v>
      </c>
      <c r="I547" s="3">
        <v>2025</v>
      </c>
      <c r="J547" s="3" t="str">
        <f>CONCATENATE("54820109772")</f>
        <v>54820109772</v>
      </c>
      <c r="K547" s="3" t="s">
        <v>33</v>
      </c>
      <c r="L547" s="3"/>
      <c r="M547" s="3" t="s">
        <v>131</v>
      </c>
      <c r="N547" s="3" t="str">
        <f>CONCATENATE("RPNMLM97T05D451N")</f>
        <v>RPNMLM97T05D451N</v>
      </c>
      <c r="O547" s="3" t="s">
        <v>665</v>
      </c>
      <c r="P547" s="3" t="s">
        <v>36</v>
      </c>
      <c r="Q547" s="3"/>
      <c r="R547" s="4">
        <v>45996</v>
      </c>
      <c r="S547" s="3" t="s">
        <v>37</v>
      </c>
      <c r="T547" s="3" t="s">
        <v>38</v>
      </c>
      <c r="U547" s="3" t="s">
        <v>39</v>
      </c>
      <c r="V547" s="3">
        <v>570.92999999999995</v>
      </c>
      <c r="W547" s="3">
        <v>242.65</v>
      </c>
      <c r="X547" s="3">
        <v>229.8</v>
      </c>
      <c r="Y547" s="3">
        <v>98.48</v>
      </c>
    </row>
    <row r="548" spans="1:25" ht="60.75" x14ac:dyDescent="0.25">
      <c r="A548" s="3" t="s">
        <v>26</v>
      </c>
      <c r="B548" s="3" t="s">
        <v>27</v>
      </c>
      <c r="C548" s="3" t="s">
        <v>28</v>
      </c>
      <c r="D548" s="3" t="s">
        <v>50</v>
      </c>
      <c r="E548" s="3" t="s">
        <v>107</v>
      </c>
      <c r="F548" s="3" t="s">
        <v>52</v>
      </c>
      <c r="G548" s="3" t="s">
        <v>107</v>
      </c>
      <c r="H548" s="3" t="s">
        <v>48</v>
      </c>
      <c r="I548" s="3">
        <v>2025</v>
      </c>
      <c r="J548" s="3" t="str">
        <f>CONCATENATE("54820190822")</f>
        <v>54820190822</v>
      </c>
      <c r="K548" s="3" t="s">
        <v>33</v>
      </c>
      <c r="L548" s="3"/>
      <c r="M548" s="3" t="s">
        <v>131</v>
      </c>
      <c r="N548" s="3" t="str">
        <f>CONCATENATE("CRZDGI78L10G203Q")</f>
        <v>CRZDGI78L10G203Q</v>
      </c>
      <c r="O548" s="3" t="s">
        <v>666</v>
      </c>
      <c r="P548" s="3" t="s">
        <v>36</v>
      </c>
      <c r="Q548" s="3"/>
      <c r="R548" s="4">
        <v>45996</v>
      </c>
      <c r="S548" s="3" t="s">
        <v>37</v>
      </c>
      <c r="T548" s="3" t="s">
        <v>38</v>
      </c>
      <c r="U548" s="3" t="s">
        <v>39</v>
      </c>
      <c r="V548" s="3">
        <v>111.66</v>
      </c>
      <c r="W548" s="3">
        <v>47.46</v>
      </c>
      <c r="X548" s="3">
        <v>44.94</v>
      </c>
      <c r="Y548" s="3">
        <v>19.260000000000002</v>
      </c>
    </row>
    <row r="549" spans="1:25" ht="60.75" x14ac:dyDescent="0.25">
      <c r="A549" s="3" t="s">
        <v>26</v>
      </c>
      <c r="B549" s="3" t="s">
        <v>27</v>
      </c>
      <c r="C549" s="3" t="s">
        <v>28</v>
      </c>
      <c r="D549" s="3" t="s">
        <v>50</v>
      </c>
      <c r="E549" s="3" t="s">
        <v>60</v>
      </c>
      <c r="F549" s="3" t="s">
        <v>52</v>
      </c>
      <c r="G549" s="3" t="s">
        <v>60</v>
      </c>
      <c r="H549" s="3" t="s">
        <v>45</v>
      </c>
      <c r="I549" s="3">
        <v>2025</v>
      </c>
      <c r="J549" s="3" t="str">
        <f>CONCATENATE("54820181219")</f>
        <v>54820181219</v>
      </c>
      <c r="K549" s="3" t="s">
        <v>33</v>
      </c>
      <c r="L549" s="3"/>
      <c r="M549" s="3" t="s">
        <v>131</v>
      </c>
      <c r="N549" s="3" t="str">
        <f>CONCATENATE("SNTLFA40A15D791M")</f>
        <v>SNTLFA40A15D791M</v>
      </c>
      <c r="O549" s="3" t="s">
        <v>667</v>
      </c>
      <c r="P549" s="3" t="s">
        <v>36</v>
      </c>
      <c r="Q549" s="3"/>
      <c r="R549" s="4">
        <v>45996</v>
      </c>
      <c r="S549" s="3" t="s">
        <v>37</v>
      </c>
      <c r="T549" s="3" t="s">
        <v>38</v>
      </c>
      <c r="U549" s="3" t="s">
        <v>39</v>
      </c>
      <c r="V549" s="3">
        <v>72.77</v>
      </c>
      <c r="W549" s="3">
        <v>30.93</v>
      </c>
      <c r="X549" s="3">
        <v>29.29</v>
      </c>
      <c r="Y549" s="3">
        <v>12.55</v>
      </c>
    </row>
    <row r="550" spans="1:25" ht="72.75" x14ac:dyDescent="0.25">
      <c r="A550" s="3" t="s">
        <v>26</v>
      </c>
      <c r="B550" s="3" t="s">
        <v>27</v>
      </c>
      <c r="C550" s="3" t="s">
        <v>28</v>
      </c>
      <c r="D550" s="3" t="s">
        <v>29</v>
      </c>
      <c r="E550" s="3" t="s">
        <v>136</v>
      </c>
      <c r="F550" s="3" t="s">
        <v>31</v>
      </c>
      <c r="G550" s="3" t="s">
        <v>136</v>
      </c>
      <c r="H550" s="3" t="s">
        <v>48</v>
      </c>
      <c r="I550" s="3">
        <v>2025</v>
      </c>
      <c r="J550" s="3" t="str">
        <f>CONCATENATE("54820116264")</f>
        <v>54820116264</v>
      </c>
      <c r="K550" s="3" t="s">
        <v>33</v>
      </c>
      <c r="L550" s="3"/>
      <c r="M550" s="3" t="s">
        <v>131</v>
      </c>
      <c r="N550" s="3" t="str">
        <f>CONCATENATE("MRCDNC84M21D451V")</f>
        <v>MRCDNC84M21D451V</v>
      </c>
      <c r="O550" s="3" t="s">
        <v>668</v>
      </c>
      <c r="P550" s="3" t="s">
        <v>36</v>
      </c>
      <c r="Q550" s="3"/>
      <c r="R550" s="4">
        <v>45996</v>
      </c>
      <c r="S550" s="3" t="s">
        <v>37</v>
      </c>
      <c r="T550" s="3" t="s">
        <v>38</v>
      </c>
      <c r="U550" s="3" t="s">
        <v>39</v>
      </c>
      <c r="V550" s="3">
        <v>301.29000000000002</v>
      </c>
      <c r="W550" s="3">
        <v>128.05000000000001</v>
      </c>
      <c r="X550" s="3">
        <v>121.27</v>
      </c>
      <c r="Y550" s="3">
        <v>51.97</v>
      </c>
    </row>
    <row r="551" spans="1:25" ht="60.75" x14ac:dyDescent="0.25">
      <c r="A551" s="3" t="s">
        <v>26</v>
      </c>
      <c r="B551" s="3" t="s">
        <v>27</v>
      </c>
      <c r="C551" s="3" t="s">
        <v>28</v>
      </c>
      <c r="D551" s="3" t="s">
        <v>40</v>
      </c>
      <c r="E551" s="3" t="s">
        <v>99</v>
      </c>
      <c r="F551" s="3" t="s">
        <v>42</v>
      </c>
      <c r="G551" s="3" t="s">
        <v>99</v>
      </c>
      <c r="H551" s="3" t="s">
        <v>32</v>
      </c>
      <c r="I551" s="3">
        <v>2025</v>
      </c>
      <c r="J551" s="3" t="str">
        <f>CONCATENATE("54820076955")</f>
        <v>54820076955</v>
      </c>
      <c r="K551" s="3" t="s">
        <v>33</v>
      </c>
      <c r="L551" s="3"/>
      <c r="M551" s="3" t="s">
        <v>131</v>
      </c>
      <c r="N551" s="3" t="str">
        <f>CONCATENATE("BNFMRC79L25E783Z")</f>
        <v>BNFMRC79L25E783Z</v>
      </c>
      <c r="O551" s="3" t="s">
        <v>669</v>
      </c>
      <c r="P551" s="3" t="s">
        <v>36</v>
      </c>
      <c r="Q551" s="3"/>
      <c r="R551" s="4">
        <v>45996</v>
      </c>
      <c r="S551" s="3" t="s">
        <v>37</v>
      </c>
      <c r="T551" s="3" t="s">
        <v>38</v>
      </c>
      <c r="U551" s="3" t="s">
        <v>39</v>
      </c>
      <c r="V551" s="3">
        <v>64.17</v>
      </c>
      <c r="W551" s="3">
        <v>27.27</v>
      </c>
      <c r="X551" s="3">
        <v>25.83</v>
      </c>
      <c r="Y551" s="3">
        <v>11.07</v>
      </c>
    </row>
    <row r="552" spans="1:25" ht="60.75" x14ac:dyDescent="0.25">
      <c r="A552" s="3" t="s">
        <v>26</v>
      </c>
      <c r="B552" s="3" t="s">
        <v>27</v>
      </c>
      <c r="C552" s="3" t="s">
        <v>28</v>
      </c>
      <c r="D552" s="3" t="s">
        <v>29</v>
      </c>
      <c r="E552" s="3" t="s">
        <v>68</v>
      </c>
      <c r="F552" s="3" t="s">
        <v>31</v>
      </c>
      <c r="G552" s="3" t="s">
        <v>68</v>
      </c>
      <c r="H552" s="3" t="s">
        <v>32</v>
      </c>
      <c r="I552" s="3">
        <v>2025</v>
      </c>
      <c r="J552" s="3" t="str">
        <f>CONCATENATE("54820019864")</f>
        <v>54820019864</v>
      </c>
      <c r="K552" s="3" t="s">
        <v>33</v>
      </c>
      <c r="L552" s="3"/>
      <c r="M552" s="3" t="s">
        <v>131</v>
      </c>
      <c r="N552" s="3" t="str">
        <f>CONCATENATE("TTVDRD90L28L191T")</f>
        <v>TTVDRD90L28L191T</v>
      </c>
      <c r="O552" s="3" t="s">
        <v>670</v>
      </c>
      <c r="P552" s="3" t="s">
        <v>36</v>
      </c>
      <c r="Q552" s="3"/>
      <c r="R552" s="4">
        <v>45996</v>
      </c>
      <c r="S552" s="3" t="s">
        <v>37</v>
      </c>
      <c r="T552" s="3" t="s">
        <v>38</v>
      </c>
      <c r="U552" s="3" t="s">
        <v>39</v>
      </c>
      <c r="V552" s="3">
        <v>88.86</v>
      </c>
      <c r="W552" s="3">
        <v>37.770000000000003</v>
      </c>
      <c r="X552" s="3">
        <v>35.770000000000003</v>
      </c>
      <c r="Y552" s="3">
        <v>15.32</v>
      </c>
    </row>
    <row r="553" spans="1:25" ht="60.75" x14ac:dyDescent="0.25">
      <c r="A553" s="3" t="s">
        <v>26</v>
      </c>
      <c r="B553" s="3" t="s">
        <v>27</v>
      </c>
      <c r="C553" s="3" t="s">
        <v>28</v>
      </c>
      <c r="D553" s="3" t="s">
        <v>40</v>
      </c>
      <c r="E553" s="3" t="s">
        <v>287</v>
      </c>
      <c r="F553" s="3" t="s">
        <v>42</v>
      </c>
      <c r="G553" s="3" t="s">
        <v>287</v>
      </c>
      <c r="H553" s="3" t="s">
        <v>32</v>
      </c>
      <c r="I553" s="3">
        <v>2025</v>
      </c>
      <c r="J553" s="3" t="str">
        <f>CONCATENATE("54820016076")</f>
        <v>54820016076</v>
      </c>
      <c r="K553" s="3" t="s">
        <v>33</v>
      </c>
      <c r="L553" s="3"/>
      <c r="M553" s="3" t="s">
        <v>131</v>
      </c>
      <c r="N553" s="3" t="str">
        <f>CONCATENATE("GVGSFN54M48B474X")</f>
        <v>GVGSFN54M48B474X</v>
      </c>
      <c r="O553" s="3" t="s">
        <v>671</v>
      </c>
      <c r="P553" s="3" t="s">
        <v>36</v>
      </c>
      <c r="Q553" s="3"/>
      <c r="R553" s="4">
        <v>45996</v>
      </c>
      <c r="S553" s="3" t="s">
        <v>37</v>
      </c>
      <c r="T553" s="3" t="s">
        <v>38</v>
      </c>
      <c r="U553" s="3" t="s">
        <v>39</v>
      </c>
      <c r="V553" s="3">
        <v>119.7</v>
      </c>
      <c r="W553" s="3">
        <v>50.87</v>
      </c>
      <c r="X553" s="3">
        <v>48.18</v>
      </c>
      <c r="Y553" s="3">
        <v>20.65</v>
      </c>
    </row>
    <row r="554" spans="1:25" ht="60.75" x14ac:dyDescent="0.25">
      <c r="A554" s="3" t="s">
        <v>26</v>
      </c>
      <c r="B554" s="3" t="s">
        <v>27</v>
      </c>
      <c r="C554" s="3" t="s">
        <v>28</v>
      </c>
      <c r="D554" s="3" t="s">
        <v>29</v>
      </c>
      <c r="E554" s="3" t="s">
        <v>47</v>
      </c>
      <c r="F554" s="3" t="s">
        <v>31</v>
      </c>
      <c r="G554" s="3" t="s">
        <v>47</v>
      </c>
      <c r="H554" s="3" t="s">
        <v>48</v>
      </c>
      <c r="I554" s="3">
        <v>2025</v>
      </c>
      <c r="J554" s="3" t="str">
        <f>CONCATENATE("54820048327")</f>
        <v>54820048327</v>
      </c>
      <c r="K554" s="3" t="s">
        <v>33</v>
      </c>
      <c r="L554" s="3"/>
      <c r="M554" s="3" t="s">
        <v>131</v>
      </c>
      <c r="N554" s="3" t="str">
        <f>CONCATENATE("PRRGNI63P53D451I")</f>
        <v>PRRGNI63P53D451I</v>
      </c>
      <c r="O554" s="3" t="s">
        <v>672</v>
      </c>
      <c r="P554" s="3" t="s">
        <v>36</v>
      </c>
      <c r="Q554" s="3"/>
      <c r="R554" s="4">
        <v>45996</v>
      </c>
      <c r="S554" s="3" t="s">
        <v>37</v>
      </c>
      <c r="T554" s="3" t="s">
        <v>38</v>
      </c>
      <c r="U554" s="3" t="s">
        <v>39</v>
      </c>
      <c r="V554" s="3">
        <v>213.64</v>
      </c>
      <c r="W554" s="3">
        <v>90.8</v>
      </c>
      <c r="X554" s="3">
        <v>85.99</v>
      </c>
      <c r="Y554" s="3">
        <v>36.85</v>
      </c>
    </row>
    <row r="555" spans="1:25" ht="60.75" x14ac:dyDescent="0.25">
      <c r="A555" s="3" t="s">
        <v>26</v>
      </c>
      <c r="B555" s="3" t="s">
        <v>27</v>
      </c>
      <c r="C555" s="3" t="s">
        <v>28</v>
      </c>
      <c r="D555" s="3" t="s">
        <v>29</v>
      </c>
      <c r="E555" s="3" t="s">
        <v>101</v>
      </c>
      <c r="F555" s="3" t="s">
        <v>31</v>
      </c>
      <c r="G555" s="3" t="s">
        <v>101</v>
      </c>
      <c r="H555" s="3" t="s">
        <v>32</v>
      </c>
      <c r="I555" s="3">
        <v>2025</v>
      </c>
      <c r="J555" s="3" t="str">
        <f>CONCATENATE("54820025960")</f>
        <v>54820025960</v>
      </c>
      <c r="K555" s="3" t="s">
        <v>33</v>
      </c>
      <c r="L555" s="3"/>
      <c r="M555" s="3" t="s">
        <v>131</v>
      </c>
      <c r="N555" s="3" t="str">
        <f>CONCATENATE("MRCSRI48A57G637Z")</f>
        <v>MRCSRI48A57G637Z</v>
      </c>
      <c r="O555" s="3" t="s">
        <v>673</v>
      </c>
      <c r="P555" s="3" t="s">
        <v>36</v>
      </c>
      <c r="Q555" s="3"/>
      <c r="R555" s="4">
        <v>45996</v>
      </c>
      <c r="S555" s="3" t="s">
        <v>37</v>
      </c>
      <c r="T555" s="3" t="s">
        <v>38</v>
      </c>
      <c r="U555" s="3" t="s">
        <v>39</v>
      </c>
      <c r="V555" s="3">
        <v>102.32</v>
      </c>
      <c r="W555" s="3">
        <v>43.49</v>
      </c>
      <c r="X555" s="3">
        <v>41.18</v>
      </c>
      <c r="Y555" s="3">
        <v>17.649999999999999</v>
      </c>
    </row>
    <row r="556" spans="1:25" ht="60.75" x14ac:dyDescent="0.25">
      <c r="A556" s="3" t="s">
        <v>26</v>
      </c>
      <c r="B556" s="3" t="s">
        <v>27</v>
      </c>
      <c r="C556" s="3" t="s">
        <v>28</v>
      </c>
      <c r="D556" s="3" t="s">
        <v>40</v>
      </c>
      <c r="E556" s="3" t="s">
        <v>54</v>
      </c>
      <c r="F556" s="3" t="s">
        <v>42</v>
      </c>
      <c r="G556" s="3" t="s">
        <v>54</v>
      </c>
      <c r="H556" s="3" t="s">
        <v>45</v>
      </c>
      <c r="I556" s="3">
        <v>2025</v>
      </c>
      <c r="J556" s="3" t="str">
        <f>CONCATENATE("54820117684")</f>
        <v>54820117684</v>
      </c>
      <c r="K556" s="3" t="s">
        <v>33</v>
      </c>
      <c r="L556" s="3"/>
      <c r="M556" s="3" t="s">
        <v>131</v>
      </c>
      <c r="N556" s="3" t="str">
        <f>CONCATENATE("CLSCLD65D10I287A")</f>
        <v>CLSCLD65D10I287A</v>
      </c>
      <c r="O556" s="3" t="s">
        <v>674</v>
      </c>
      <c r="P556" s="3" t="s">
        <v>36</v>
      </c>
      <c r="Q556" s="3"/>
      <c r="R556" s="4">
        <v>45996</v>
      </c>
      <c r="S556" s="3" t="s">
        <v>37</v>
      </c>
      <c r="T556" s="3" t="s">
        <v>38</v>
      </c>
      <c r="U556" s="3" t="s">
        <v>39</v>
      </c>
      <c r="V556" s="3">
        <v>183.85</v>
      </c>
      <c r="W556" s="3">
        <v>78.14</v>
      </c>
      <c r="X556" s="3">
        <v>74</v>
      </c>
      <c r="Y556" s="3">
        <v>31.71</v>
      </c>
    </row>
    <row r="557" spans="1:25" ht="60.75" x14ac:dyDescent="0.25">
      <c r="A557" s="3" t="s">
        <v>26</v>
      </c>
      <c r="B557" s="3" t="s">
        <v>27</v>
      </c>
      <c r="C557" s="3" t="s">
        <v>28</v>
      </c>
      <c r="D557" s="3" t="s">
        <v>29</v>
      </c>
      <c r="E557" s="3" t="s">
        <v>228</v>
      </c>
      <c r="F557" s="3" t="s">
        <v>31</v>
      </c>
      <c r="G557" s="3" t="s">
        <v>228</v>
      </c>
      <c r="H557" s="3" t="s">
        <v>45</v>
      </c>
      <c r="I557" s="3">
        <v>2025</v>
      </c>
      <c r="J557" s="3" t="str">
        <f>CONCATENATE("54820034103")</f>
        <v>54820034103</v>
      </c>
      <c r="K557" s="3" t="s">
        <v>33</v>
      </c>
      <c r="L557" s="3"/>
      <c r="M557" s="3" t="s">
        <v>131</v>
      </c>
      <c r="N557" s="3" t="str">
        <f>CONCATENATE("CRLCRL56R08D749I")</f>
        <v>CRLCRL56R08D749I</v>
      </c>
      <c r="O557" s="3" t="s">
        <v>675</v>
      </c>
      <c r="P557" s="3" t="s">
        <v>36</v>
      </c>
      <c r="Q557" s="3"/>
      <c r="R557" s="4">
        <v>45996</v>
      </c>
      <c r="S557" s="3" t="s">
        <v>37</v>
      </c>
      <c r="T557" s="3" t="s">
        <v>38</v>
      </c>
      <c r="U557" s="3" t="s">
        <v>39</v>
      </c>
      <c r="V557" s="3">
        <v>144.69</v>
      </c>
      <c r="W557" s="3">
        <v>61.49</v>
      </c>
      <c r="X557" s="3">
        <v>58.24</v>
      </c>
      <c r="Y557" s="3">
        <v>24.96</v>
      </c>
    </row>
    <row r="558" spans="1:25" ht="60.75" x14ac:dyDescent="0.25">
      <c r="A558" s="3" t="s">
        <v>26</v>
      </c>
      <c r="B558" s="3" t="s">
        <v>27</v>
      </c>
      <c r="C558" s="3" t="s">
        <v>28</v>
      </c>
      <c r="D558" s="3" t="s">
        <v>29</v>
      </c>
      <c r="E558" s="3" t="s">
        <v>186</v>
      </c>
      <c r="F558" s="3" t="s">
        <v>31</v>
      </c>
      <c r="G558" s="3" t="s">
        <v>186</v>
      </c>
      <c r="H558" s="3" t="s">
        <v>45</v>
      </c>
      <c r="I558" s="3">
        <v>2025</v>
      </c>
      <c r="J558" s="3" t="str">
        <f>CONCATENATE("54820030531")</f>
        <v>54820030531</v>
      </c>
      <c r="K558" s="3" t="s">
        <v>33</v>
      </c>
      <c r="L558" s="3"/>
      <c r="M558" s="3" t="s">
        <v>131</v>
      </c>
      <c r="N558" s="3" t="str">
        <f>CONCATENATE("MNZCMN69R53Z129X")</f>
        <v>MNZCMN69R53Z129X</v>
      </c>
      <c r="O558" s="3" t="s">
        <v>676</v>
      </c>
      <c r="P558" s="3" t="s">
        <v>36</v>
      </c>
      <c r="Q558" s="3"/>
      <c r="R558" s="4">
        <v>45996</v>
      </c>
      <c r="S558" s="3" t="s">
        <v>37</v>
      </c>
      <c r="T558" s="3" t="s">
        <v>38</v>
      </c>
      <c r="U558" s="3" t="s">
        <v>39</v>
      </c>
      <c r="V558" s="3">
        <v>318.52999999999997</v>
      </c>
      <c r="W558" s="3">
        <v>135.38</v>
      </c>
      <c r="X558" s="3">
        <v>128.21</v>
      </c>
      <c r="Y558" s="3">
        <v>54.94</v>
      </c>
    </row>
    <row r="559" spans="1:25" ht="60.75" x14ac:dyDescent="0.25">
      <c r="A559" s="3" t="s">
        <v>26</v>
      </c>
      <c r="B559" s="3" t="s">
        <v>27</v>
      </c>
      <c r="C559" s="3" t="s">
        <v>28</v>
      </c>
      <c r="D559" s="3" t="s">
        <v>29</v>
      </c>
      <c r="E559" s="3" t="s">
        <v>101</v>
      </c>
      <c r="F559" s="3" t="s">
        <v>31</v>
      </c>
      <c r="G559" s="3" t="s">
        <v>101</v>
      </c>
      <c r="H559" s="3" t="s">
        <v>32</v>
      </c>
      <c r="I559" s="3">
        <v>2025</v>
      </c>
      <c r="J559" s="3" t="str">
        <f>CONCATENATE("54820031398")</f>
        <v>54820031398</v>
      </c>
      <c r="K559" s="3" t="s">
        <v>33</v>
      </c>
      <c r="L559" s="3"/>
      <c r="M559" s="3" t="s">
        <v>131</v>
      </c>
      <c r="N559" s="3" t="str">
        <f>CONCATENATE("PCCMRA92S19L191D")</f>
        <v>PCCMRA92S19L191D</v>
      </c>
      <c r="O559" s="3" t="s">
        <v>677</v>
      </c>
      <c r="P559" s="3" t="s">
        <v>36</v>
      </c>
      <c r="Q559" s="3"/>
      <c r="R559" s="4">
        <v>45996</v>
      </c>
      <c r="S559" s="3" t="s">
        <v>37</v>
      </c>
      <c r="T559" s="3" t="s">
        <v>38</v>
      </c>
      <c r="U559" s="3" t="s">
        <v>39</v>
      </c>
      <c r="V559" s="5">
        <v>1035.04</v>
      </c>
      <c r="W559" s="3">
        <v>439.89</v>
      </c>
      <c r="X559" s="3">
        <v>416.6</v>
      </c>
      <c r="Y559" s="3">
        <v>178.55</v>
      </c>
    </row>
    <row r="560" spans="1:25" ht="60.75" x14ac:dyDescent="0.25">
      <c r="A560" s="3" t="s">
        <v>26</v>
      </c>
      <c r="B560" s="3" t="s">
        <v>27</v>
      </c>
      <c r="C560" s="3" t="s">
        <v>28</v>
      </c>
      <c r="D560" s="3" t="s">
        <v>29</v>
      </c>
      <c r="E560" s="3" t="s">
        <v>228</v>
      </c>
      <c r="F560" s="3" t="s">
        <v>31</v>
      </c>
      <c r="G560" s="3" t="s">
        <v>228</v>
      </c>
      <c r="H560" s="3" t="s">
        <v>45</v>
      </c>
      <c r="I560" s="3">
        <v>2025</v>
      </c>
      <c r="J560" s="3" t="str">
        <f>CONCATENATE("54820022637")</f>
        <v>54820022637</v>
      </c>
      <c r="K560" s="3" t="s">
        <v>33</v>
      </c>
      <c r="L560" s="3"/>
      <c r="M560" s="3" t="s">
        <v>131</v>
      </c>
      <c r="N560" s="3" t="str">
        <f>CONCATENATE("SGUMRC60T25D749P")</f>
        <v>SGUMRC60T25D749P</v>
      </c>
      <c r="O560" s="3" t="s">
        <v>678</v>
      </c>
      <c r="P560" s="3" t="s">
        <v>36</v>
      </c>
      <c r="Q560" s="3"/>
      <c r="R560" s="4">
        <v>45996</v>
      </c>
      <c r="S560" s="3" t="s">
        <v>37</v>
      </c>
      <c r="T560" s="3" t="s">
        <v>38</v>
      </c>
      <c r="U560" s="3" t="s">
        <v>39</v>
      </c>
      <c r="V560" s="5">
        <v>1027.6199999999999</v>
      </c>
      <c r="W560" s="3">
        <v>436.74</v>
      </c>
      <c r="X560" s="3">
        <v>413.62</v>
      </c>
      <c r="Y560" s="3">
        <v>177.26</v>
      </c>
    </row>
    <row r="561" spans="1:25" ht="36.75" x14ac:dyDescent="0.25">
      <c r="A561" s="3" t="s">
        <v>26</v>
      </c>
      <c r="B561" s="3" t="s">
        <v>27</v>
      </c>
      <c r="C561" s="3" t="s">
        <v>28</v>
      </c>
      <c r="D561" s="3" t="s">
        <v>29</v>
      </c>
      <c r="E561" s="3" t="s">
        <v>68</v>
      </c>
      <c r="F561" s="3" t="s">
        <v>31</v>
      </c>
      <c r="G561" s="3" t="s">
        <v>68</v>
      </c>
      <c r="H561" s="3" t="s">
        <v>32</v>
      </c>
      <c r="I561" s="3">
        <v>2025</v>
      </c>
      <c r="J561" s="3" t="str">
        <f>CONCATENATE("54820105481")</f>
        <v>54820105481</v>
      </c>
      <c r="K561" s="3" t="s">
        <v>33</v>
      </c>
      <c r="L561" s="3"/>
      <c r="M561" s="3" t="s">
        <v>131</v>
      </c>
      <c r="N561" s="3" t="str">
        <f>CONCATENATE("01039860430")</f>
        <v>01039860430</v>
      </c>
      <c r="O561" s="3" t="s">
        <v>679</v>
      </c>
      <c r="P561" s="3" t="s">
        <v>36</v>
      </c>
      <c r="Q561" s="3"/>
      <c r="R561" s="4">
        <v>45996</v>
      </c>
      <c r="S561" s="3" t="s">
        <v>37</v>
      </c>
      <c r="T561" s="3" t="s">
        <v>38</v>
      </c>
      <c r="U561" s="3" t="s">
        <v>39</v>
      </c>
      <c r="V561" s="3">
        <v>144.43</v>
      </c>
      <c r="W561" s="3">
        <v>61.38</v>
      </c>
      <c r="X561" s="3">
        <v>58.13</v>
      </c>
      <c r="Y561" s="3">
        <v>24.92</v>
      </c>
    </row>
    <row r="562" spans="1:25" ht="72.75" x14ac:dyDescent="0.25">
      <c r="A562" s="3" t="s">
        <v>26</v>
      </c>
      <c r="B562" s="3" t="s">
        <v>27</v>
      </c>
      <c r="C562" s="3" t="s">
        <v>28</v>
      </c>
      <c r="D562" s="3" t="s">
        <v>50</v>
      </c>
      <c r="E562" s="3" t="s">
        <v>173</v>
      </c>
      <c r="F562" s="3" t="s">
        <v>52</v>
      </c>
      <c r="G562" s="3" t="s">
        <v>173</v>
      </c>
      <c r="H562" s="3" t="s">
        <v>45</v>
      </c>
      <c r="I562" s="3">
        <v>2025</v>
      </c>
      <c r="J562" s="3" t="str">
        <f>CONCATENATE("54820070974")</f>
        <v>54820070974</v>
      </c>
      <c r="K562" s="3" t="s">
        <v>33</v>
      </c>
      <c r="L562" s="3"/>
      <c r="M562" s="3" t="s">
        <v>131</v>
      </c>
      <c r="N562" s="3" t="str">
        <f>CONCATENATE("RGNRCR68R18A740Q")</f>
        <v>RGNRCR68R18A740Q</v>
      </c>
      <c r="O562" s="3" t="s">
        <v>680</v>
      </c>
      <c r="P562" s="3" t="s">
        <v>36</v>
      </c>
      <c r="Q562" s="3"/>
      <c r="R562" s="4">
        <v>45996</v>
      </c>
      <c r="S562" s="3" t="s">
        <v>37</v>
      </c>
      <c r="T562" s="3" t="s">
        <v>38</v>
      </c>
      <c r="U562" s="3" t="s">
        <v>39</v>
      </c>
      <c r="V562" s="3">
        <v>90.72</v>
      </c>
      <c r="W562" s="3">
        <v>38.56</v>
      </c>
      <c r="X562" s="3">
        <v>36.51</v>
      </c>
      <c r="Y562" s="3">
        <v>15.65</v>
      </c>
    </row>
    <row r="563" spans="1:25" ht="60.75" x14ac:dyDescent="0.25">
      <c r="A563" s="3" t="s">
        <v>26</v>
      </c>
      <c r="B563" s="3" t="s">
        <v>27</v>
      </c>
      <c r="C563" s="3" t="s">
        <v>28</v>
      </c>
      <c r="D563" s="3" t="s">
        <v>50</v>
      </c>
      <c r="E563" s="3" t="s">
        <v>212</v>
      </c>
      <c r="F563" s="3" t="s">
        <v>52</v>
      </c>
      <c r="G563" s="3" t="s">
        <v>212</v>
      </c>
      <c r="H563" s="3" t="s">
        <v>32</v>
      </c>
      <c r="I563" s="3">
        <v>2025</v>
      </c>
      <c r="J563" s="3" t="str">
        <f>CONCATENATE("54820030093")</f>
        <v>54820030093</v>
      </c>
      <c r="K563" s="3" t="s">
        <v>33</v>
      </c>
      <c r="L563" s="3"/>
      <c r="M563" s="3" t="s">
        <v>131</v>
      </c>
      <c r="N563" s="3" t="str">
        <f>CONCATENATE("MEOVCN52S01C582X")</f>
        <v>MEOVCN52S01C582X</v>
      </c>
      <c r="O563" s="3" t="s">
        <v>681</v>
      </c>
      <c r="P563" s="3" t="s">
        <v>36</v>
      </c>
      <c r="Q563" s="3"/>
      <c r="R563" s="4">
        <v>45996</v>
      </c>
      <c r="S563" s="3" t="s">
        <v>37</v>
      </c>
      <c r="T563" s="3" t="s">
        <v>38</v>
      </c>
      <c r="U563" s="3" t="s">
        <v>39</v>
      </c>
      <c r="V563" s="3">
        <v>88.83</v>
      </c>
      <c r="W563" s="3">
        <v>37.75</v>
      </c>
      <c r="X563" s="3">
        <v>35.75</v>
      </c>
      <c r="Y563" s="3">
        <v>15.33</v>
      </c>
    </row>
    <row r="564" spans="1:25" ht="60.75" x14ac:dyDescent="0.25">
      <c r="A564" s="3" t="s">
        <v>26</v>
      </c>
      <c r="B564" s="3" t="s">
        <v>27</v>
      </c>
      <c r="C564" s="3" t="s">
        <v>28</v>
      </c>
      <c r="D564" s="3" t="s">
        <v>29</v>
      </c>
      <c r="E564" s="3" t="s">
        <v>186</v>
      </c>
      <c r="F564" s="3" t="s">
        <v>31</v>
      </c>
      <c r="G564" s="3" t="s">
        <v>186</v>
      </c>
      <c r="H564" s="3" t="s">
        <v>45</v>
      </c>
      <c r="I564" s="3">
        <v>2025</v>
      </c>
      <c r="J564" s="3" t="str">
        <f>CONCATENATE("54820041017")</f>
        <v>54820041017</v>
      </c>
      <c r="K564" s="3" t="s">
        <v>33</v>
      </c>
      <c r="L564" s="3"/>
      <c r="M564" s="3" t="s">
        <v>131</v>
      </c>
      <c r="N564" s="3" t="str">
        <f>CONCATENATE("TMSRFL62R26F524U")</f>
        <v>TMSRFL62R26F524U</v>
      </c>
      <c r="O564" s="3" t="s">
        <v>682</v>
      </c>
      <c r="P564" s="3" t="s">
        <v>36</v>
      </c>
      <c r="Q564" s="3"/>
      <c r="R564" s="4">
        <v>45996</v>
      </c>
      <c r="S564" s="3" t="s">
        <v>37</v>
      </c>
      <c r="T564" s="3" t="s">
        <v>38</v>
      </c>
      <c r="U564" s="3" t="s">
        <v>39</v>
      </c>
      <c r="V564" s="3">
        <v>615.88</v>
      </c>
      <c r="W564" s="3">
        <v>261.75</v>
      </c>
      <c r="X564" s="3">
        <v>247.89</v>
      </c>
      <c r="Y564" s="3">
        <v>106.24</v>
      </c>
    </row>
    <row r="565" spans="1:25" ht="60.75" x14ac:dyDescent="0.25">
      <c r="A565" s="3" t="s">
        <v>26</v>
      </c>
      <c r="B565" s="3" t="s">
        <v>27</v>
      </c>
      <c r="C565" s="3" t="s">
        <v>28</v>
      </c>
      <c r="D565" s="3" t="s">
        <v>683</v>
      </c>
      <c r="E565" s="3" t="s">
        <v>684</v>
      </c>
      <c r="F565" s="3" t="s">
        <v>685</v>
      </c>
      <c r="G565" s="3" t="s">
        <v>684</v>
      </c>
      <c r="H565" s="3" t="s">
        <v>45</v>
      </c>
      <c r="I565" s="3">
        <v>2025</v>
      </c>
      <c r="J565" s="3" t="str">
        <f>CONCATENATE("54820116330")</f>
        <v>54820116330</v>
      </c>
      <c r="K565" s="3" t="s">
        <v>33</v>
      </c>
      <c r="L565" s="3"/>
      <c r="M565" s="3" t="s">
        <v>131</v>
      </c>
      <c r="N565" s="3" t="str">
        <f>CONCATENATE("RNZDNL93C09I459P")</f>
        <v>RNZDNL93C09I459P</v>
      </c>
      <c r="O565" s="3" t="s">
        <v>686</v>
      </c>
      <c r="P565" s="3" t="s">
        <v>36</v>
      </c>
      <c r="Q565" s="3"/>
      <c r="R565" s="4">
        <v>45996</v>
      </c>
      <c r="S565" s="3" t="s">
        <v>37</v>
      </c>
      <c r="T565" s="3" t="s">
        <v>38</v>
      </c>
      <c r="U565" s="3" t="s">
        <v>39</v>
      </c>
      <c r="V565" s="3">
        <v>118.27</v>
      </c>
      <c r="W565" s="3">
        <v>50.26</v>
      </c>
      <c r="X565" s="3">
        <v>47.6</v>
      </c>
      <c r="Y565" s="3">
        <v>20.41</v>
      </c>
    </row>
    <row r="566" spans="1:25" ht="60.75" x14ac:dyDescent="0.25">
      <c r="A566" s="3" t="s">
        <v>26</v>
      </c>
      <c r="B566" s="3" t="s">
        <v>27</v>
      </c>
      <c r="C566" s="3" t="s">
        <v>28</v>
      </c>
      <c r="D566" s="3" t="s">
        <v>29</v>
      </c>
      <c r="E566" s="3" t="s">
        <v>80</v>
      </c>
      <c r="F566" s="3" t="s">
        <v>31</v>
      </c>
      <c r="G566" s="3" t="s">
        <v>80</v>
      </c>
      <c r="H566" s="3" t="s">
        <v>45</v>
      </c>
      <c r="I566" s="3">
        <v>2025</v>
      </c>
      <c r="J566" s="3" t="str">
        <f>CONCATENATE("54820062302")</f>
        <v>54820062302</v>
      </c>
      <c r="K566" s="3" t="s">
        <v>33</v>
      </c>
      <c r="L566" s="3"/>
      <c r="M566" s="3" t="s">
        <v>131</v>
      </c>
      <c r="N566" s="3" t="str">
        <f>CONCATENATE("BCCCRL64T54G453Y")</f>
        <v>BCCCRL64T54G453Y</v>
      </c>
      <c r="O566" s="3" t="s">
        <v>687</v>
      </c>
      <c r="P566" s="3" t="s">
        <v>36</v>
      </c>
      <c r="Q566" s="3"/>
      <c r="R566" s="4">
        <v>45996</v>
      </c>
      <c r="S566" s="3" t="s">
        <v>37</v>
      </c>
      <c r="T566" s="3" t="s">
        <v>38</v>
      </c>
      <c r="U566" s="3" t="s">
        <v>39</v>
      </c>
      <c r="V566" s="3">
        <v>277.74</v>
      </c>
      <c r="W566" s="3">
        <v>118.04</v>
      </c>
      <c r="X566" s="3">
        <v>111.79</v>
      </c>
      <c r="Y566" s="3">
        <v>47.91</v>
      </c>
    </row>
    <row r="567" spans="1:25" ht="60.75" x14ac:dyDescent="0.25">
      <c r="A567" s="3" t="s">
        <v>26</v>
      </c>
      <c r="B567" s="3" t="s">
        <v>27</v>
      </c>
      <c r="C567" s="3" t="s">
        <v>28</v>
      </c>
      <c r="D567" s="3" t="s">
        <v>29</v>
      </c>
      <c r="E567" s="3" t="s">
        <v>228</v>
      </c>
      <c r="F567" s="3" t="s">
        <v>31</v>
      </c>
      <c r="G567" s="3" t="s">
        <v>228</v>
      </c>
      <c r="H567" s="3" t="s">
        <v>45</v>
      </c>
      <c r="I567" s="3">
        <v>2025</v>
      </c>
      <c r="J567" s="3" t="str">
        <f>CONCATENATE("54820032545")</f>
        <v>54820032545</v>
      </c>
      <c r="K567" s="3" t="s">
        <v>33</v>
      </c>
      <c r="L567" s="3"/>
      <c r="M567" s="3" t="s">
        <v>131</v>
      </c>
      <c r="N567" s="3" t="str">
        <f>CONCATENATE("SNCGGL42C14L500J")</f>
        <v>SNCGGL42C14L500J</v>
      </c>
      <c r="O567" s="3" t="s">
        <v>688</v>
      </c>
      <c r="P567" s="3" t="s">
        <v>36</v>
      </c>
      <c r="Q567" s="3"/>
      <c r="R567" s="4">
        <v>45996</v>
      </c>
      <c r="S567" s="3" t="s">
        <v>37</v>
      </c>
      <c r="T567" s="3" t="s">
        <v>38</v>
      </c>
      <c r="U567" s="3" t="s">
        <v>39</v>
      </c>
      <c r="V567" s="3">
        <v>58.1</v>
      </c>
      <c r="W567" s="3">
        <v>24.69</v>
      </c>
      <c r="X567" s="3">
        <v>23.39</v>
      </c>
      <c r="Y567" s="3">
        <v>10.02</v>
      </c>
    </row>
    <row r="568" spans="1:25" ht="72.75" x14ac:dyDescent="0.25">
      <c r="A568" s="3" t="s">
        <v>26</v>
      </c>
      <c r="B568" s="3" t="s">
        <v>27</v>
      </c>
      <c r="C568" s="3" t="s">
        <v>28</v>
      </c>
      <c r="D568" s="3" t="s">
        <v>29</v>
      </c>
      <c r="E568" s="3" t="s">
        <v>182</v>
      </c>
      <c r="F568" s="3" t="s">
        <v>31</v>
      </c>
      <c r="G568" s="3" t="s">
        <v>182</v>
      </c>
      <c r="H568" s="3" t="s">
        <v>45</v>
      </c>
      <c r="I568" s="3">
        <v>2025</v>
      </c>
      <c r="J568" s="3" t="str">
        <f>CONCATENATE("54820073895")</f>
        <v>54820073895</v>
      </c>
      <c r="K568" s="3" t="s">
        <v>33</v>
      </c>
      <c r="L568" s="3"/>
      <c r="M568" s="3" t="s">
        <v>131</v>
      </c>
      <c r="N568" s="3" t="str">
        <f>CONCATENATE("RMNPCR63T02A013T")</f>
        <v>RMNPCR63T02A013T</v>
      </c>
      <c r="O568" s="3" t="s">
        <v>689</v>
      </c>
      <c r="P568" s="3" t="s">
        <v>36</v>
      </c>
      <c r="Q568" s="3"/>
      <c r="R568" s="4">
        <v>45996</v>
      </c>
      <c r="S568" s="3" t="s">
        <v>37</v>
      </c>
      <c r="T568" s="3" t="s">
        <v>38</v>
      </c>
      <c r="U568" s="3" t="s">
        <v>39</v>
      </c>
      <c r="V568" s="3">
        <v>117.91</v>
      </c>
      <c r="W568" s="3">
        <v>50.11</v>
      </c>
      <c r="X568" s="3">
        <v>47.46</v>
      </c>
      <c r="Y568" s="3">
        <v>20.34</v>
      </c>
    </row>
    <row r="569" spans="1:25" ht="60.75" x14ac:dyDescent="0.25">
      <c r="A569" s="3" t="s">
        <v>26</v>
      </c>
      <c r="B569" s="3" t="s">
        <v>27</v>
      </c>
      <c r="C569" s="3" t="s">
        <v>28</v>
      </c>
      <c r="D569" s="3" t="s">
        <v>29</v>
      </c>
      <c r="E569" s="3" t="s">
        <v>228</v>
      </c>
      <c r="F569" s="3" t="s">
        <v>31</v>
      </c>
      <c r="G569" s="3" t="s">
        <v>228</v>
      </c>
      <c r="H569" s="3" t="s">
        <v>45</v>
      </c>
      <c r="I569" s="3">
        <v>2025</v>
      </c>
      <c r="J569" s="3" t="str">
        <f>CONCATENATE("54820035498")</f>
        <v>54820035498</v>
      </c>
      <c r="K569" s="3" t="s">
        <v>33</v>
      </c>
      <c r="L569" s="3"/>
      <c r="M569" s="3" t="s">
        <v>131</v>
      </c>
      <c r="N569" s="3" t="str">
        <f>CONCATENATE("FRRRLB69L68L500I")</f>
        <v>FRRRLB69L68L500I</v>
      </c>
      <c r="O569" s="3" t="s">
        <v>690</v>
      </c>
      <c r="P569" s="3" t="s">
        <v>36</v>
      </c>
      <c r="Q569" s="3"/>
      <c r="R569" s="4">
        <v>45996</v>
      </c>
      <c r="S569" s="3" t="s">
        <v>37</v>
      </c>
      <c r="T569" s="3" t="s">
        <v>38</v>
      </c>
      <c r="U569" s="3" t="s">
        <v>39</v>
      </c>
      <c r="V569" s="3">
        <v>380.55</v>
      </c>
      <c r="W569" s="3">
        <v>161.72999999999999</v>
      </c>
      <c r="X569" s="3">
        <v>153.16999999999999</v>
      </c>
      <c r="Y569" s="3">
        <v>65.650000000000006</v>
      </c>
    </row>
    <row r="570" spans="1:25" ht="60.75" x14ac:dyDescent="0.25">
      <c r="A570" s="3" t="s">
        <v>26</v>
      </c>
      <c r="B570" s="3" t="s">
        <v>27</v>
      </c>
      <c r="C570" s="3" t="s">
        <v>28</v>
      </c>
      <c r="D570" s="3" t="s">
        <v>104</v>
      </c>
      <c r="E570" s="3" t="s">
        <v>691</v>
      </c>
      <c r="F570" s="3" t="s">
        <v>104</v>
      </c>
      <c r="G570" s="3" t="s">
        <v>691</v>
      </c>
      <c r="H570" s="3" t="s">
        <v>48</v>
      </c>
      <c r="I570" s="3">
        <v>2025</v>
      </c>
      <c r="J570" s="3" t="str">
        <f>CONCATENATE("54820021597")</f>
        <v>54820021597</v>
      </c>
      <c r="K570" s="3" t="s">
        <v>33</v>
      </c>
      <c r="L570" s="3"/>
      <c r="M570" s="3" t="s">
        <v>131</v>
      </c>
      <c r="N570" s="3" t="str">
        <f>CONCATENATE("GNTLGU59E06D451V")</f>
        <v>GNTLGU59E06D451V</v>
      </c>
      <c r="O570" s="3" t="s">
        <v>692</v>
      </c>
      <c r="P570" s="3" t="s">
        <v>36</v>
      </c>
      <c r="Q570" s="3"/>
      <c r="R570" s="4">
        <v>45996</v>
      </c>
      <c r="S570" s="3" t="s">
        <v>37</v>
      </c>
      <c r="T570" s="3" t="s">
        <v>38</v>
      </c>
      <c r="U570" s="3" t="s">
        <v>39</v>
      </c>
      <c r="V570" s="3">
        <v>155.04</v>
      </c>
      <c r="W570" s="3">
        <v>65.89</v>
      </c>
      <c r="X570" s="3">
        <v>62.4</v>
      </c>
      <c r="Y570" s="3">
        <v>26.75</v>
      </c>
    </row>
    <row r="571" spans="1:25" ht="60.75" x14ac:dyDescent="0.25">
      <c r="A571" s="3" t="s">
        <v>26</v>
      </c>
      <c r="B571" s="3" t="s">
        <v>27</v>
      </c>
      <c r="C571" s="3" t="s">
        <v>28</v>
      </c>
      <c r="D571" s="3" t="s">
        <v>29</v>
      </c>
      <c r="E571" s="3" t="s">
        <v>80</v>
      </c>
      <c r="F571" s="3" t="s">
        <v>31</v>
      </c>
      <c r="G571" s="3" t="s">
        <v>80</v>
      </c>
      <c r="H571" s="3" t="s">
        <v>45</v>
      </c>
      <c r="I571" s="3">
        <v>2025</v>
      </c>
      <c r="J571" s="3" t="str">
        <f>CONCATENATE("54820059712")</f>
        <v>54820059712</v>
      </c>
      <c r="K571" s="3" t="s">
        <v>33</v>
      </c>
      <c r="L571" s="3"/>
      <c r="M571" s="3" t="s">
        <v>131</v>
      </c>
      <c r="N571" s="3" t="str">
        <f>CONCATENATE("PLSMLD81S56L628O")</f>
        <v>PLSMLD81S56L628O</v>
      </c>
      <c r="O571" s="3" t="s">
        <v>693</v>
      </c>
      <c r="P571" s="3" t="s">
        <v>36</v>
      </c>
      <c r="Q571" s="3"/>
      <c r="R571" s="4">
        <v>45996</v>
      </c>
      <c r="S571" s="3" t="s">
        <v>37</v>
      </c>
      <c r="T571" s="3" t="s">
        <v>38</v>
      </c>
      <c r="U571" s="3" t="s">
        <v>39</v>
      </c>
      <c r="V571" s="3">
        <v>58.83</v>
      </c>
      <c r="W571" s="3">
        <v>25</v>
      </c>
      <c r="X571" s="3">
        <v>23.68</v>
      </c>
      <c r="Y571" s="3">
        <v>10.15</v>
      </c>
    </row>
    <row r="572" spans="1:25" ht="60.75" x14ac:dyDescent="0.25">
      <c r="A572" s="3" t="s">
        <v>26</v>
      </c>
      <c r="B572" s="3" t="s">
        <v>27</v>
      </c>
      <c r="C572" s="3" t="s">
        <v>28</v>
      </c>
      <c r="D572" s="3" t="s">
        <v>40</v>
      </c>
      <c r="E572" s="3" t="s">
        <v>54</v>
      </c>
      <c r="F572" s="3" t="s">
        <v>42</v>
      </c>
      <c r="G572" s="3" t="s">
        <v>54</v>
      </c>
      <c r="H572" s="3" t="s">
        <v>45</v>
      </c>
      <c r="I572" s="3">
        <v>2025</v>
      </c>
      <c r="J572" s="3" t="str">
        <f>CONCATENATE("54820023791")</f>
        <v>54820023791</v>
      </c>
      <c r="K572" s="3" t="s">
        <v>33</v>
      </c>
      <c r="L572" s="3"/>
      <c r="M572" s="3" t="s">
        <v>131</v>
      </c>
      <c r="N572" s="3" t="str">
        <f>CONCATENATE("DNILGU65D18I459T")</f>
        <v>DNILGU65D18I459T</v>
      </c>
      <c r="O572" s="3" t="s">
        <v>694</v>
      </c>
      <c r="P572" s="3" t="s">
        <v>36</v>
      </c>
      <c r="Q572" s="3"/>
      <c r="R572" s="4">
        <v>45996</v>
      </c>
      <c r="S572" s="3" t="s">
        <v>37</v>
      </c>
      <c r="T572" s="3" t="s">
        <v>38</v>
      </c>
      <c r="U572" s="3" t="s">
        <v>39</v>
      </c>
      <c r="V572" s="3">
        <v>276.89999999999998</v>
      </c>
      <c r="W572" s="3">
        <v>117.68</v>
      </c>
      <c r="X572" s="3">
        <v>111.45</v>
      </c>
      <c r="Y572" s="3">
        <v>47.77</v>
      </c>
    </row>
    <row r="573" spans="1:25" ht="60.75" x14ac:dyDescent="0.25">
      <c r="A573" s="3" t="s">
        <v>26</v>
      </c>
      <c r="B573" s="3" t="s">
        <v>27</v>
      </c>
      <c r="C573" s="3" t="s">
        <v>28</v>
      </c>
      <c r="D573" s="3" t="s">
        <v>29</v>
      </c>
      <c r="E573" s="3" t="s">
        <v>47</v>
      </c>
      <c r="F573" s="3" t="s">
        <v>31</v>
      </c>
      <c r="G573" s="3" t="s">
        <v>47</v>
      </c>
      <c r="H573" s="3" t="s">
        <v>48</v>
      </c>
      <c r="I573" s="3">
        <v>2025</v>
      </c>
      <c r="J573" s="3" t="str">
        <f>CONCATENATE("54820045992")</f>
        <v>54820045992</v>
      </c>
      <c r="K573" s="3" t="s">
        <v>33</v>
      </c>
      <c r="L573" s="3"/>
      <c r="M573" s="3" t="s">
        <v>131</v>
      </c>
      <c r="N573" s="3" t="str">
        <f>CONCATENATE("CSTGCM67T05D211O")</f>
        <v>CSTGCM67T05D211O</v>
      </c>
      <c r="O573" s="3" t="s">
        <v>695</v>
      </c>
      <c r="P573" s="3" t="s">
        <v>36</v>
      </c>
      <c r="Q573" s="3"/>
      <c r="R573" s="4">
        <v>45996</v>
      </c>
      <c r="S573" s="3" t="s">
        <v>37</v>
      </c>
      <c r="T573" s="3" t="s">
        <v>38</v>
      </c>
      <c r="U573" s="3" t="s">
        <v>39</v>
      </c>
      <c r="V573" s="3">
        <v>81.760000000000005</v>
      </c>
      <c r="W573" s="3">
        <v>34.75</v>
      </c>
      <c r="X573" s="3">
        <v>32.909999999999997</v>
      </c>
      <c r="Y573" s="3">
        <v>14.1</v>
      </c>
    </row>
    <row r="574" spans="1:25" ht="60.75" x14ac:dyDescent="0.25">
      <c r="A574" s="3" t="s">
        <v>26</v>
      </c>
      <c r="B574" s="3" t="s">
        <v>27</v>
      </c>
      <c r="C574" s="3" t="s">
        <v>28</v>
      </c>
      <c r="D574" s="3" t="s">
        <v>29</v>
      </c>
      <c r="E574" s="3" t="s">
        <v>56</v>
      </c>
      <c r="F574" s="3" t="s">
        <v>31</v>
      </c>
      <c r="G574" s="3" t="s">
        <v>56</v>
      </c>
      <c r="H574" s="3" t="s">
        <v>32</v>
      </c>
      <c r="I574" s="3">
        <v>2025</v>
      </c>
      <c r="J574" s="3" t="str">
        <f>CONCATENATE("54820079165")</f>
        <v>54820079165</v>
      </c>
      <c r="K574" s="3" t="s">
        <v>33</v>
      </c>
      <c r="L574" s="3"/>
      <c r="M574" s="3" t="s">
        <v>131</v>
      </c>
      <c r="N574" s="3" t="str">
        <f>CONCATENATE("PTRCNC51S63F793B")</f>
        <v>PTRCNC51S63F793B</v>
      </c>
      <c r="O574" s="3" t="s">
        <v>696</v>
      </c>
      <c r="P574" s="3" t="s">
        <v>36</v>
      </c>
      <c r="Q574" s="3"/>
      <c r="R574" s="4">
        <v>45996</v>
      </c>
      <c r="S574" s="3" t="s">
        <v>37</v>
      </c>
      <c r="T574" s="3" t="s">
        <v>38</v>
      </c>
      <c r="U574" s="3" t="s">
        <v>39</v>
      </c>
      <c r="V574" s="3">
        <v>52.64</v>
      </c>
      <c r="W574" s="3">
        <v>22.37</v>
      </c>
      <c r="X574" s="3">
        <v>21.19</v>
      </c>
      <c r="Y574" s="3">
        <v>9.08</v>
      </c>
    </row>
    <row r="575" spans="1:25" ht="72.75" x14ac:dyDescent="0.25">
      <c r="A575" s="3" t="s">
        <v>26</v>
      </c>
      <c r="B575" s="3" t="s">
        <v>27</v>
      </c>
      <c r="C575" s="3" t="s">
        <v>28</v>
      </c>
      <c r="D575" s="3" t="s">
        <v>40</v>
      </c>
      <c r="E575" s="3" t="s">
        <v>44</v>
      </c>
      <c r="F575" s="3" t="s">
        <v>42</v>
      </c>
      <c r="G575" s="3" t="s">
        <v>44</v>
      </c>
      <c r="H575" s="3" t="s">
        <v>32</v>
      </c>
      <c r="I575" s="3">
        <v>2025</v>
      </c>
      <c r="J575" s="3" t="str">
        <f>CONCATENATE("54820113857")</f>
        <v>54820113857</v>
      </c>
      <c r="K575" s="3" t="s">
        <v>33</v>
      </c>
      <c r="L575" s="3"/>
      <c r="M575" s="3" t="s">
        <v>131</v>
      </c>
      <c r="N575" s="3" t="str">
        <f>CONCATENATE("CLVNMO80D44H211T")</f>
        <v>CLVNMO80D44H211T</v>
      </c>
      <c r="O575" s="3" t="s">
        <v>697</v>
      </c>
      <c r="P575" s="3" t="s">
        <v>36</v>
      </c>
      <c r="Q575" s="3"/>
      <c r="R575" s="4">
        <v>45996</v>
      </c>
      <c r="S575" s="3" t="s">
        <v>37</v>
      </c>
      <c r="T575" s="3" t="s">
        <v>38</v>
      </c>
      <c r="U575" s="3" t="s">
        <v>39</v>
      </c>
      <c r="V575" s="5">
        <v>1053.99</v>
      </c>
      <c r="W575" s="3">
        <v>447.95</v>
      </c>
      <c r="X575" s="3">
        <v>424.23</v>
      </c>
      <c r="Y575" s="3">
        <v>181.81</v>
      </c>
    </row>
    <row r="576" spans="1:25" ht="60.75" x14ac:dyDescent="0.25">
      <c r="A576" s="3" t="s">
        <v>26</v>
      </c>
      <c r="B576" s="3" t="s">
        <v>27</v>
      </c>
      <c r="C576" s="3" t="s">
        <v>28</v>
      </c>
      <c r="D576" s="3" t="s">
        <v>29</v>
      </c>
      <c r="E576" s="3" t="s">
        <v>119</v>
      </c>
      <c r="F576" s="3" t="s">
        <v>31</v>
      </c>
      <c r="G576" s="3" t="s">
        <v>119</v>
      </c>
      <c r="H576" s="3" t="s">
        <v>96</v>
      </c>
      <c r="I576" s="3">
        <v>2025</v>
      </c>
      <c r="J576" s="3" t="str">
        <f>CONCATENATE("54820074323")</f>
        <v>54820074323</v>
      </c>
      <c r="K576" s="3" t="s">
        <v>33</v>
      </c>
      <c r="L576" s="3"/>
      <c r="M576" s="3" t="s">
        <v>131</v>
      </c>
      <c r="N576" s="3" t="str">
        <f>CONCATENATE("NGLGCR61B15D691L")</f>
        <v>NGLGCR61B15D691L</v>
      </c>
      <c r="O576" s="3" t="s">
        <v>698</v>
      </c>
      <c r="P576" s="3" t="s">
        <v>36</v>
      </c>
      <c r="Q576" s="3"/>
      <c r="R576" s="4">
        <v>45996</v>
      </c>
      <c r="S576" s="3" t="s">
        <v>37</v>
      </c>
      <c r="T576" s="3" t="s">
        <v>38</v>
      </c>
      <c r="U576" s="3" t="s">
        <v>39</v>
      </c>
      <c r="V576" s="3">
        <v>102.75</v>
      </c>
      <c r="W576" s="3">
        <v>43.67</v>
      </c>
      <c r="X576" s="3">
        <v>41.36</v>
      </c>
      <c r="Y576" s="3">
        <v>17.72</v>
      </c>
    </row>
    <row r="577" spans="1:25" ht="60.75" x14ac:dyDescent="0.25">
      <c r="A577" s="3" t="s">
        <v>26</v>
      </c>
      <c r="B577" s="3" t="s">
        <v>27</v>
      </c>
      <c r="C577" s="3" t="s">
        <v>28</v>
      </c>
      <c r="D577" s="3" t="s">
        <v>40</v>
      </c>
      <c r="E577" s="3" t="s">
        <v>287</v>
      </c>
      <c r="F577" s="3" t="s">
        <v>42</v>
      </c>
      <c r="G577" s="3" t="s">
        <v>287</v>
      </c>
      <c r="H577" s="3" t="s">
        <v>32</v>
      </c>
      <c r="I577" s="3">
        <v>2025</v>
      </c>
      <c r="J577" s="3" t="str">
        <f>CONCATENATE("54820015383")</f>
        <v>54820015383</v>
      </c>
      <c r="K577" s="3" t="s">
        <v>33</v>
      </c>
      <c r="L577" s="3"/>
      <c r="M577" s="3" t="s">
        <v>131</v>
      </c>
      <c r="N577" s="3" t="str">
        <f>CONCATENATE("CRFPRM49A11M078Z")</f>
        <v>CRFPRM49A11M078Z</v>
      </c>
      <c r="O577" s="3" t="s">
        <v>699</v>
      </c>
      <c r="P577" s="3" t="s">
        <v>36</v>
      </c>
      <c r="Q577" s="3"/>
      <c r="R577" s="4">
        <v>45996</v>
      </c>
      <c r="S577" s="3" t="s">
        <v>37</v>
      </c>
      <c r="T577" s="3" t="s">
        <v>38</v>
      </c>
      <c r="U577" s="3" t="s">
        <v>39</v>
      </c>
      <c r="V577" s="3">
        <v>443.56</v>
      </c>
      <c r="W577" s="3">
        <v>188.51</v>
      </c>
      <c r="X577" s="3">
        <v>178.53</v>
      </c>
      <c r="Y577" s="3">
        <v>76.52</v>
      </c>
    </row>
    <row r="578" spans="1:25" ht="60.75" x14ac:dyDescent="0.25">
      <c r="A578" s="3" t="s">
        <v>26</v>
      </c>
      <c r="B578" s="3" t="s">
        <v>27</v>
      </c>
      <c r="C578" s="3" t="s">
        <v>28</v>
      </c>
      <c r="D578" s="3" t="s">
        <v>29</v>
      </c>
      <c r="E578" s="3" t="s">
        <v>47</v>
      </c>
      <c r="F578" s="3" t="s">
        <v>31</v>
      </c>
      <c r="G578" s="3" t="s">
        <v>47</v>
      </c>
      <c r="H578" s="3" t="s">
        <v>48</v>
      </c>
      <c r="I578" s="3">
        <v>2025</v>
      </c>
      <c r="J578" s="3" t="str">
        <f>CONCATENATE("54820052493")</f>
        <v>54820052493</v>
      </c>
      <c r="K578" s="3" t="s">
        <v>33</v>
      </c>
      <c r="L578" s="3"/>
      <c r="M578" s="3" t="s">
        <v>131</v>
      </c>
      <c r="N578" s="3" t="str">
        <f>CONCATENATE("ZNBRTI59L43C524I")</f>
        <v>ZNBRTI59L43C524I</v>
      </c>
      <c r="O578" s="3" t="s">
        <v>700</v>
      </c>
      <c r="P578" s="3" t="s">
        <v>36</v>
      </c>
      <c r="Q578" s="3"/>
      <c r="R578" s="4">
        <v>45996</v>
      </c>
      <c r="S578" s="3" t="s">
        <v>37</v>
      </c>
      <c r="T578" s="3" t="s">
        <v>38</v>
      </c>
      <c r="U578" s="3" t="s">
        <v>39</v>
      </c>
      <c r="V578" s="3">
        <v>63.18</v>
      </c>
      <c r="W578" s="3">
        <v>26.85</v>
      </c>
      <c r="X578" s="3">
        <v>25.43</v>
      </c>
      <c r="Y578" s="3">
        <v>10.9</v>
      </c>
    </row>
    <row r="579" spans="1:25" ht="72.75" x14ac:dyDescent="0.25">
      <c r="A579" s="3" t="s">
        <v>26</v>
      </c>
      <c r="B579" s="3" t="s">
        <v>27</v>
      </c>
      <c r="C579" s="3" t="s">
        <v>28</v>
      </c>
      <c r="D579" s="3" t="s">
        <v>29</v>
      </c>
      <c r="E579" s="3" t="s">
        <v>56</v>
      </c>
      <c r="F579" s="3" t="s">
        <v>31</v>
      </c>
      <c r="G579" s="3" t="s">
        <v>56</v>
      </c>
      <c r="H579" s="3" t="s">
        <v>32</v>
      </c>
      <c r="I579" s="3">
        <v>2025</v>
      </c>
      <c r="J579" s="3" t="str">
        <f>CONCATENATE("54820175302")</f>
        <v>54820175302</v>
      </c>
      <c r="K579" s="3" t="s">
        <v>33</v>
      </c>
      <c r="L579" s="3"/>
      <c r="M579" s="3" t="s">
        <v>131</v>
      </c>
      <c r="N579" s="3" t="str">
        <f>CONCATENATE("NGLRSO64D69B474W")</f>
        <v>NGLRSO64D69B474W</v>
      </c>
      <c r="O579" s="3" t="s">
        <v>701</v>
      </c>
      <c r="P579" s="3" t="s">
        <v>36</v>
      </c>
      <c r="Q579" s="3"/>
      <c r="R579" s="4">
        <v>45996</v>
      </c>
      <c r="S579" s="3" t="s">
        <v>37</v>
      </c>
      <c r="T579" s="3" t="s">
        <v>38</v>
      </c>
      <c r="U579" s="3" t="s">
        <v>39</v>
      </c>
      <c r="V579" s="3">
        <v>801.24</v>
      </c>
      <c r="W579" s="3">
        <v>340.53</v>
      </c>
      <c r="X579" s="3">
        <v>322.5</v>
      </c>
      <c r="Y579" s="3">
        <v>138.21</v>
      </c>
    </row>
    <row r="580" spans="1:25" ht="60.75" x14ac:dyDescent="0.25">
      <c r="A580" s="3" t="s">
        <v>26</v>
      </c>
      <c r="B580" s="3" t="s">
        <v>27</v>
      </c>
      <c r="C580" s="3" t="s">
        <v>28</v>
      </c>
      <c r="D580" s="3" t="s">
        <v>29</v>
      </c>
      <c r="E580" s="3" t="s">
        <v>186</v>
      </c>
      <c r="F580" s="3" t="s">
        <v>31</v>
      </c>
      <c r="G580" s="3" t="s">
        <v>186</v>
      </c>
      <c r="H580" s="3" t="s">
        <v>45</v>
      </c>
      <c r="I580" s="3">
        <v>2025</v>
      </c>
      <c r="J580" s="3" t="str">
        <f>CONCATENATE("54820024435")</f>
        <v>54820024435</v>
      </c>
      <c r="K580" s="3" t="s">
        <v>33</v>
      </c>
      <c r="L580" s="3"/>
      <c r="M580" s="3" t="s">
        <v>131</v>
      </c>
      <c r="N580" s="3" t="str">
        <f>CONCATENATE("FSCLCN46A01F524G")</f>
        <v>FSCLCN46A01F524G</v>
      </c>
      <c r="O580" s="3" t="s">
        <v>702</v>
      </c>
      <c r="P580" s="3" t="s">
        <v>36</v>
      </c>
      <c r="Q580" s="3"/>
      <c r="R580" s="4">
        <v>45996</v>
      </c>
      <c r="S580" s="3" t="s">
        <v>37</v>
      </c>
      <c r="T580" s="3" t="s">
        <v>38</v>
      </c>
      <c r="U580" s="3" t="s">
        <v>39</v>
      </c>
      <c r="V580" s="3">
        <v>299.14999999999998</v>
      </c>
      <c r="W580" s="3">
        <v>127.14</v>
      </c>
      <c r="X580" s="3">
        <v>120.41</v>
      </c>
      <c r="Y580" s="3">
        <v>51.6</v>
      </c>
    </row>
    <row r="581" spans="1:25" ht="60.75" x14ac:dyDescent="0.25">
      <c r="A581" s="3" t="s">
        <v>26</v>
      </c>
      <c r="B581" s="3" t="s">
        <v>27</v>
      </c>
      <c r="C581" s="3" t="s">
        <v>28</v>
      </c>
      <c r="D581" s="3" t="s">
        <v>50</v>
      </c>
      <c r="E581" s="3" t="s">
        <v>147</v>
      </c>
      <c r="F581" s="3" t="s">
        <v>52</v>
      </c>
      <c r="G581" s="3" t="s">
        <v>147</v>
      </c>
      <c r="H581" s="3" t="s">
        <v>45</v>
      </c>
      <c r="I581" s="3">
        <v>2025</v>
      </c>
      <c r="J581" s="3" t="str">
        <f>CONCATENATE("54820071352")</f>
        <v>54820071352</v>
      </c>
      <c r="K581" s="3" t="s">
        <v>33</v>
      </c>
      <c r="L581" s="3"/>
      <c r="M581" s="3" t="s">
        <v>131</v>
      </c>
      <c r="N581" s="3" t="str">
        <f>CONCATENATE("SPDLCU79T21L500H")</f>
        <v>SPDLCU79T21L500H</v>
      </c>
      <c r="O581" s="3" t="s">
        <v>703</v>
      </c>
      <c r="P581" s="3" t="s">
        <v>36</v>
      </c>
      <c r="Q581" s="3"/>
      <c r="R581" s="4">
        <v>45996</v>
      </c>
      <c r="S581" s="3" t="s">
        <v>37</v>
      </c>
      <c r="T581" s="3" t="s">
        <v>38</v>
      </c>
      <c r="U581" s="3" t="s">
        <v>39</v>
      </c>
      <c r="V581" s="3">
        <v>49.36</v>
      </c>
      <c r="W581" s="3">
        <v>20.98</v>
      </c>
      <c r="X581" s="3">
        <v>19.87</v>
      </c>
      <c r="Y581" s="3">
        <v>8.51</v>
      </c>
    </row>
    <row r="582" spans="1:25" ht="60.75" x14ac:dyDescent="0.25">
      <c r="A582" s="3" t="s">
        <v>26</v>
      </c>
      <c r="B582" s="3" t="s">
        <v>27</v>
      </c>
      <c r="C582" s="3" t="s">
        <v>28</v>
      </c>
      <c r="D582" s="3" t="s">
        <v>29</v>
      </c>
      <c r="E582" s="3" t="s">
        <v>72</v>
      </c>
      <c r="F582" s="3" t="s">
        <v>31</v>
      </c>
      <c r="G582" s="3" t="s">
        <v>72</v>
      </c>
      <c r="H582" s="3" t="s">
        <v>45</v>
      </c>
      <c r="I582" s="3">
        <v>2025</v>
      </c>
      <c r="J582" s="3" t="str">
        <f>CONCATENATE("54820074901")</f>
        <v>54820074901</v>
      </c>
      <c r="K582" s="3" t="s">
        <v>33</v>
      </c>
      <c r="L582" s="3"/>
      <c r="M582" s="3" t="s">
        <v>131</v>
      </c>
      <c r="N582" s="3" t="str">
        <f>CONCATENATE("RBNFNC58D18B352S")</f>
        <v>RBNFNC58D18B352S</v>
      </c>
      <c r="O582" s="3" t="s">
        <v>704</v>
      </c>
      <c r="P582" s="3" t="s">
        <v>36</v>
      </c>
      <c r="Q582" s="3"/>
      <c r="R582" s="4">
        <v>45996</v>
      </c>
      <c r="S582" s="3" t="s">
        <v>37</v>
      </c>
      <c r="T582" s="3" t="s">
        <v>38</v>
      </c>
      <c r="U582" s="3" t="s">
        <v>39</v>
      </c>
      <c r="V582" s="3">
        <v>265.83999999999997</v>
      </c>
      <c r="W582" s="3">
        <v>112.98</v>
      </c>
      <c r="X582" s="3">
        <v>107</v>
      </c>
      <c r="Y582" s="3">
        <v>45.86</v>
      </c>
    </row>
    <row r="583" spans="1:25" ht="60.75" x14ac:dyDescent="0.25">
      <c r="A583" s="3" t="s">
        <v>26</v>
      </c>
      <c r="B583" s="3" t="s">
        <v>27</v>
      </c>
      <c r="C583" s="3" t="s">
        <v>28</v>
      </c>
      <c r="D583" s="3" t="s">
        <v>29</v>
      </c>
      <c r="E583" s="3" t="s">
        <v>47</v>
      </c>
      <c r="F583" s="3" t="s">
        <v>31</v>
      </c>
      <c r="G583" s="3" t="s">
        <v>47</v>
      </c>
      <c r="H583" s="3" t="s">
        <v>48</v>
      </c>
      <c r="I583" s="3">
        <v>2025</v>
      </c>
      <c r="J583" s="3" t="str">
        <f>CONCATENATE("54820031935")</f>
        <v>54820031935</v>
      </c>
      <c r="K583" s="3" t="s">
        <v>33</v>
      </c>
      <c r="L583" s="3"/>
      <c r="M583" s="3" t="s">
        <v>131</v>
      </c>
      <c r="N583" s="3" t="str">
        <f>CONCATENATE("MZZMRC80L22D451F")</f>
        <v>MZZMRC80L22D451F</v>
      </c>
      <c r="O583" s="3" t="s">
        <v>705</v>
      </c>
      <c r="P583" s="3" t="s">
        <v>36</v>
      </c>
      <c r="Q583" s="3"/>
      <c r="R583" s="4">
        <v>45996</v>
      </c>
      <c r="S583" s="3" t="s">
        <v>37</v>
      </c>
      <c r="T583" s="3" t="s">
        <v>38</v>
      </c>
      <c r="U583" s="3" t="s">
        <v>39</v>
      </c>
      <c r="V583" s="3">
        <v>60.96</v>
      </c>
      <c r="W583" s="3">
        <v>25.91</v>
      </c>
      <c r="X583" s="3">
        <v>24.54</v>
      </c>
      <c r="Y583" s="3">
        <v>10.51</v>
      </c>
    </row>
    <row r="584" spans="1:25" ht="60.75" x14ac:dyDescent="0.25">
      <c r="A584" s="3" t="s">
        <v>26</v>
      </c>
      <c r="B584" s="3" t="s">
        <v>27</v>
      </c>
      <c r="C584" s="3" t="s">
        <v>28</v>
      </c>
      <c r="D584" s="3" t="s">
        <v>40</v>
      </c>
      <c r="E584" s="3" t="s">
        <v>44</v>
      </c>
      <c r="F584" s="3" t="s">
        <v>42</v>
      </c>
      <c r="G584" s="3" t="s">
        <v>44</v>
      </c>
      <c r="H584" s="3" t="s">
        <v>32</v>
      </c>
      <c r="I584" s="3">
        <v>2025</v>
      </c>
      <c r="J584" s="3" t="str">
        <f>CONCATENATE("54820024211")</f>
        <v>54820024211</v>
      </c>
      <c r="K584" s="3" t="s">
        <v>33</v>
      </c>
      <c r="L584" s="3"/>
      <c r="M584" s="3" t="s">
        <v>131</v>
      </c>
      <c r="N584" s="3" t="str">
        <f>CONCATENATE("TMSFNC68S30I436J")</f>
        <v>TMSFNC68S30I436J</v>
      </c>
      <c r="O584" s="3" t="s">
        <v>706</v>
      </c>
      <c r="P584" s="3" t="s">
        <v>36</v>
      </c>
      <c r="Q584" s="3"/>
      <c r="R584" s="4">
        <v>45996</v>
      </c>
      <c r="S584" s="3" t="s">
        <v>37</v>
      </c>
      <c r="T584" s="3" t="s">
        <v>38</v>
      </c>
      <c r="U584" s="3" t="s">
        <v>39</v>
      </c>
      <c r="V584" s="3">
        <v>121.23</v>
      </c>
      <c r="W584" s="3">
        <v>51.52</v>
      </c>
      <c r="X584" s="3">
        <v>48.8</v>
      </c>
      <c r="Y584" s="3">
        <v>20.91</v>
      </c>
    </row>
    <row r="585" spans="1:25" ht="72.75" x14ac:dyDescent="0.25">
      <c r="A585" s="3" t="s">
        <v>26</v>
      </c>
      <c r="B585" s="3" t="s">
        <v>27</v>
      </c>
      <c r="C585" s="3" t="s">
        <v>28</v>
      </c>
      <c r="D585" s="3" t="s">
        <v>29</v>
      </c>
      <c r="E585" s="3" t="s">
        <v>186</v>
      </c>
      <c r="F585" s="3" t="s">
        <v>31</v>
      </c>
      <c r="G585" s="3" t="s">
        <v>186</v>
      </c>
      <c r="H585" s="3" t="s">
        <v>45</v>
      </c>
      <c r="I585" s="3">
        <v>2025</v>
      </c>
      <c r="J585" s="3" t="str">
        <f>CONCATENATE("54820048400")</f>
        <v>54820048400</v>
      </c>
      <c r="K585" s="3" t="s">
        <v>33</v>
      </c>
      <c r="L585" s="3"/>
      <c r="M585" s="3" t="s">
        <v>131</v>
      </c>
      <c r="N585" s="3" t="str">
        <f>CONCATENATE("MGNRSO43L71F136D")</f>
        <v>MGNRSO43L71F136D</v>
      </c>
      <c r="O585" s="3" t="s">
        <v>707</v>
      </c>
      <c r="P585" s="3" t="s">
        <v>36</v>
      </c>
      <c r="Q585" s="3"/>
      <c r="R585" s="4">
        <v>45996</v>
      </c>
      <c r="S585" s="3" t="s">
        <v>37</v>
      </c>
      <c r="T585" s="3" t="s">
        <v>38</v>
      </c>
      <c r="U585" s="3" t="s">
        <v>39</v>
      </c>
      <c r="V585" s="3">
        <v>66.489999999999995</v>
      </c>
      <c r="W585" s="3">
        <v>28.26</v>
      </c>
      <c r="X585" s="3">
        <v>26.76</v>
      </c>
      <c r="Y585" s="3">
        <v>11.47</v>
      </c>
    </row>
    <row r="586" spans="1:25" ht="60.75" x14ac:dyDescent="0.25">
      <c r="A586" s="3" t="s">
        <v>26</v>
      </c>
      <c r="B586" s="3" t="s">
        <v>27</v>
      </c>
      <c r="C586" s="3" t="s">
        <v>28</v>
      </c>
      <c r="D586" s="3" t="s">
        <v>50</v>
      </c>
      <c r="E586" s="3" t="s">
        <v>60</v>
      </c>
      <c r="F586" s="3" t="s">
        <v>52</v>
      </c>
      <c r="G586" s="3" t="s">
        <v>60</v>
      </c>
      <c r="H586" s="3" t="s">
        <v>45</v>
      </c>
      <c r="I586" s="3">
        <v>2025</v>
      </c>
      <c r="J586" s="3" t="str">
        <f>CONCATENATE("54820086079")</f>
        <v>54820086079</v>
      </c>
      <c r="K586" s="3" t="s">
        <v>33</v>
      </c>
      <c r="L586" s="3"/>
      <c r="M586" s="3" t="s">
        <v>131</v>
      </c>
      <c r="N586" s="3" t="str">
        <f>CONCATENATE("GVNVNI47M51I654Z")</f>
        <v>GVNVNI47M51I654Z</v>
      </c>
      <c r="O586" s="3" t="s">
        <v>708</v>
      </c>
      <c r="P586" s="3" t="s">
        <v>36</v>
      </c>
      <c r="Q586" s="3"/>
      <c r="R586" s="4">
        <v>45996</v>
      </c>
      <c r="S586" s="3" t="s">
        <v>37</v>
      </c>
      <c r="T586" s="3" t="s">
        <v>38</v>
      </c>
      <c r="U586" s="3" t="s">
        <v>39</v>
      </c>
      <c r="V586" s="3">
        <v>100.43</v>
      </c>
      <c r="W586" s="3">
        <v>42.68</v>
      </c>
      <c r="X586" s="3">
        <v>40.42</v>
      </c>
      <c r="Y586" s="3">
        <v>17.329999999999998</v>
      </c>
    </row>
    <row r="587" spans="1:25" ht="60.75" x14ac:dyDescent="0.25">
      <c r="A587" s="3" t="s">
        <v>26</v>
      </c>
      <c r="B587" s="3" t="s">
        <v>27</v>
      </c>
      <c r="C587" s="3" t="s">
        <v>28</v>
      </c>
      <c r="D587" s="3" t="s">
        <v>29</v>
      </c>
      <c r="E587" s="3" t="s">
        <v>119</v>
      </c>
      <c r="F587" s="3" t="s">
        <v>31</v>
      </c>
      <c r="G587" s="3" t="s">
        <v>119</v>
      </c>
      <c r="H587" s="3" t="s">
        <v>96</v>
      </c>
      <c r="I587" s="3">
        <v>2025</v>
      </c>
      <c r="J587" s="3" t="str">
        <f>CONCATENATE("54820044433")</f>
        <v>54820044433</v>
      </c>
      <c r="K587" s="3" t="s">
        <v>33</v>
      </c>
      <c r="L587" s="3"/>
      <c r="M587" s="3" t="s">
        <v>131</v>
      </c>
      <c r="N587" s="3" t="str">
        <f>CONCATENATE("BRTGPP60R04I774Y")</f>
        <v>BRTGPP60R04I774Y</v>
      </c>
      <c r="O587" s="3" t="s">
        <v>664</v>
      </c>
      <c r="P587" s="3" t="s">
        <v>36</v>
      </c>
      <c r="Q587" s="3"/>
      <c r="R587" s="4">
        <v>45996</v>
      </c>
      <c r="S587" s="3" t="s">
        <v>37</v>
      </c>
      <c r="T587" s="3" t="s">
        <v>38</v>
      </c>
      <c r="U587" s="3" t="s">
        <v>39</v>
      </c>
      <c r="V587" s="3">
        <v>283.52999999999997</v>
      </c>
      <c r="W587" s="3">
        <v>120.5</v>
      </c>
      <c r="X587" s="3">
        <v>114.12</v>
      </c>
      <c r="Y587" s="3">
        <v>48.91</v>
      </c>
    </row>
    <row r="588" spans="1:25" ht="36.75" x14ac:dyDescent="0.25">
      <c r="A588" s="3" t="s">
        <v>26</v>
      </c>
      <c r="B588" s="3" t="s">
        <v>27</v>
      </c>
      <c r="C588" s="3" t="s">
        <v>28</v>
      </c>
      <c r="D588" s="3" t="s">
        <v>40</v>
      </c>
      <c r="E588" s="3" t="s">
        <v>41</v>
      </c>
      <c r="F588" s="3" t="s">
        <v>42</v>
      </c>
      <c r="G588" s="3" t="s">
        <v>41</v>
      </c>
      <c r="H588" s="3" t="s">
        <v>32</v>
      </c>
      <c r="I588" s="3">
        <v>2025</v>
      </c>
      <c r="J588" s="3" t="str">
        <f>CONCATENATE("54820050786")</f>
        <v>54820050786</v>
      </c>
      <c r="K588" s="3" t="s">
        <v>33</v>
      </c>
      <c r="L588" s="3"/>
      <c r="M588" s="3" t="s">
        <v>131</v>
      </c>
      <c r="N588" s="3" t="str">
        <f>CONCATENATE("02091070439")</f>
        <v>02091070439</v>
      </c>
      <c r="O588" s="3" t="s">
        <v>709</v>
      </c>
      <c r="P588" s="3" t="s">
        <v>36</v>
      </c>
      <c r="Q588" s="3"/>
      <c r="R588" s="4">
        <v>45996</v>
      </c>
      <c r="S588" s="3" t="s">
        <v>37</v>
      </c>
      <c r="T588" s="3" t="s">
        <v>38</v>
      </c>
      <c r="U588" s="3" t="s">
        <v>39</v>
      </c>
      <c r="V588" s="3">
        <v>130.75</v>
      </c>
      <c r="W588" s="3">
        <v>55.57</v>
      </c>
      <c r="X588" s="3">
        <v>52.63</v>
      </c>
      <c r="Y588" s="3">
        <v>22.55</v>
      </c>
    </row>
    <row r="589" spans="1:25" ht="60.75" x14ac:dyDescent="0.25">
      <c r="A589" s="3" t="s">
        <v>26</v>
      </c>
      <c r="B589" s="3" t="s">
        <v>27</v>
      </c>
      <c r="C589" s="3" t="s">
        <v>28</v>
      </c>
      <c r="D589" s="3" t="s">
        <v>29</v>
      </c>
      <c r="E589" s="3" t="s">
        <v>47</v>
      </c>
      <c r="F589" s="3" t="s">
        <v>31</v>
      </c>
      <c r="G589" s="3" t="s">
        <v>47</v>
      </c>
      <c r="H589" s="3" t="s">
        <v>48</v>
      </c>
      <c r="I589" s="3">
        <v>2025</v>
      </c>
      <c r="J589" s="3" t="str">
        <f>CONCATENATE("54820038625")</f>
        <v>54820038625</v>
      </c>
      <c r="K589" s="3" t="s">
        <v>33</v>
      </c>
      <c r="L589" s="3"/>
      <c r="M589" s="3" t="s">
        <v>131</v>
      </c>
      <c r="N589" s="3" t="str">
        <f>CONCATENATE("PLLGLC68L08D451P")</f>
        <v>PLLGLC68L08D451P</v>
      </c>
      <c r="O589" s="3" t="s">
        <v>710</v>
      </c>
      <c r="P589" s="3" t="s">
        <v>36</v>
      </c>
      <c r="Q589" s="3"/>
      <c r="R589" s="4">
        <v>45996</v>
      </c>
      <c r="S589" s="3" t="s">
        <v>37</v>
      </c>
      <c r="T589" s="3" t="s">
        <v>38</v>
      </c>
      <c r="U589" s="3" t="s">
        <v>39</v>
      </c>
      <c r="V589" s="3">
        <v>102.69</v>
      </c>
      <c r="W589" s="3">
        <v>43.64</v>
      </c>
      <c r="X589" s="3">
        <v>41.33</v>
      </c>
      <c r="Y589" s="3">
        <v>17.72</v>
      </c>
    </row>
    <row r="590" spans="1:25" ht="60.75" x14ac:dyDescent="0.25">
      <c r="A590" s="3" t="s">
        <v>26</v>
      </c>
      <c r="B590" s="3" t="s">
        <v>27</v>
      </c>
      <c r="C590" s="3" t="s">
        <v>28</v>
      </c>
      <c r="D590" s="3" t="s">
        <v>29</v>
      </c>
      <c r="E590" s="3" t="s">
        <v>80</v>
      </c>
      <c r="F590" s="3" t="s">
        <v>31</v>
      </c>
      <c r="G590" s="3" t="s">
        <v>80</v>
      </c>
      <c r="H590" s="3" t="s">
        <v>45</v>
      </c>
      <c r="I590" s="3">
        <v>2025</v>
      </c>
      <c r="J590" s="3" t="str">
        <f>CONCATENATE("54820070537")</f>
        <v>54820070537</v>
      </c>
      <c r="K590" s="3" t="s">
        <v>33</v>
      </c>
      <c r="L590" s="3"/>
      <c r="M590" s="3" t="s">
        <v>131</v>
      </c>
      <c r="N590" s="3" t="str">
        <f>CONCATENATE("BLDNNL56L64G453X")</f>
        <v>BLDNNL56L64G453X</v>
      </c>
      <c r="O590" s="3" t="s">
        <v>711</v>
      </c>
      <c r="P590" s="3" t="s">
        <v>36</v>
      </c>
      <c r="Q590" s="3"/>
      <c r="R590" s="4">
        <v>45996</v>
      </c>
      <c r="S590" s="3" t="s">
        <v>37</v>
      </c>
      <c r="T590" s="3" t="s">
        <v>38</v>
      </c>
      <c r="U590" s="3" t="s">
        <v>39</v>
      </c>
      <c r="V590" s="3">
        <v>103.53</v>
      </c>
      <c r="W590" s="3">
        <v>44</v>
      </c>
      <c r="X590" s="3">
        <v>41.67</v>
      </c>
      <c r="Y590" s="3">
        <v>17.86</v>
      </c>
    </row>
    <row r="591" spans="1:25" ht="60.75" x14ac:dyDescent="0.25">
      <c r="A591" s="3" t="s">
        <v>26</v>
      </c>
      <c r="B591" s="3" t="s">
        <v>27</v>
      </c>
      <c r="C591" s="3" t="s">
        <v>28</v>
      </c>
      <c r="D591" s="3" t="s">
        <v>29</v>
      </c>
      <c r="E591" s="3" t="s">
        <v>68</v>
      </c>
      <c r="F591" s="3" t="s">
        <v>31</v>
      </c>
      <c r="G591" s="3" t="s">
        <v>68</v>
      </c>
      <c r="H591" s="3" t="s">
        <v>32</v>
      </c>
      <c r="I591" s="3">
        <v>2025</v>
      </c>
      <c r="J591" s="3" t="str">
        <f>CONCATENATE("54820104476")</f>
        <v>54820104476</v>
      </c>
      <c r="K591" s="3" t="s">
        <v>33</v>
      </c>
      <c r="L591" s="3"/>
      <c r="M591" s="3" t="s">
        <v>131</v>
      </c>
      <c r="N591" s="3" t="str">
        <f>CONCATENATE("TBRSFN73D05H876Z")</f>
        <v>TBRSFN73D05H876Z</v>
      </c>
      <c r="O591" s="3" t="s">
        <v>712</v>
      </c>
      <c r="P591" s="3" t="s">
        <v>36</v>
      </c>
      <c r="Q591" s="3"/>
      <c r="R591" s="4">
        <v>45996</v>
      </c>
      <c r="S591" s="3" t="s">
        <v>37</v>
      </c>
      <c r="T591" s="3" t="s">
        <v>38</v>
      </c>
      <c r="U591" s="3" t="s">
        <v>39</v>
      </c>
      <c r="V591" s="3">
        <v>152.37</v>
      </c>
      <c r="W591" s="3">
        <v>64.760000000000005</v>
      </c>
      <c r="X591" s="3">
        <v>61.33</v>
      </c>
      <c r="Y591" s="3">
        <v>26.28</v>
      </c>
    </row>
    <row r="592" spans="1:25" ht="60.75" x14ac:dyDescent="0.25">
      <c r="A592" s="3" t="s">
        <v>26</v>
      </c>
      <c r="B592" s="3" t="s">
        <v>27</v>
      </c>
      <c r="C592" s="3" t="s">
        <v>28</v>
      </c>
      <c r="D592" s="3" t="s">
        <v>50</v>
      </c>
      <c r="E592" s="3" t="s">
        <v>173</v>
      </c>
      <c r="F592" s="3" t="s">
        <v>52</v>
      </c>
      <c r="G592" s="3" t="s">
        <v>173</v>
      </c>
      <c r="H592" s="3" t="s">
        <v>45</v>
      </c>
      <c r="I592" s="3">
        <v>2025</v>
      </c>
      <c r="J592" s="3" t="str">
        <f>CONCATENATE("54820050190")</f>
        <v>54820050190</v>
      </c>
      <c r="K592" s="3" t="s">
        <v>33</v>
      </c>
      <c r="L592" s="3"/>
      <c r="M592" s="3" t="s">
        <v>131</v>
      </c>
      <c r="N592" s="3" t="str">
        <f>CONCATENATE("BLSLRD57T11I459T")</f>
        <v>BLSLRD57T11I459T</v>
      </c>
      <c r="O592" s="3" t="s">
        <v>713</v>
      </c>
      <c r="P592" s="3" t="s">
        <v>36</v>
      </c>
      <c r="Q592" s="3"/>
      <c r="R592" s="4">
        <v>45996</v>
      </c>
      <c r="S592" s="3" t="s">
        <v>37</v>
      </c>
      <c r="T592" s="3" t="s">
        <v>38</v>
      </c>
      <c r="U592" s="3" t="s">
        <v>39</v>
      </c>
      <c r="V592" s="3">
        <v>126.94</v>
      </c>
      <c r="W592" s="3">
        <v>53.95</v>
      </c>
      <c r="X592" s="3">
        <v>51.09</v>
      </c>
      <c r="Y592" s="3">
        <v>21.9</v>
      </c>
    </row>
    <row r="593" spans="1:25" ht="60.75" x14ac:dyDescent="0.25">
      <c r="A593" s="3" t="s">
        <v>26</v>
      </c>
      <c r="B593" s="3" t="s">
        <v>27</v>
      </c>
      <c r="C593" s="3" t="s">
        <v>28</v>
      </c>
      <c r="D593" s="3" t="s">
        <v>50</v>
      </c>
      <c r="E593" s="3" t="s">
        <v>225</v>
      </c>
      <c r="F593" s="3" t="s">
        <v>52</v>
      </c>
      <c r="G593" s="3" t="s">
        <v>225</v>
      </c>
      <c r="H593" s="3" t="s">
        <v>96</v>
      </c>
      <c r="I593" s="3">
        <v>2025</v>
      </c>
      <c r="J593" s="3" t="str">
        <f>CONCATENATE("54820100805")</f>
        <v>54820100805</v>
      </c>
      <c r="K593" s="3" t="s">
        <v>33</v>
      </c>
      <c r="L593" s="3"/>
      <c r="M593" s="3" t="s">
        <v>131</v>
      </c>
      <c r="N593" s="3" t="str">
        <f>CONCATENATE("DDULLI85P61Z138Z")</f>
        <v>DDULLI85P61Z138Z</v>
      </c>
      <c r="O593" s="3" t="s">
        <v>714</v>
      </c>
      <c r="P593" s="3" t="s">
        <v>36</v>
      </c>
      <c r="Q593" s="3"/>
      <c r="R593" s="4">
        <v>45996</v>
      </c>
      <c r="S593" s="3" t="s">
        <v>37</v>
      </c>
      <c r="T593" s="3" t="s">
        <v>38</v>
      </c>
      <c r="U593" s="3" t="s">
        <v>39</v>
      </c>
      <c r="V593" s="3">
        <v>95.72</v>
      </c>
      <c r="W593" s="3">
        <v>40.68</v>
      </c>
      <c r="X593" s="3">
        <v>38.53</v>
      </c>
      <c r="Y593" s="3">
        <v>16.510000000000002</v>
      </c>
    </row>
    <row r="594" spans="1:25" ht="60.75" x14ac:dyDescent="0.25">
      <c r="A594" s="3" t="s">
        <v>26</v>
      </c>
      <c r="B594" s="3" t="s">
        <v>27</v>
      </c>
      <c r="C594" s="3" t="s">
        <v>28</v>
      </c>
      <c r="D594" s="3" t="s">
        <v>104</v>
      </c>
      <c r="E594" s="3" t="s">
        <v>141</v>
      </c>
      <c r="F594" s="3" t="s">
        <v>104</v>
      </c>
      <c r="G594" s="3" t="s">
        <v>141</v>
      </c>
      <c r="H594" s="3" t="s">
        <v>96</v>
      </c>
      <c r="I594" s="3">
        <v>2025</v>
      </c>
      <c r="J594" s="3" t="str">
        <f>CONCATENATE("54820136973")</f>
        <v>54820136973</v>
      </c>
      <c r="K594" s="3" t="s">
        <v>33</v>
      </c>
      <c r="L594" s="3"/>
      <c r="M594" s="3" t="s">
        <v>131</v>
      </c>
      <c r="N594" s="3" t="str">
        <f>CONCATENATE("BRTMRA45R64F509X")</f>
        <v>BRTMRA45R64F509X</v>
      </c>
      <c r="O594" s="3" t="s">
        <v>715</v>
      </c>
      <c r="P594" s="3" t="s">
        <v>36</v>
      </c>
      <c r="Q594" s="3"/>
      <c r="R594" s="4">
        <v>45996</v>
      </c>
      <c r="S594" s="3" t="s">
        <v>37</v>
      </c>
      <c r="T594" s="3" t="s">
        <v>38</v>
      </c>
      <c r="U594" s="3" t="s">
        <v>39</v>
      </c>
      <c r="V594" s="3">
        <v>300.8</v>
      </c>
      <c r="W594" s="3">
        <v>127.84</v>
      </c>
      <c r="X594" s="3">
        <v>121.07</v>
      </c>
      <c r="Y594" s="3">
        <v>51.89</v>
      </c>
    </row>
    <row r="595" spans="1:25" ht="60.75" x14ac:dyDescent="0.25">
      <c r="A595" s="3" t="s">
        <v>26</v>
      </c>
      <c r="B595" s="3" t="s">
        <v>27</v>
      </c>
      <c r="C595" s="3" t="s">
        <v>28</v>
      </c>
      <c r="D595" s="3" t="s">
        <v>50</v>
      </c>
      <c r="E595" s="3" t="s">
        <v>212</v>
      </c>
      <c r="F595" s="3" t="s">
        <v>52</v>
      </c>
      <c r="G595" s="3" t="s">
        <v>212</v>
      </c>
      <c r="H595" s="3" t="s">
        <v>32</v>
      </c>
      <c r="I595" s="3">
        <v>2025</v>
      </c>
      <c r="J595" s="3" t="str">
        <f>CONCATENATE("54820145313")</f>
        <v>54820145313</v>
      </c>
      <c r="K595" s="3" t="s">
        <v>33</v>
      </c>
      <c r="L595" s="3"/>
      <c r="M595" s="3" t="s">
        <v>131</v>
      </c>
      <c r="N595" s="3" t="str">
        <f>CONCATENATE("MTTTRZ60P26B474I")</f>
        <v>MTTTRZ60P26B474I</v>
      </c>
      <c r="O595" s="3" t="s">
        <v>716</v>
      </c>
      <c r="P595" s="3" t="s">
        <v>36</v>
      </c>
      <c r="Q595" s="3"/>
      <c r="R595" s="4">
        <v>45996</v>
      </c>
      <c r="S595" s="3" t="s">
        <v>37</v>
      </c>
      <c r="T595" s="3" t="s">
        <v>38</v>
      </c>
      <c r="U595" s="3" t="s">
        <v>39</v>
      </c>
      <c r="V595" s="3">
        <v>194</v>
      </c>
      <c r="W595" s="3">
        <v>82.45</v>
      </c>
      <c r="X595" s="3">
        <v>78.09</v>
      </c>
      <c r="Y595" s="3">
        <v>33.46</v>
      </c>
    </row>
    <row r="596" spans="1:25" ht="60.75" x14ac:dyDescent="0.25">
      <c r="A596" s="3" t="s">
        <v>26</v>
      </c>
      <c r="B596" s="3" t="s">
        <v>27</v>
      </c>
      <c r="C596" s="3" t="s">
        <v>28</v>
      </c>
      <c r="D596" s="3" t="s">
        <v>50</v>
      </c>
      <c r="E596" s="3" t="s">
        <v>147</v>
      </c>
      <c r="F596" s="3" t="s">
        <v>52</v>
      </c>
      <c r="G596" s="3" t="s">
        <v>147</v>
      </c>
      <c r="H596" s="3" t="s">
        <v>45</v>
      </c>
      <c r="I596" s="3">
        <v>2025</v>
      </c>
      <c r="J596" s="3" t="str">
        <f>CONCATENATE("54820180237")</f>
        <v>54820180237</v>
      </c>
      <c r="K596" s="3" t="s">
        <v>33</v>
      </c>
      <c r="L596" s="3"/>
      <c r="M596" s="3" t="s">
        <v>131</v>
      </c>
      <c r="N596" s="3" t="str">
        <f>CONCATENATE("PLTSRG54A26L500Q")</f>
        <v>PLTSRG54A26L500Q</v>
      </c>
      <c r="O596" s="3" t="s">
        <v>717</v>
      </c>
      <c r="P596" s="3" t="s">
        <v>36</v>
      </c>
      <c r="Q596" s="3"/>
      <c r="R596" s="4">
        <v>45996</v>
      </c>
      <c r="S596" s="3" t="s">
        <v>37</v>
      </c>
      <c r="T596" s="3" t="s">
        <v>38</v>
      </c>
      <c r="U596" s="3" t="s">
        <v>39</v>
      </c>
      <c r="V596" s="3">
        <v>776.67</v>
      </c>
      <c r="W596" s="3">
        <v>330.08</v>
      </c>
      <c r="X596" s="3">
        <v>312.61</v>
      </c>
      <c r="Y596" s="3">
        <v>133.97999999999999</v>
      </c>
    </row>
    <row r="597" spans="1:25" ht="60.75" x14ac:dyDescent="0.25">
      <c r="A597" s="3" t="s">
        <v>26</v>
      </c>
      <c r="B597" s="3" t="s">
        <v>27</v>
      </c>
      <c r="C597" s="3" t="s">
        <v>28</v>
      </c>
      <c r="D597" s="3" t="s">
        <v>29</v>
      </c>
      <c r="E597" s="3" t="s">
        <v>186</v>
      </c>
      <c r="F597" s="3" t="s">
        <v>31</v>
      </c>
      <c r="G597" s="3" t="s">
        <v>186</v>
      </c>
      <c r="H597" s="3" t="s">
        <v>45</v>
      </c>
      <c r="I597" s="3">
        <v>2025</v>
      </c>
      <c r="J597" s="3" t="str">
        <f>CONCATENATE("54820141569")</f>
        <v>54820141569</v>
      </c>
      <c r="K597" s="3" t="s">
        <v>33</v>
      </c>
      <c r="L597" s="3"/>
      <c r="M597" s="3" t="s">
        <v>131</v>
      </c>
      <c r="N597" s="3" t="str">
        <f>CONCATENATE("CLNFNC53R07B816K")</f>
        <v>CLNFNC53R07B816K</v>
      </c>
      <c r="O597" s="3" t="s">
        <v>718</v>
      </c>
      <c r="P597" s="3" t="s">
        <v>36</v>
      </c>
      <c r="Q597" s="3"/>
      <c r="R597" s="4">
        <v>45996</v>
      </c>
      <c r="S597" s="3" t="s">
        <v>37</v>
      </c>
      <c r="T597" s="3" t="s">
        <v>38</v>
      </c>
      <c r="U597" s="3" t="s">
        <v>39</v>
      </c>
      <c r="V597" s="3">
        <v>657.46</v>
      </c>
      <c r="W597" s="3">
        <v>279.42</v>
      </c>
      <c r="X597" s="3">
        <v>264.63</v>
      </c>
      <c r="Y597" s="3">
        <v>113.41</v>
      </c>
    </row>
    <row r="598" spans="1:25" ht="72.75" x14ac:dyDescent="0.25">
      <c r="A598" s="3" t="s">
        <v>26</v>
      </c>
      <c r="B598" s="3" t="s">
        <v>27</v>
      </c>
      <c r="C598" s="3" t="s">
        <v>28</v>
      </c>
      <c r="D598" s="3" t="s">
        <v>29</v>
      </c>
      <c r="E598" s="3" t="s">
        <v>72</v>
      </c>
      <c r="F598" s="3" t="s">
        <v>31</v>
      </c>
      <c r="G598" s="3" t="s">
        <v>72</v>
      </c>
      <c r="H598" s="3" t="s">
        <v>45</v>
      </c>
      <c r="I598" s="3">
        <v>2025</v>
      </c>
      <c r="J598" s="3" t="str">
        <f>CONCATENATE("54820082086")</f>
        <v>54820082086</v>
      </c>
      <c r="K598" s="3" t="s">
        <v>33</v>
      </c>
      <c r="L598" s="3"/>
      <c r="M598" s="3" t="s">
        <v>131</v>
      </c>
      <c r="N598" s="3" t="str">
        <f>CONCATENATE("CHGNTN46A04B352G")</f>
        <v>CHGNTN46A04B352G</v>
      </c>
      <c r="O598" s="3" t="s">
        <v>719</v>
      </c>
      <c r="P598" s="3" t="s">
        <v>36</v>
      </c>
      <c r="Q598" s="3"/>
      <c r="R598" s="4">
        <v>45996</v>
      </c>
      <c r="S598" s="3" t="s">
        <v>37</v>
      </c>
      <c r="T598" s="3" t="s">
        <v>38</v>
      </c>
      <c r="U598" s="3" t="s">
        <v>39</v>
      </c>
      <c r="V598" s="3">
        <v>65.430000000000007</v>
      </c>
      <c r="W598" s="3">
        <v>27.81</v>
      </c>
      <c r="X598" s="3">
        <v>26.34</v>
      </c>
      <c r="Y598" s="3">
        <v>11.28</v>
      </c>
    </row>
    <row r="599" spans="1:25" ht="60.75" x14ac:dyDescent="0.25">
      <c r="A599" s="3" t="s">
        <v>26</v>
      </c>
      <c r="B599" s="3" t="s">
        <v>27</v>
      </c>
      <c r="C599" s="3" t="s">
        <v>28</v>
      </c>
      <c r="D599" s="3" t="s">
        <v>29</v>
      </c>
      <c r="E599" s="3" t="s">
        <v>119</v>
      </c>
      <c r="F599" s="3" t="s">
        <v>31</v>
      </c>
      <c r="G599" s="3" t="s">
        <v>119</v>
      </c>
      <c r="H599" s="3" t="s">
        <v>96</v>
      </c>
      <c r="I599" s="3">
        <v>2025</v>
      </c>
      <c r="J599" s="3" t="str">
        <f>CONCATENATE("54820052683")</f>
        <v>54820052683</v>
      </c>
      <c r="K599" s="3" t="s">
        <v>33</v>
      </c>
      <c r="L599" s="3"/>
      <c r="M599" s="3" t="s">
        <v>131</v>
      </c>
      <c r="N599" s="3" t="str">
        <f>CONCATENATE("LRNMRZ79P03A462M")</f>
        <v>LRNMRZ79P03A462M</v>
      </c>
      <c r="O599" s="3" t="s">
        <v>720</v>
      </c>
      <c r="P599" s="3" t="s">
        <v>36</v>
      </c>
      <c r="Q599" s="3"/>
      <c r="R599" s="4">
        <v>45996</v>
      </c>
      <c r="S599" s="3" t="s">
        <v>37</v>
      </c>
      <c r="T599" s="3" t="s">
        <v>38</v>
      </c>
      <c r="U599" s="3" t="s">
        <v>39</v>
      </c>
      <c r="V599" s="3">
        <v>122.67</v>
      </c>
      <c r="W599" s="3">
        <v>52.13</v>
      </c>
      <c r="X599" s="3">
        <v>49.37</v>
      </c>
      <c r="Y599" s="3">
        <v>21.17</v>
      </c>
    </row>
    <row r="600" spans="1:25" ht="60.75" x14ac:dyDescent="0.25">
      <c r="A600" s="3" t="s">
        <v>26</v>
      </c>
      <c r="B600" s="3" t="s">
        <v>27</v>
      </c>
      <c r="C600" s="3" t="s">
        <v>28</v>
      </c>
      <c r="D600" s="3" t="s">
        <v>29</v>
      </c>
      <c r="E600" s="3" t="s">
        <v>101</v>
      </c>
      <c r="F600" s="3" t="s">
        <v>31</v>
      </c>
      <c r="G600" s="3" t="s">
        <v>101</v>
      </c>
      <c r="H600" s="3" t="s">
        <v>32</v>
      </c>
      <c r="I600" s="3">
        <v>2025</v>
      </c>
      <c r="J600" s="3" t="str">
        <f>CONCATENATE("54820081203")</f>
        <v>54820081203</v>
      </c>
      <c r="K600" s="3" t="s">
        <v>33</v>
      </c>
      <c r="L600" s="3"/>
      <c r="M600" s="3" t="s">
        <v>131</v>
      </c>
      <c r="N600" s="3" t="str">
        <f>CONCATENATE("CRVFST67T06I156R")</f>
        <v>CRVFST67T06I156R</v>
      </c>
      <c r="O600" s="3" t="s">
        <v>721</v>
      </c>
      <c r="P600" s="3" t="s">
        <v>36</v>
      </c>
      <c r="Q600" s="3"/>
      <c r="R600" s="4">
        <v>45996</v>
      </c>
      <c r="S600" s="3" t="s">
        <v>37</v>
      </c>
      <c r="T600" s="3" t="s">
        <v>38</v>
      </c>
      <c r="U600" s="3" t="s">
        <v>39</v>
      </c>
      <c r="V600" s="3">
        <v>283.56</v>
      </c>
      <c r="W600" s="3">
        <v>120.51</v>
      </c>
      <c r="X600" s="3">
        <v>114.13</v>
      </c>
      <c r="Y600" s="3">
        <v>48.92</v>
      </c>
    </row>
    <row r="601" spans="1:25" ht="60.75" x14ac:dyDescent="0.25">
      <c r="A601" s="3" t="s">
        <v>26</v>
      </c>
      <c r="B601" s="3" t="s">
        <v>27</v>
      </c>
      <c r="C601" s="3" t="s">
        <v>28</v>
      </c>
      <c r="D601" s="3" t="s">
        <v>29</v>
      </c>
      <c r="E601" s="3" t="s">
        <v>228</v>
      </c>
      <c r="F601" s="3" t="s">
        <v>31</v>
      </c>
      <c r="G601" s="3" t="s">
        <v>228</v>
      </c>
      <c r="H601" s="3" t="s">
        <v>45</v>
      </c>
      <c r="I601" s="3">
        <v>2025</v>
      </c>
      <c r="J601" s="3" t="str">
        <f>CONCATENATE("54820047626")</f>
        <v>54820047626</v>
      </c>
      <c r="K601" s="3" t="s">
        <v>33</v>
      </c>
      <c r="L601" s="3"/>
      <c r="M601" s="3" t="s">
        <v>131</v>
      </c>
      <c r="N601" s="3" t="str">
        <f>CONCATENATE("LBRLRT74R28D749Q")</f>
        <v>LBRLRT74R28D749Q</v>
      </c>
      <c r="O601" s="3" t="s">
        <v>722</v>
      </c>
      <c r="P601" s="3" t="s">
        <v>36</v>
      </c>
      <c r="Q601" s="3"/>
      <c r="R601" s="4">
        <v>45996</v>
      </c>
      <c r="S601" s="3" t="s">
        <v>37</v>
      </c>
      <c r="T601" s="3" t="s">
        <v>38</v>
      </c>
      <c r="U601" s="3" t="s">
        <v>39</v>
      </c>
      <c r="V601" s="3">
        <v>253.1</v>
      </c>
      <c r="W601" s="3">
        <v>107.57</v>
      </c>
      <c r="X601" s="3">
        <v>101.87</v>
      </c>
      <c r="Y601" s="3">
        <v>43.66</v>
      </c>
    </row>
    <row r="602" spans="1:25" ht="60.75" x14ac:dyDescent="0.25">
      <c r="A602" s="3" t="s">
        <v>26</v>
      </c>
      <c r="B602" s="3" t="s">
        <v>27</v>
      </c>
      <c r="C602" s="3" t="s">
        <v>28</v>
      </c>
      <c r="D602" s="3" t="s">
        <v>50</v>
      </c>
      <c r="E602" s="3" t="s">
        <v>173</v>
      </c>
      <c r="F602" s="3" t="s">
        <v>52</v>
      </c>
      <c r="G602" s="3" t="s">
        <v>173</v>
      </c>
      <c r="H602" s="3" t="s">
        <v>45</v>
      </c>
      <c r="I602" s="3">
        <v>2025</v>
      </c>
      <c r="J602" s="3" t="str">
        <f>CONCATENATE("54820065289")</f>
        <v>54820065289</v>
      </c>
      <c r="K602" s="3" t="s">
        <v>33</v>
      </c>
      <c r="L602" s="3"/>
      <c r="M602" s="3" t="s">
        <v>131</v>
      </c>
      <c r="N602" s="3" t="str">
        <f>CONCATENATE("FLNLCN56A27H501C")</f>
        <v>FLNLCN56A27H501C</v>
      </c>
      <c r="O602" s="3" t="s">
        <v>723</v>
      </c>
      <c r="P602" s="3" t="s">
        <v>36</v>
      </c>
      <c r="Q602" s="3"/>
      <c r="R602" s="4">
        <v>45996</v>
      </c>
      <c r="S602" s="3" t="s">
        <v>37</v>
      </c>
      <c r="T602" s="3" t="s">
        <v>38</v>
      </c>
      <c r="U602" s="3" t="s">
        <v>39</v>
      </c>
      <c r="V602" s="3">
        <v>155.47999999999999</v>
      </c>
      <c r="W602" s="3">
        <v>66.08</v>
      </c>
      <c r="X602" s="3">
        <v>62.58</v>
      </c>
      <c r="Y602" s="3">
        <v>26.82</v>
      </c>
    </row>
    <row r="603" spans="1:25" ht="60.75" x14ac:dyDescent="0.25">
      <c r="A603" s="3" t="s">
        <v>26</v>
      </c>
      <c r="B603" s="3" t="s">
        <v>27</v>
      </c>
      <c r="C603" s="3" t="s">
        <v>28</v>
      </c>
      <c r="D603" s="3" t="s">
        <v>29</v>
      </c>
      <c r="E603" s="3" t="s">
        <v>186</v>
      </c>
      <c r="F603" s="3" t="s">
        <v>31</v>
      </c>
      <c r="G603" s="3" t="s">
        <v>186</v>
      </c>
      <c r="H603" s="3" t="s">
        <v>45</v>
      </c>
      <c r="I603" s="3">
        <v>2025</v>
      </c>
      <c r="J603" s="3" t="str">
        <f>CONCATENATE("54820041546")</f>
        <v>54820041546</v>
      </c>
      <c r="K603" s="3" t="s">
        <v>33</v>
      </c>
      <c r="L603" s="3"/>
      <c r="M603" s="3" t="s">
        <v>131</v>
      </c>
      <c r="N603" s="3" t="str">
        <f>CONCATENATE("VNNDNC48D29F524O")</f>
        <v>VNNDNC48D29F524O</v>
      </c>
      <c r="O603" s="3" t="s">
        <v>724</v>
      </c>
      <c r="P603" s="3" t="s">
        <v>36</v>
      </c>
      <c r="Q603" s="3"/>
      <c r="R603" s="4">
        <v>45996</v>
      </c>
      <c r="S603" s="3" t="s">
        <v>37</v>
      </c>
      <c r="T603" s="3" t="s">
        <v>38</v>
      </c>
      <c r="U603" s="3" t="s">
        <v>39</v>
      </c>
      <c r="V603" s="3">
        <v>290.79000000000002</v>
      </c>
      <c r="W603" s="3">
        <v>123.59</v>
      </c>
      <c r="X603" s="3">
        <v>117.04</v>
      </c>
      <c r="Y603" s="3">
        <v>50.16</v>
      </c>
    </row>
    <row r="604" spans="1:25" ht="60.75" x14ac:dyDescent="0.25">
      <c r="A604" s="3" t="s">
        <v>26</v>
      </c>
      <c r="B604" s="3" t="s">
        <v>27</v>
      </c>
      <c r="C604" s="3" t="s">
        <v>28</v>
      </c>
      <c r="D604" s="3" t="s">
        <v>50</v>
      </c>
      <c r="E604" s="3" t="s">
        <v>147</v>
      </c>
      <c r="F604" s="3" t="s">
        <v>52</v>
      </c>
      <c r="G604" s="3" t="s">
        <v>147</v>
      </c>
      <c r="H604" s="3" t="s">
        <v>45</v>
      </c>
      <c r="I604" s="3">
        <v>2025</v>
      </c>
      <c r="J604" s="3" t="str">
        <f>CONCATENATE("54820087234")</f>
        <v>54820087234</v>
      </c>
      <c r="K604" s="3" t="s">
        <v>33</v>
      </c>
      <c r="L604" s="3"/>
      <c r="M604" s="3" t="s">
        <v>131</v>
      </c>
      <c r="N604" s="3" t="str">
        <f>CONCATENATE("GLNGNN78D26L500D")</f>
        <v>GLNGNN78D26L500D</v>
      </c>
      <c r="O604" s="3" t="s">
        <v>725</v>
      </c>
      <c r="P604" s="3" t="s">
        <v>36</v>
      </c>
      <c r="Q604" s="3"/>
      <c r="R604" s="4">
        <v>45996</v>
      </c>
      <c r="S604" s="3" t="s">
        <v>37</v>
      </c>
      <c r="T604" s="3" t="s">
        <v>38</v>
      </c>
      <c r="U604" s="3" t="s">
        <v>39</v>
      </c>
      <c r="V604" s="3">
        <v>57.39</v>
      </c>
      <c r="W604" s="3">
        <v>24.39</v>
      </c>
      <c r="X604" s="3">
        <v>23.1</v>
      </c>
      <c r="Y604" s="3">
        <v>9.9</v>
      </c>
    </row>
    <row r="605" spans="1:25" ht="60.75" x14ac:dyDescent="0.25">
      <c r="A605" s="3" t="s">
        <v>26</v>
      </c>
      <c r="B605" s="3" t="s">
        <v>27</v>
      </c>
      <c r="C605" s="3" t="s">
        <v>28</v>
      </c>
      <c r="D605" s="3" t="s">
        <v>29</v>
      </c>
      <c r="E605" s="3" t="s">
        <v>136</v>
      </c>
      <c r="F605" s="3" t="s">
        <v>31</v>
      </c>
      <c r="G605" s="3" t="s">
        <v>136</v>
      </c>
      <c r="H605" s="3" t="s">
        <v>48</v>
      </c>
      <c r="I605" s="3">
        <v>2025</v>
      </c>
      <c r="J605" s="3" t="str">
        <f>CONCATENATE("54820069554")</f>
        <v>54820069554</v>
      </c>
      <c r="K605" s="3" t="s">
        <v>33</v>
      </c>
      <c r="L605" s="3"/>
      <c r="M605" s="3" t="s">
        <v>131</v>
      </c>
      <c r="N605" s="3" t="str">
        <f>CONCATENATE("BRGLFA62C10D965T")</f>
        <v>BRGLFA62C10D965T</v>
      </c>
      <c r="O605" s="3" t="s">
        <v>726</v>
      </c>
      <c r="P605" s="3" t="s">
        <v>36</v>
      </c>
      <c r="Q605" s="3"/>
      <c r="R605" s="4">
        <v>45996</v>
      </c>
      <c r="S605" s="3" t="s">
        <v>37</v>
      </c>
      <c r="T605" s="3" t="s">
        <v>38</v>
      </c>
      <c r="U605" s="3" t="s">
        <v>39</v>
      </c>
      <c r="V605" s="3">
        <v>58.86</v>
      </c>
      <c r="W605" s="3">
        <v>25.02</v>
      </c>
      <c r="X605" s="3">
        <v>23.69</v>
      </c>
      <c r="Y605" s="3">
        <v>10.15</v>
      </c>
    </row>
    <row r="606" spans="1:25" ht="36.75" x14ac:dyDescent="0.25">
      <c r="A606" s="3" t="s">
        <v>26</v>
      </c>
      <c r="B606" s="3" t="s">
        <v>27</v>
      </c>
      <c r="C606" s="3" t="s">
        <v>28</v>
      </c>
      <c r="D606" s="3" t="s">
        <v>50</v>
      </c>
      <c r="E606" s="3" t="s">
        <v>252</v>
      </c>
      <c r="F606" s="3" t="s">
        <v>52</v>
      </c>
      <c r="G606" s="3" t="s">
        <v>252</v>
      </c>
      <c r="H606" s="3" t="s">
        <v>45</v>
      </c>
      <c r="I606" s="3">
        <v>2025</v>
      </c>
      <c r="J606" s="3" t="str">
        <f>CONCATENATE("54820090675")</f>
        <v>54820090675</v>
      </c>
      <c r="K606" s="3" t="s">
        <v>33</v>
      </c>
      <c r="L606" s="3"/>
      <c r="M606" s="3" t="s">
        <v>131</v>
      </c>
      <c r="N606" s="3" t="str">
        <f>CONCATENATE("02445630417")</f>
        <v>02445630417</v>
      </c>
      <c r="O606" s="3" t="s">
        <v>727</v>
      </c>
      <c r="P606" s="3" t="s">
        <v>36</v>
      </c>
      <c r="Q606" s="3"/>
      <c r="R606" s="4">
        <v>45996</v>
      </c>
      <c r="S606" s="3" t="s">
        <v>37</v>
      </c>
      <c r="T606" s="3" t="s">
        <v>38</v>
      </c>
      <c r="U606" s="3" t="s">
        <v>39</v>
      </c>
      <c r="V606" s="3">
        <v>187.71</v>
      </c>
      <c r="W606" s="3">
        <v>79.78</v>
      </c>
      <c r="X606" s="3">
        <v>75.55</v>
      </c>
      <c r="Y606" s="3">
        <v>32.380000000000003</v>
      </c>
    </row>
    <row r="607" spans="1:25" ht="60.75" x14ac:dyDescent="0.25">
      <c r="A607" s="3" t="s">
        <v>26</v>
      </c>
      <c r="B607" s="3" t="s">
        <v>27</v>
      </c>
      <c r="C607" s="3" t="s">
        <v>28</v>
      </c>
      <c r="D607" s="3" t="s">
        <v>50</v>
      </c>
      <c r="E607" s="3" t="s">
        <v>147</v>
      </c>
      <c r="F607" s="3" t="s">
        <v>52</v>
      </c>
      <c r="G607" s="3" t="s">
        <v>147</v>
      </c>
      <c r="H607" s="3" t="s">
        <v>45</v>
      </c>
      <c r="I607" s="3">
        <v>2025</v>
      </c>
      <c r="J607" s="3" t="str">
        <f>CONCATENATE("54820070255")</f>
        <v>54820070255</v>
      </c>
      <c r="K607" s="3" t="s">
        <v>33</v>
      </c>
      <c r="L607" s="3"/>
      <c r="M607" s="3" t="s">
        <v>131</v>
      </c>
      <c r="N607" s="3" t="str">
        <f>CONCATENATE("BLDGCM01M17H294F")</f>
        <v>BLDGCM01M17H294F</v>
      </c>
      <c r="O607" s="3" t="s">
        <v>728</v>
      </c>
      <c r="P607" s="3" t="s">
        <v>36</v>
      </c>
      <c r="Q607" s="3"/>
      <c r="R607" s="4">
        <v>45996</v>
      </c>
      <c r="S607" s="3" t="s">
        <v>37</v>
      </c>
      <c r="T607" s="3" t="s">
        <v>38</v>
      </c>
      <c r="U607" s="3" t="s">
        <v>39</v>
      </c>
      <c r="V607" s="3">
        <v>124.83</v>
      </c>
      <c r="W607" s="3">
        <v>53.05</v>
      </c>
      <c r="X607" s="3">
        <v>50.24</v>
      </c>
      <c r="Y607" s="3">
        <v>21.54</v>
      </c>
    </row>
    <row r="608" spans="1:25" ht="60.75" x14ac:dyDescent="0.25">
      <c r="A608" s="3" t="s">
        <v>26</v>
      </c>
      <c r="B608" s="3" t="s">
        <v>27</v>
      </c>
      <c r="C608" s="3" t="s">
        <v>28</v>
      </c>
      <c r="D608" s="3" t="s">
        <v>29</v>
      </c>
      <c r="E608" s="3" t="s">
        <v>47</v>
      </c>
      <c r="F608" s="3" t="s">
        <v>31</v>
      </c>
      <c r="G608" s="3" t="s">
        <v>47</v>
      </c>
      <c r="H608" s="3" t="s">
        <v>48</v>
      </c>
      <c r="I608" s="3">
        <v>2025</v>
      </c>
      <c r="J608" s="3" t="str">
        <f>CONCATENATE("54820057880")</f>
        <v>54820057880</v>
      </c>
      <c r="K608" s="3" t="s">
        <v>33</v>
      </c>
      <c r="L608" s="3"/>
      <c r="M608" s="3" t="s">
        <v>131</v>
      </c>
      <c r="N608" s="3" t="str">
        <f>CONCATENATE("VSCGLN51T07C704Z")</f>
        <v>VSCGLN51T07C704Z</v>
      </c>
      <c r="O608" s="3" t="s">
        <v>729</v>
      </c>
      <c r="P608" s="3" t="s">
        <v>36</v>
      </c>
      <c r="Q608" s="3"/>
      <c r="R608" s="4">
        <v>45996</v>
      </c>
      <c r="S608" s="3" t="s">
        <v>37</v>
      </c>
      <c r="T608" s="3" t="s">
        <v>38</v>
      </c>
      <c r="U608" s="3" t="s">
        <v>39</v>
      </c>
      <c r="V608" s="3">
        <v>188.46</v>
      </c>
      <c r="W608" s="3">
        <v>80.099999999999994</v>
      </c>
      <c r="X608" s="3">
        <v>75.86</v>
      </c>
      <c r="Y608" s="3">
        <v>32.5</v>
      </c>
    </row>
    <row r="609" spans="1:25" ht="72.75" x14ac:dyDescent="0.25">
      <c r="A609" s="3" t="s">
        <v>26</v>
      </c>
      <c r="B609" s="3" t="s">
        <v>27</v>
      </c>
      <c r="C609" s="3" t="s">
        <v>28</v>
      </c>
      <c r="D609" s="3" t="s">
        <v>29</v>
      </c>
      <c r="E609" s="3" t="s">
        <v>56</v>
      </c>
      <c r="F609" s="3" t="s">
        <v>31</v>
      </c>
      <c r="G609" s="3" t="s">
        <v>56</v>
      </c>
      <c r="H609" s="3" t="s">
        <v>32</v>
      </c>
      <c r="I609" s="3">
        <v>2025</v>
      </c>
      <c r="J609" s="3" t="str">
        <f>CONCATENATE("54820287842")</f>
        <v>54820287842</v>
      </c>
      <c r="K609" s="3" t="s">
        <v>33</v>
      </c>
      <c r="L609" s="3"/>
      <c r="M609" s="3" t="s">
        <v>131</v>
      </c>
      <c r="N609" s="3" t="str">
        <f>CONCATENATE("ZFFBCM57D68G637W")</f>
        <v>ZFFBCM57D68G637W</v>
      </c>
      <c r="O609" s="3" t="s">
        <v>730</v>
      </c>
      <c r="P609" s="3" t="s">
        <v>36</v>
      </c>
      <c r="Q609" s="3"/>
      <c r="R609" s="4">
        <v>45996</v>
      </c>
      <c r="S609" s="3" t="s">
        <v>37</v>
      </c>
      <c r="T609" s="3" t="s">
        <v>38</v>
      </c>
      <c r="U609" s="3" t="s">
        <v>39</v>
      </c>
      <c r="V609" s="5">
        <v>2694.61</v>
      </c>
      <c r="W609" s="5">
        <v>1145.21</v>
      </c>
      <c r="X609" s="5">
        <v>1084.58</v>
      </c>
      <c r="Y609" s="3">
        <v>464.82</v>
      </c>
    </row>
    <row r="610" spans="1:25" ht="60.75" x14ac:dyDescent="0.25">
      <c r="A610" s="3" t="s">
        <v>26</v>
      </c>
      <c r="B610" s="3" t="s">
        <v>27</v>
      </c>
      <c r="C610" s="3" t="s">
        <v>28</v>
      </c>
      <c r="D610" s="3" t="s">
        <v>29</v>
      </c>
      <c r="E610" s="3" t="s">
        <v>182</v>
      </c>
      <c r="F610" s="3" t="s">
        <v>31</v>
      </c>
      <c r="G610" s="3" t="s">
        <v>182</v>
      </c>
      <c r="H610" s="3" t="s">
        <v>45</v>
      </c>
      <c r="I610" s="3">
        <v>2025</v>
      </c>
      <c r="J610" s="3" t="str">
        <f>CONCATENATE("54820089008")</f>
        <v>54820089008</v>
      </c>
      <c r="K610" s="3" t="s">
        <v>33</v>
      </c>
      <c r="L610" s="3"/>
      <c r="M610" s="3" t="s">
        <v>131</v>
      </c>
      <c r="N610" s="3" t="str">
        <f>CONCATENATE("CCCGEA49C44I459C")</f>
        <v>CCCGEA49C44I459C</v>
      </c>
      <c r="O610" s="3" t="s">
        <v>731</v>
      </c>
      <c r="P610" s="3" t="s">
        <v>36</v>
      </c>
      <c r="Q610" s="3"/>
      <c r="R610" s="4">
        <v>45996</v>
      </c>
      <c r="S610" s="3" t="s">
        <v>37</v>
      </c>
      <c r="T610" s="3" t="s">
        <v>38</v>
      </c>
      <c r="U610" s="3" t="s">
        <v>39</v>
      </c>
      <c r="V610" s="3">
        <v>473.5</v>
      </c>
      <c r="W610" s="3">
        <v>201.24</v>
      </c>
      <c r="X610" s="3">
        <v>190.58</v>
      </c>
      <c r="Y610" s="3">
        <v>81.680000000000007</v>
      </c>
    </row>
    <row r="611" spans="1:25" ht="60.75" x14ac:dyDescent="0.25">
      <c r="A611" s="3" t="s">
        <v>26</v>
      </c>
      <c r="B611" s="3" t="s">
        <v>27</v>
      </c>
      <c r="C611" s="3" t="s">
        <v>28</v>
      </c>
      <c r="D611" s="3" t="s">
        <v>29</v>
      </c>
      <c r="E611" s="3" t="s">
        <v>476</v>
      </c>
      <c r="F611" s="3" t="s">
        <v>31</v>
      </c>
      <c r="G611" s="3" t="s">
        <v>476</v>
      </c>
      <c r="H611" s="3" t="s">
        <v>48</v>
      </c>
      <c r="I611" s="3">
        <v>2025</v>
      </c>
      <c r="J611" s="3" t="str">
        <f>CONCATENATE("54820109533")</f>
        <v>54820109533</v>
      </c>
      <c r="K611" s="3" t="s">
        <v>33</v>
      </c>
      <c r="L611" s="3"/>
      <c r="M611" s="3" t="s">
        <v>131</v>
      </c>
      <c r="N611" s="3" t="str">
        <f>CONCATENATE("CMRCLD68S07I653R")</f>
        <v>CMRCLD68S07I653R</v>
      </c>
      <c r="O611" s="3" t="s">
        <v>732</v>
      </c>
      <c r="P611" s="3" t="s">
        <v>36</v>
      </c>
      <c r="Q611" s="3"/>
      <c r="R611" s="4">
        <v>45996</v>
      </c>
      <c r="S611" s="3" t="s">
        <v>37</v>
      </c>
      <c r="T611" s="3" t="s">
        <v>38</v>
      </c>
      <c r="U611" s="3" t="s">
        <v>39</v>
      </c>
      <c r="V611" s="3">
        <v>231.23</v>
      </c>
      <c r="W611" s="3">
        <v>98.27</v>
      </c>
      <c r="X611" s="3">
        <v>93.07</v>
      </c>
      <c r="Y611" s="3">
        <v>39.89</v>
      </c>
    </row>
    <row r="612" spans="1:25" ht="36.75" x14ac:dyDescent="0.25">
      <c r="A612" s="3" t="s">
        <v>26</v>
      </c>
      <c r="B612" s="3" t="s">
        <v>27</v>
      </c>
      <c r="C612" s="3" t="s">
        <v>28</v>
      </c>
      <c r="D612" s="3" t="s">
        <v>29</v>
      </c>
      <c r="E612" s="3" t="s">
        <v>186</v>
      </c>
      <c r="F612" s="3" t="s">
        <v>31</v>
      </c>
      <c r="G612" s="3" t="s">
        <v>186</v>
      </c>
      <c r="H612" s="3" t="s">
        <v>45</v>
      </c>
      <c r="I612" s="3">
        <v>2025</v>
      </c>
      <c r="J612" s="3" t="str">
        <f>CONCATENATE("54820044201")</f>
        <v>54820044201</v>
      </c>
      <c r="K612" s="3" t="s">
        <v>33</v>
      </c>
      <c r="L612" s="3"/>
      <c r="M612" s="3" t="s">
        <v>131</v>
      </c>
      <c r="N612" s="3" t="str">
        <f>CONCATENATE("02636250413")</f>
        <v>02636250413</v>
      </c>
      <c r="O612" s="3" t="s">
        <v>733</v>
      </c>
      <c r="P612" s="3" t="s">
        <v>36</v>
      </c>
      <c r="Q612" s="3"/>
      <c r="R612" s="4">
        <v>45996</v>
      </c>
      <c r="S612" s="3" t="s">
        <v>37</v>
      </c>
      <c r="T612" s="3" t="s">
        <v>38</v>
      </c>
      <c r="U612" s="3" t="s">
        <v>39</v>
      </c>
      <c r="V612" s="5">
        <v>1054.69</v>
      </c>
      <c r="W612" s="3">
        <v>448.24</v>
      </c>
      <c r="X612" s="3">
        <v>424.51</v>
      </c>
      <c r="Y612" s="3">
        <v>181.94</v>
      </c>
    </row>
    <row r="613" spans="1:25" ht="60.75" x14ac:dyDescent="0.25">
      <c r="A613" s="3" t="s">
        <v>26</v>
      </c>
      <c r="B613" s="3" t="s">
        <v>27</v>
      </c>
      <c r="C613" s="3" t="s">
        <v>28</v>
      </c>
      <c r="D613" s="3" t="s">
        <v>29</v>
      </c>
      <c r="E613" s="3" t="s">
        <v>182</v>
      </c>
      <c r="F613" s="3" t="s">
        <v>31</v>
      </c>
      <c r="G613" s="3" t="s">
        <v>182</v>
      </c>
      <c r="H613" s="3" t="s">
        <v>45</v>
      </c>
      <c r="I613" s="3">
        <v>2025</v>
      </c>
      <c r="J613" s="3" t="str">
        <f>CONCATENATE("54820088620")</f>
        <v>54820088620</v>
      </c>
      <c r="K613" s="3" t="s">
        <v>33</v>
      </c>
      <c r="L613" s="3"/>
      <c r="M613" s="3" t="s">
        <v>131</v>
      </c>
      <c r="N613" s="3" t="str">
        <f>CONCATENATE("CRNMRS52L60L500B")</f>
        <v>CRNMRS52L60L500B</v>
      </c>
      <c r="O613" s="3" t="s">
        <v>734</v>
      </c>
      <c r="P613" s="3" t="s">
        <v>36</v>
      </c>
      <c r="Q613" s="3"/>
      <c r="R613" s="4">
        <v>45996</v>
      </c>
      <c r="S613" s="3" t="s">
        <v>37</v>
      </c>
      <c r="T613" s="3" t="s">
        <v>38</v>
      </c>
      <c r="U613" s="3" t="s">
        <v>39</v>
      </c>
      <c r="V613" s="3">
        <v>63.9</v>
      </c>
      <c r="W613" s="3">
        <v>27.16</v>
      </c>
      <c r="X613" s="3">
        <v>25.72</v>
      </c>
      <c r="Y613" s="3">
        <v>11.02</v>
      </c>
    </row>
    <row r="614" spans="1:25" ht="60.75" x14ac:dyDescent="0.25">
      <c r="A614" s="3" t="s">
        <v>26</v>
      </c>
      <c r="B614" s="3" t="s">
        <v>27</v>
      </c>
      <c r="C614" s="3" t="s">
        <v>28</v>
      </c>
      <c r="D614" s="3" t="s">
        <v>29</v>
      </c>
      <c r="E614" s="3" t="s">
        <v>80</v>
      </c>
      <c r="F614" s="3" t="s">
        <v>31</v>
      </c>
      <c r="G614" s="3" t="s">
        <v>80</v>
      </c>
      <c r="H614" s="3" t="s">
        <v>45</v>
      </c>
      <c r="I614" s="3">
        <v>2025</v>
      </c>
      <c r="J614" s="3" t="str">
        <f>CONCATENATE("54820080957")</f>
        <v>54820080957</v>
      </c>
      <c r="K614" s="3" t="s">
        <v>33</v>
      </c>
      <c r="L614" s="3"/>
      <c r="M614" s="3" t="s">
        <v>131</v>
      </c>
      <c r="N614" s="3" t="str">
        <f>CONCATENATE("PDLLCN39P17D809P")</f>
        <v>PDLLCN39P17D809P</v>
      </c>
      <c r="O614" s="3" t="s">
        <v>735</v>
      </c>
      <c r="P614" s="3" t="s">
        <v>36</v>
      </c>
      <c r="Q614" s="3"/>
      <c r="R614" s="4">
        <v>45996</v>
      </c>
      <c r="S614" s="3" t="s">
        <v>37</v>
      </c>
      <c r="T614" s="3" t="s">
        <v>38</v>
      </c>
      <c r="U614" s="3" t="s">
        <v>39</v>
      </c>
      <c r="V614" s="3">
        <v>85.91</v>
      </c>
      <c r="W614" s="3">
        <v>36.51</v>
      </c>
      <c r="X614" s="3">
        <v>34.58</v>
      </c>
      <c r="Y614" s="3">
        <v>14.82</v>
      </c>
    </row>
    <row r="615" spans="1:25" ht="60.75" x14ac:dyDescent="0.25">
      <c r="A615" s="3" t="s">
        <v>26</v>
      </c>
      <c r="B615" s="3" t="s">
        <v>27</v>
      </c>
      <c r="C615" s="3" t="s">
        <v>28</v>
      </c>
      <c r="D615" s="3" t="s">
        <v>50</v>
      </c>
      <c r="E615" s="3" t="s">
        <v>147</v>
      </c>
      <c r="F615" s="3" t="s">
        <v>52</v>
      </c>
      <c r="G615" s="3" t="s">
        <v>147</v>
      </c>
      <c r="H615" s="3" t="s">
        <v>45</v>
      </c>
      <c r="I615" s="3">
        <v>2025</v>
      </c>
      <c r="J615" s="3" t="str">
        <f>CONCATENATE("54820151055")</f>
        <v>54820151055</v>
      </c>
      <c r="K615" s="3" t="s">
        <v>33</v>
      </c>
      <c r="L615" s="3"/>
      <c r="M615" s="3" t="s">
        <v>131</v>
      </c>
      <c r="N615" s="3" t="str">
        <f>CONCATENATE("GRLPLA70D66F205T")</f>
        <v>GRLPLA70D66F205T</v>
      </c>
      <c r="O615" s="3" t="s">
        <v>736</v>
      </c>
      <c r="P615" s="3" t="s">
        <v>36</v>
      </c>
      <c r="Q615" s="3"/>
      <c r="R615" s="4">
        <v>45996</v>
      </c>
      <c r="S615" s="3" t="s">
        <v>37</v>
      </c>
      <c r="T615" s="3" t="s">
        <v>38</v>
      </c>
      <c r="U615" s="3" t="s">
        <v>39</v>
      </c>
      <c r="V615" s="3">
        <v>230.49</v>
      </c>
      <c r="W615" s="3">
        <v>97.96</v>
      </c>
      <c r="X615" s="3">
        <v>92.77</v>
      </c>
      <c r="Y615" s="3">
        <v>39.76</v>
      </c>
    </row>
    <row r="616" spans="1:25" ht="36.75" x14ac:dyDescent="0.25">
      <c r="A616" s="3" t="s">
        <v>26</v>
      </c>
      <c r="B616" s="3" t="s">
        <v>27</v>
      </c>
      <c r="C616" s="3" t="s">
        <v>28</v>
      </c>
      <c r="D616" s="3" t="s">
        <v>50</v>
      </c>
      <c r="E616" s="3" t="s">
        <v>252</v>
      </c>
      <c r="F616" s="3" t="s">
        <v>52</v>
      </c>
      <c r="G616" s="3" t="s">
        <v>252</v>
      </c>
      <c r="H616" s="3" t="s">
        <v>45</v>
      </c>
      <c r="I616" s="3">
        <v>2025</v>
      </c>
      <c r="J616" s="3" t="str">
        <f>CONCATENATE("54820171491")</f>
        <v>54820171491</v>
      </c>
      <c r="K616" s="3" t="s">
        <v>33</v>
      </c>
      <c r="L616" s="3"/>
      <c r="M616" s="3" t="s">
        <v>131</v>
      </c>
      <c r="N616" s="3" t="str">
        <f>CONCATENATE("02651380418")</f>
        <v>02651380418</v>
      </c>
      <c r="O616" s="3" t="s">
        <v>737</v>
      </c>
      <c r="P616" s="3" t="s">
        <v>36</v>
      </c>
      <c r="Q616" s="3"/>
      <c r="R616" s="4">
        <v>45996</v>
      </c>
      <c r="S616" s="3" t="s">
        <v>37</v>
      </c>
      <c r="T616" s="3" t="s">
        <v>38</v>
      </c>
      <c r="U616" s="3" t="s">
        <v>39</v>
      </c>
      <c r="V616" s="3">
        <v>183.76</v>
      </c>
      <c r="W616" s="3">
        <v>78.099999999999994</v>
      </c>
      <c r="X616" s="3">
        <v>73.959999999999994</v>
      </c>
      <c r="Y616" s="3">
        <v>31.7</v>
      </c>
    </row>
    <row r="617" spans="1:25" ht="60.75" x14ac:dyDescent="0.25">
      <c r="A617" s="3" t="s">
        <v>26</v>
      </c>
      <c r="B617" s="3" t="s">
        <v>27</v>
      </c>
      <c r="C617" s="3" t="s">
        <v>28</v>
      </c>
      <c r="D617" s="3" t="s">
        <v>50</v>
      </c>
      <c r="E617" s="3" t="s">
        <v>149</v>
      </c>
      <c r="F617" s="3" t="s">
        <v>52</v>
      </c>
      <c r="G617" s="3" t="s">
        <v>149</v>
      </c>
      <c r="H617" s="3" t="s">
        <v>96</v>
      </c>
      <c r="I617" s="3">
        <v>2025</v>
      </c>
      <c r="J617" s="3" t="str">
        <f>CONCATENATE("54820168547")</f>
        <v>54820168547</v>
      </c>
      <c r="K617" s="3" t="s">
        <v>33</v>
      </c>
      <c r="L617" s="3"/>
      <c r="M617" s="3" t="s">
        <v>131</v>
      </c>
      <c r="N617" s="3" t="str">
        <f>CONCATENATE("PLOMHL75B68A462C")</f>
        <v>PLOMHL75B68A462C</v>
      </c>
      <c r="O617" s="3" t="s">
        <v>738</v>
      </c>
      <c r="P617" s="3" t="s">
        <v>36</v>
      </c>
      <c r="Q617" s="3"/>
      <c r="R617" s="4">
        <v>45996</v>
      </c>
      <c r="S617" s="3" t="s">
        <v>37</v>
      </c>
      <c r="T617" s="3" t="s">
        <v>38</v>
      </c>
      <c r="U617" s="3" t="s">
        <v>39</v>
      </c>
      <c r="V617" s="3">
        <v>419.02</v>
      </c>
      <c r="W617" s="3">
        <v>178.08</v>
      </c>
      <c r="X617" s="3">
        <v>168.66</v>
      </c>
      <c r="Y617" s="3">
        <v>72.28</v>
      </c>
    </row>
    <row r="618" spans="1:25" ht="36.75" x14ac:dyDescent="0.25">
      <c r="A618" s="3" t="s">
        <v>26</v>
      </c>
      <c r="B618" s="3" t="s">
        <v>27</v>
      </c>
      <c r="C618" s="3" t="s">
        <v>28</v>
      </c>
      <c r="D618" s="3" t="s">
        <v>50</v>
      </c>
      <c r="E618" s="3" t="s">
        <v>60</v>
      </c>
      <c r="F618" s="3" t="s">
        <v>52</v>
      </c>
      <c r="G618" s="3" t="s">
        <v>60</v>
      </c>
      <c r="H618" s="3" t="s">
        <v>45</v>
      </c>
      <c r="I618" s="3">
        <v>2025</v>
      </c>
      <c r="J618" s="3" t="str">
        <f>CONCATENATE("54820201983")</f>
        <v>54820201983</v>
      </c>
      <c r="K618" s="3" t="s">
        <v>33</v>
      </c>
      <c r="L618" s="3"/>
      <c r="M618" s="3" t="s">
        <v>131</v>
      </c>
      <c r="N618" s="3" t="str">
        <f>CONCATENATE("02767110410")</f>
        <v>02767110410</v>
      </c>
      <c r="O618" s="3" t="s">
        <v>739</v>
      </c>
      <c r="P618" s="3" t="s">
        <v>36</v>
      </c>
      <c r="Q618" s="3"/>
      <c r="R618" s="4">
        <v>45996</v>
      </c>
      <c r="S618" s="3" t="s">
        <v>37</v>
      </c>
      <c r="T618" s="3" t="s">
        <v>38</v>
      </c>
      <c r="U618" s="3" t="s">
        <v>39</v>
      </c>
      <c r="V618" s="3">
        <v>175.94</v>
      </c>
      <c r="W618" s="3">
        <v>74.77</v>
      </c>
      <c r="X618" s="3">
        <v>70.819999999999993</v>
      </c>
      <c r="Y618" s="3">
        <v>30.35</v>
      </c>
    </row>
    <row r="619" spans="1:25" ht="72.75" x14ac:dyDescent="0.25">
      <c r="A619" s="3" t="s">
        <v>26</v>
      </c>
      <c r="B619" s="3" t="s">
        <v>27</v>
      </c>
      <c r="C619" s="3" t="s">
        <v>28</v>
      </c>
      <c r="D619" s="3" t="s">
        <v>29</v>
      </c>
      <c r="E619" s="3" t="s">
        <v>228</v>
      </c>
      <c r="F619" s="3" t="s">
        <v>31</v>
      </c>
      <c r="G619" s="3" t="s">
        <v>228</v>
      </c>
      <c r="H619" s="3" t="s">
        <v>45</v>
      </c>
      <c r="I619" s="3">
        <v>2025</v>
      </c>
      <c r="J619" s="3" t="str">
        <f>CONCATENATE("54820036348")</f>
        <v>54820036348</v>
      </c>
      <c r="K619" s="3" t="s">
        <v>33</v>
      </c>
      <c r="L619" s="3"/>
      <c r="M619" s="3" t="s">
        <v>131</v>
      </c>
      <c r="N619" s="3" t="str">
        <f>CONCATENATE("GLSDAA39R67B352D")</f>
        <v>GLSDAA39R67B352D</v>
      </c>
      <c r="O619" s="3" t="s">
        <v>740</v>
      </c>
      <c r="P619" s="3" t="s">
        <v>36</v>
      </c>
      <c r="Q619" s="3"/>
      <c r="R619" s="4">
        <v>45996</v>
      </c>
      <c r="S619" s="3" t="s">
        <v>37</v>
      </c>
      <c r="T619" s="3" t="s">
        <v>38</v>
      </c>
      <c r="U619" s="3" t="s">
        <v>39</v>
      </c>
      <c r="V619" s="3">
        <v>89.67</v>
      </c>
      <c r="W619" s="3">
        <v>38.11</v>
      </c>
      <c r="X619" s="3">
        <v>36.090000000000003</v>
      </c>
      <c r="Y619" s="3">
        <v>15.47</v>
      </c>
    </row>
    <row r="620" spans="1:25" ht="60.75" x14ac:dyDescent="0.25">
      <c r="A620" s="3" t="s">
        <v>26</v>
      </c>
      <c r="B620" s="3" t="s">
        <v>27</v>
      </c>
      <c r="C620" s="3" t="s">
        <v>28</v>
      </c>
      <c r="D620" s="3" t="s">
        <v>29</v>
      </c>
      <c r="E620" s="3" t="s">
        <v>80</v>
      </c>
      <c r="F620" s="3" t="s">
        <v>31</v>
      </c>
      <c r="G620" s="3" t="s">
        <v>80</v>
      </c>
      <c r="H620" s="3" t="s">
        <v>45</v>
      </c>
      <c r="I620" s="3">
        <v>2025</v>
      </c>
      <c r="J620" s="3" t="str">
        <f>CONCATENATE("54820070131")</f>
        <v>54820070131</v>
      </c>
      <c r="K620" s="3" t="s">
        <v>33</v>
      </c>
      <c r="L620" s="3"/>
      <c r="M620" s="3" t="s">
        <v>131</v>
      </c>
      <c r="N620" s="3" t="str">
        <f>CONCATENATE("DLLVIO39M02D809C")</f>
        <v>DLLVIO39M02D809C</v>
      </c>
      <c r="O620" s="3" t="s">
        <v>741</v>
      </c>
      <c r="P620" s="3" t="s">
        <v>36</v>
      </c>
      <c r="Q620" s="3"/>
      <c r="R620" s="4">
        <v>45996</v>
      </c>
      <c r="S620" s="3" t="s">
        <v>37</v>
      </c>
      <c r="T620" s="3" t="s">
        <v>38</v>
      </c>
      <c r="U620" s="3" t="s">
        <v>39</v>
      </c>
      <c r="V620" s="3">
        <v>101.11</v>
      </c>
      <c r="W620" s="3">
        <v>42.97</v>
      </c>
      <c r="X620" s="3">
        <v>40.700000000000003</v>
      </c>
      <c r="Y620" s="3">
        <v>17.440000000000001</v>
      </c>
    </row>
    <row r="621" spans="1:25" ht="60.75" x14ac:dyDescent="0.25">
      <c r="A621" s="3" t="s">
        <v>26</v>
      </c>
      <c r="B621" s="3" t="s">
        <v>27</v>
      </c>
      <c r="C621" s="3" t="s">
        <v>28</v>
      </c>
      <c r="D621" s="3" t="s">
        <v>29</v>
      </c>
      <c r="E621" s="3" t="s">
        <v>119</v>
      </c>
      <c r="F621" s="3" t="s">
        <v>31</v>
      </c>
      <c r="G621" s="3" t="s">
        <v>119</v>
      </c>
      <c r="H621" s="3" t="s">
        <v>96</v>
      </c>
      <c r="I621" s="3">
        <v>2025</v>
      </c>
      <c r="J621" s="3" t="str">
        <f>CONCATENATE("54820053566")</f>
        <v>54820053566</v>
      </c>
      <c r="K621" s="3" t="s">
        <v>33</v>
      </c>
      <c r="L621" s="3"/>
      <c r="M621" s="3" t="s">
        <v>131</v>
      </c>
      <c r="N621" s="3" t="str">
        <f>CONCATENATE("LBRFBN77C02A252C")</f>
        <v>LBRFBN77C02A252C</v>
      </c>
      <c r="O621" s="3" t="s">
        <v>742</v>
      </c>
      <c r="P621" s="3" t="s">
        <v>36</v>
      </c>
      <c r="Q621" s="3"/>
      <c r="R621" s="4">
        <v>45996</v>
      </c>
      <c r="S621" s="3" t="s">
        <v>37</v>
      </c>
      <c r="T621" s="3" t="s">
        <v>38</v>
      </c>
      <c r="U621" s="3" t="s">
        <v>39</v>
      </c>
      <c r="V621" s="3">
        <v>65.180000000000007</v>
      </c>
      <c r="W621" s="3">
        <v>27.7</v>
      </c>
      <c r="X621" s="3">
        <v>26.23</v>
      </c>
      <c r="Y621" s="3">
        <v>11.25</v>
      </c>
    </row>
    <row r="622" spans="1:25" ht="60.75" x14ac:dyDescent="0.25">
      <c r="A622" s="3" t="s">
        <v>26</v>
      </c>
      <c r="B622" s="3" t="s">
        <v>27</v>
      </c>
      <c r="C622" s="3" t="s">
        <v>28</v>
      </c>
      <c r="D622" s="3" t="s">
        <v>29</v>
      </c>
      <c r="E622" s="3" t="s">
        <v>72</v>
      </c>
      <c r="F622" s="3" t="s">
        <v>31</v>
      </c>
      <c r="G622" s="3" t="s">
        <v>72</v>
      </c>
      <c r="H622" s="3" t="s">
        <v>45</v>
      </c>
      <c r="I622" s="3">
        <v>2025</v>
      </c>
      <c r="J622" s="3" t="str">
        <f>CONCATENATE("54820078233")</f>
        <v>54820078233</v>
      </c>
      <c r="K622" s="3" t="s">
        <v>33</v>
      </c>
      <c r="L622" s="3"/>
      <c r="M622" s="3" t="s">
        <v>131</v>
      </c>
      <c r="N622" s="3" t="str">
        <f>CONCATENATE("BCCNRC75C47C745K")</f>
        <v>BCCNRC75C47C745K</v>
      </c>
      <c r="O622" s="3" t="s">
        <v>743</v>
      </c>
      <c r="P622" s="3" t="s">
        <v>36</v>
      </c>
      <c r="Q622" s="3"/>
      <c r="R622" s="4">
        <v>45996</v>
      </c>
      <c r="S622" s="3" t="s">
        <v>37</v>
      </c>
      <c r="T622" s="3" t="s">
        <v>38</v>
      </c>
      <c r="U622" s="3" t="s">
        <v>39</v>
      </c>
      <c r="V622" s="3">
        <v>197.11</v>
      </c>
      <c r="W622" s="3">
        <v>83.77</v>
      </c>
      <c r="X622" s="3">
        <v>79.34</v>
      </c>
      <c r="Y622" s="3">
        <v>34</v>
      </c>
    </row>
    <row r="623" spans="1:25" ht="36.75" x14ac:dyDescent="0.25">
      <c r="A623" s="3" t="s">
        <v>26</v>
      </c>
      <c r="B623" s="3" t="s">
        <v>27</v>
      </c>
      <c r="C623" s="3" t="s">
        <v>28</v>
      </c>
      <c r="D623" s="3" t="s">
        <v>91</v>
      </c>
      <c r="E623" s="3" t="s">
        <v>522</v>
      </c>
      <c r="F623" s="3" t="s">
        <v>93</v>
      </c>
      <c r="G623" s="3" t="s">
        <v>522</v>
      </c>
      <c r="H623" s="3" t="s">
        <v>32</v>
      </c>
      <c r="I623" s="3">
        <v>2025</v>
      </c>
      <c r="J623" s="3" t="str">
        <f>CONCATENATE("54820151022")</f>
        <v>54820151022</v>
      </c>
      <c r="K623" s="3" t="s">
        <v>33</v>
      </c>
      <c r="L623" s="3"/>
      <c r="M623" s="3" t="s">
        <v>131</v>
      </c>
      <c r="N623" s="3" t="str">
        <f>CONCATENATE("01815530439")</f>
        <v>01815530439</v>
      </c>
      <c r="O623" s="3" t="s">
        <v>744</v>
      </c>
      <c r="P623" s="3" t="s">
        <v>36</v>
      </c>
      <c r="Q623" s="3"/>
      <c r="R623" s="4">
        <v>45996</v>
      </c>
      <c r="S623" s="3" t="s">
        <v>37</v>
      </c>
      <c r="T623" s="3" t="s">
        <v>38</v>
      </c>
      <c r="U623" s="3" t="s">
        <v>39</v>
      </c>
      <c r="V623" s="3">
        <v>450.24</v>
      </c>
      <c r="W623" s="3">
        <v>191.35</v>
      </c>
      <c r="X623" s="3">
        <v>181.22</v>
      </c>
      <c r="Y623" s="3">
        <v>77.67</v>
      </c>
    </row>
    <row r="624" spans="1:25" ht="60.75" x14ac:dyDescent="0.25">
      <c r="A624" s="3" t="s">
        <v>26</v>
      </c>
      <c r="B624" s="3" t="s">
        <v>27</v>
      </c>
      <c r="C624" s="3" t="s">
        <v>28</v>
      </c>
      <c r="D624" s="3" t="s">
        <v>29</v>
      </c>
      <c r="E624" s="3" t="s">
        <v>233</v>
      </c>
      <c r="F624" s="3" t="s">
        <v>31</v>
      </c>
      <c r="G624" s="3" t="s">
        <v>233</v>
      </c>
      <c r="H624" s="3" t="s">
        <v>96</v>
      </c>
      <c r="I624" s="3">
        <v>2025</v>
      </c>
      <c r="J624" s="3" t="str">
        <f>CONCATENATE("54820045240")</f>
        <v>54820045240</v>
      </c>
      <c r="K624" s="3" t="s">
        <v>33</v>
      </c>
      <c r="L624" s="3"/>
      <c r="M624" s="3" t="s">
        <v>131</v>
      </c>
      <c r="N624" s="3" t="str">
        <f>CONCATENATE("FRTGNN00B04A462J")</f>
        <v>FRTGNN00B04A462J</v>
      </c>
      <c r="O624" s="3" t="s">
        <v>745</v>
      </c>
      <c r="P624" s="3" t="s">
        <v>36</v>
      </c>
      <c r="Q624" s="3"/>
      <c r="R624" s="4">
        <v>45996</v>
      </c>
      <c r="S624" s="3" t="s">
        <v>37</v>
      </c>
      <c r="T624" s="3" t="s">
        <v>38</v>
      </c>
      <c r="U624" s="3" t="s">
        <v>39</v>
      </c>
      <c r="V624" s="3">
        <v>227.33</v>
      </c>
      <c r="W624" s="3">
        <v>96.62</v>
      </c>
      <c r="X624" s="3">
        <v>91.5</v>
      </c>
      <c r="Y624" s="3">
        <v>39.21</v>
      </c>
    </row>
    <row r="625" spans="1:25" ht="60.75" x14ac:dyDescent="0.25">
      <c r="A625" s="3" t="s">
        <v>26</v>
      </c>
      <c r="B625" s="3" t="s">
        <v>27</v>
      </c>
      <c r="C625" s="3" t="s">
        <v>28</v>
      </c>
      <c r="D625" s="3" t="s">
        <v>50</v>
      </c>
      <c r="E625" s="3" t="s">
        <v>173</v>
      </c>
      <c r="F625" s="3" t="s">
        <v>52</v>
      </c>
      <c r="G625" s="3" t="s">
        <v>173</v>
      </c>
      <c r="H625" s="3" t="s">
        <v>45</v>
      </c>
      <c r="I625" s="3">
        <v>2025</v>
      </c>
      <c r="J625" s="3" t="str">
        <f>CONCATENATE("54820076062")</f>
        <v>54820076062</v>
      </c>
      <c r="K625" s="3" t="s">
        <v>33</v>
      </c>
      <c r="L625" s="3"/>
      <c r="M625" s="3" t="s">
        <v>131</v>
      </c>
      <c r="N625" s="3" t="str">
        <f>CONCATENATE("BRNLCN47T20F524Y")</f>
        <v>BRNLCN47T20F524Y</v>
      </c>
      <c r="O625" s="3" t="s">
        <v>746</v>
      </c>
      <c r="P625" s="3" t="s">
        <v>36</v>
      </c>
      <c r="Q625" s="3"/>
      <c r="R625" s="4">
        <v>45996</v>
      </c>
      <c r="S625" s="3" t="s">
        <v>37</v>
      </c>
      <c r="T625" s="3" t="s">
        <v>38</v>
      </c>
      <c r="U625" s="3" t="s">
        <v>39</v>
      </c>
      <c r="V625" s="3">
        <v>75.989999999999995</v>
      </c>
      <c r="W625" s="3">
        <v>32.299999999999997</v>
      </c>
      <c r="X625" s="3">
        <v>30.59</v>
      </c>
      <c r="Y625" s="3">
        <v>13.1</v>
      </c>
    </row>
    <row r="626" spans="1:25" ht="60.75" x14ac:dyDescent="0.25">
      <c r="A626" s="3" t="s">
        <v>26</v>
      </c>
      <c r="B626" s="3" t="s">
        <v>27</v>
      </c>
      <c r="C626" s="3" t="s">
        <v>28</v>
      </c>
      <c r="D626" s="3" t="s">
        <v>29</v>
      </c>
      <c r="E626" s="3" t="s">
        <v>136</v>
      </c>
      <c r="F626" s="3" t="s">
        <v>31</v>
      </c>
      <c r="G626" s="3" t="s">
        <v>136</v>
      </c>
      <c r="H626" s="3" t="s">
        <v>48</v>
      </c>
      <c r="I626" s="3">
        <v>2025</v>
      </c>
      <c r="J626" s="3" t="str">
        <f>CONCATENATE("54820131677")</f>
        <v>54820131677</v>
      </c>
      <c r="K626" s="3" t="s">
        <v>33</v>
      </c>
      <c r="L626" s="3"/>
      <c r="M626" s="3" t="s">
        <v>131</v>
      </c>
      <c r="N626" s="3" t="str">
        <f>CONCATENATE("CRPGNE43L55I522N")</f>
        <v>CRPGNE43L55I522N</v>
      </c>
      <c r="O626" s="3" t="s">
        <v>747</v>
      </c>
      <c r="P626" s="3" t="s">
        <v>36</v>
      </c>
      <c r="Q626" s="3"/>
      <c r="R626" s="4">
        <v>45996</v>
      </c>
      <c r="S626" s="3" t="s">
        <v>37</v>
      </c>
      <c r="T626" s="3" t="s">
        <v>38</v>
      </c>
      <c r="U626" s="3" t="s">
        <v>39</v>
      </c>
      <c r="V626" s="3">
        <v>102.66</v>
      </c>
      <c r="W626" s="3">
        <v>43.63</v>
      </c>
      <c r="X626" s="3">
        <v>41.32</v>
      </c>
      <c r="Y626" s="3">
        <v>17.71</v>
      </c>
    </row>
    <row r="627" spans="1:25" ht="60.75" x14ac:dyDescent="0.25">
      <c r="A627" s="3" t="s">
        <v>26</v>
      </c>
      <c r="B627" s="3" t="s">
        <v>27</v>
      </c>
      <c r="C627" s="3" t="s">
        <v>28</v>
      </c>
      <c r="D627" s="3" t="s">
        <v>29</v>
      </c>
      <c r="E627" s="3" t="s">
        <v>47</v>
      </c>
      <c r="F627" s="3" t="s">
        <v>31</v>
      </c>
      <c r="G627" s="3" t="s">
        <v>47</v>
      </c>
      <c r="H627" s="3" t="s">
        <v>48</v>
      </c>
      <c r="I627" s="3">
        <v>2025</v>
      </c>
      <c r="J627" s="3" t="str">
        <f>CONCATENATE("54820068226")</f>
        <v>54820068226</v>
      </c>
      <c r="K627" s="3" t="s">
        <v>33</v>
      </c>
      <c r="L627" s="3"/>
      <c r="M627" s="3" t="s">
        <v>131</v>
      </c>
      <c r="N627" s="3" t="str">
        <f>CONCATENATE("FRBDRD83A18B354F")</f>
        <v>FRBDRD83A18B354F</v>
      </c>
      <c r="O627" s="3" t="s">
        <v>748</v>
      </c>
      <c r="P627" s="3" t="s">
        <v>36</v>
      </c>
      <c r="Q627" s="3"/>
      <c r="R627" s="4">
        <v>45996</v>
      </c>
      <c r="S627" s="3" t="s">
        <v>37</v>
      </c>
      <c r="T627" s="3" t="s">
        <v>38</v>
      </c>
      <c r="U627" s="3" t="s">
        <v>39</v>
      </c>
      <c r="V627" s="3">
        <v>282.56</v>
      </c>
      <c r="W627" s="3">
        <v>120.09</v>
      </c>
      <c r="X627" s="3">
        <v>113.73</v>
      </c>
      <c r="Y627" s="3">
        <v>48.74</v>
      </c>
    </row>
    <row r="628" spans="1:25" ht="60.75" x14ac:dyDescent="0.25">
      <c r="A628" s="3" t="s">
        <v>26</v>
      </c>
      <c r="B628" s="3" t="s">
        <v>27</v>
      </c>
      <c r="C628" s="3" t="s">
        <v>28</v>
      </c>
      <c r="D628" s="3" t="s">
        <v>29</v>
      </c>
      <c r="E628" s="3" t="s">
        <v>56</v>
      </c>
      <c r="F628" s="3" t="s">
        <v>31</v>
      </c>
      <c r="G628" s="3" t="s">
        <v>56</v>
      </c>
      <c r="H628" s="3" t="s">
        <v>32</v>
      </c>
      <c r="I628" s="3">
        <v>2025</v>
      </c>
      <c r="J628" s="3" t="str">
        <f>CONCATENATE("54820130042")</f>
        <v>54820130042</v>
      </c>
      <c r="K628" s="3" t="s">
        <v>33</v>
      </c>
      <c r="L628" s="3"/>
      <c r="M628" s="3" t="s">
        <v>131</v>
      </c>
      <c r="N628" s="3" t="str">
        <f>CONCATENATE("SLVRSO62P47M078A")</f>
        <v>SLVRSO62P47M078A</v>
      </c>
      <c r="O628" s="3" t="s">
        <v>749</v>
      </c>
      <c r="P628" s="3" t="s">
        <v>36</v>
      </c>
      <c r="Q628" s="3"/>
      <c r="R628" s="4">
        <v>45996</v>
      </c>
      <c r="S628" s="3" t="s">
        <v>37</v>
      </c>
      <c r="T628" s="3" t="s">
        <v>38</v>
      </c>
      <c r="U628" s="3" t="s">
        <v>39</v>
      </c>
      <c r="V628" s="3">
        <v>259.08999999999997</v>
      </c>
      <c r="W628" s="3">
        <v>110.11</v>
      </c>
      <c r="X628" s="3">
        <v>104.28</v>
      </c>
      <c r="Y628" s="3">
        <v>44.7</v>
      </c>
    </row>
    <row r="629" spans="1:25" ht="60.75" x14ac:dyDescent="0.25">
      <c r="A629" s="3" t="s">
        <v>26</v>
      </c>
      <c r="B629" s="3" t="s">
        <v>27</v>
      </c>
      <c r="C629" s="3" t="s">
        <v>28</v>
      </c>
      <c r="D629" s="3" t="s">
        <v>50</v>
      </c>
      <c r="E629" s="3" t="s">
        <v>448</v>
      </c>
      <c r="F629" s="3" t="s">
        <v>52</v>
      </c>
      <c r="G629" s="3" t="s">
        <v>448</v>
      </c>
      <c r="H629" s="3" t="s">
        <v>45</v>
      </c>
      <c r="I629" s="3">
        <v>2025</v>
      </c>
      <c r="J629" s="3" t="str">
        <f>CONCATENATE("54820171046")</f>
        <v>54820171046</v>
      </c>
      <c r="K629" s="3" t="s">
        <v>33</v>
      </c>
      <c r="L629" s="3"/>
      <c r="M629" s="3" t="s">
        <v>131</v>
      </c>
      <c r="N629" s="3" t="str">
        <f>CONCATENATE("PRSNNL61T17D488H")</f>
        <v>PRSNNL61T17D488H</v>
      </c>
      <c r="O629" s="3" t="s">
        <v>750</v>
      </c>
      <c r="P629" s="3" t="s">
        <v>36</v>
      </c>
      <c r="Q629" s="3"/>
      <c r="R629" s="4">
        <v>45996</v>
      </c>
      <c r="S629" s="3" t="s">
        <v>37</v>
      </c>
      <c r="T629" s="3" t="s">
        <v>38</v>
      </c>
      <c r="U629" s="3" t="s">
        <v>39</v>
      </c>
      <c r="V629" s="3">
        <v>86.7</v>
      </c>
      <c r="W629" s="3">
        <v>36.85</v>
      </c>
      <c r="X629" s="3">
        <v>34.9</v>
      </c>
      <c r="Y629" s="3">
        <v>14.95</v>
      </c>
    </row>
    <row r="630" spans="1:25" ht="60.75" x14ac:dyDescent="0.25">
      <c r="A630" s="3" t="s">
        <v>26</v>
      </c>
      <c r="B630" s="3" t="s">
        <v>27</v>
      </c>
      <c r="C630" s="3" t="s">
        <v>28</v>
      </c>
      <c r="D630" s="3" t="s">
        <v>29</v>
      </c>
      <c r="E630" s="3" t="s">
        <v>72</v>
      </c>
      <c r="F630" s="3" t="s">
        <v>31</v>
      </c>
      <c r="G630" s="3" t="s">
        <v>72</v>
      </c>
      <c r="H630" s="3" t="s">
        <v>45</v>
      </c>
      <c r="I630" s="3">
        <v>2025</v>
      </c>
      <c r="J630" s="3" t="str">
        <f>CONCATENATE("54820100615")</f>
        <v>54820100615</v>
      </c>
      <c r="K630" s="3" t="s">
        <v>33</v>
      </c>
      <c r="L630" s="3"/>
      <c r="M630" s="3" t="s">
        <v>131</v>
      </c>
      <c r="N630" s="3" t="str">
        <f>CONCATENATE("CNMGPP68C19B352Y")</f>
        <v>CNMGPP68C19B352Y</v>
      </c>
      <c r="O630" s="3" t="s">
        <v>751</v>
      </c>
      <c r="P630" s="3" t="s">
        <v>36</v>
      </c>
      <c r="Q630" s="3"/>
      <c r="R630" s="4">
        <v>45996</v>
      </c>
      <c r="S630" s="3" t="s">
        <v>37</v>
      </c>
      <c r="T630" s="3" t="s">
        <v>38</v>
      </c>
      <c r="U630" s="3" t="s">
        <v>39</v>
      </c>
      <c r="V630" s="3">
        <v>801.72</v>
      </c>
      <c r="W630" s="3">
        <v>340.73</v>
      </c>
      <c r="X630" s="3">
        <v>322.69</v>
      </c>
      <c r="Y630" s="3">
        <v>138.30000000000001</v>
      </c>
    </row>
    <row r="631" spans="1:25" ht="60.75" x14ac:dyDescent="0.25">
      <c r="A631" s="3" t="s">
        <v>26</v>
      </c>
      <c r="B631" s="3" t="s">
        <v>27</v>
      </c>
      <c r="C631" s="3" t="s">
        <v>28</v>
      </c>
      <c r="D631" s="3" t="s">
        <v>50</v>
      </c>
      <c r="E631" s="3" t="s">
        <v>173</v>
      </c>
      <c r="F631" s="3" t="s">
        <v>52</v>
      </c>
      <c r="G631" s="3" t="s">
        <v>173</v>
      </c>
      <c r="H631" s="3" t="s">
        <v>45</v>
      </c>
      <c r="I631" s="3">
        <v>2025</v>
      </c>
      <c r="J631" s="3" t="str">
        <f>CONCATENATE("54820081047")</f>
        <v>54820081047</v>
      </c>
      <c r="K631" s="3" t="s">
        <v>33</v>
      </c>
      <c r="L631" s="3"/>
      <c r="M631" s="3" t="s">
        <v>131</v>
      </c>
      <c r="N631" s="3" t="str">
        <f>CONCATENATE("BLPMRZ53H08I459Y")</f>
        <v>BLPMRZ53H08I459Y</v>
      </c>
      <c r="O631" s="3" t="s">
        <v>752</v>
      </c>
      <c r="P631" s="3" t="s">
        <v>36</v>
      </c>
      <c r="Q631" s="3"/>
      <c r="R631" s="4">
        <v>45996</v>
      </c>
      <c r="S631" s="3" t="s">
        <v>37</v>
      </c>
      <c r="T631" s="3" t="s">
        <v>38</v>
      </c>
      <c r="U631" s="3" t="s">
        <v>39</v>
      </c>
      <c r="V631" s="3">
        <v>175.42</v>
      </c>
      <c r="W631" s="3">
        <v>74.55</v>
      </c>
      <c r="X631" s="3">
        <v>70.61</v>
      </c>
      <c r="Y631" s="3">
        <v>30.26</v>
      </c>
    </row>
    <row r="632" spans="1:25" ht="60.75" x14ac:dyDescent="0.25">
      <c r="A632" s="3" t="s">
        <v>26</v>
      </c>
      <c r="B632" s="3" t="s">
        <v>27</v>
      </c>
      <c r="C632" s="3" t="s">
        <v>28</v>
      </c>
      <c r="D632" s="3" t="s">
        <v>50</v>
      </c>
      <c r="E632" s="3" t="s">
        <v>173</v>
      </c>
      <c r="F632" s="3" t="s">
        <v>52</v>
      </c>
      <c r="G632" s="3" t="s">
        <v>173</v>
      </c>
      <c r="H632" s="3" t="s">
        <v>45</v>
      </c>
      <c r="I632" s="3">
        <v>2025</v>
      </c>
      <c r="J632" s="3" t="str">
        <f>CONCATENATE("54820066295")</f>
        <v>54820066295</v>
      </c>
      <c r="K632" s="3" t="s">
        <v>33</v>
      </c>
      <c r="L632" s="3"/>
      <c r="M632" s="3" t="s">
        <v>131</v>
      </c>
      <c r="N632" s="3" t="str">
        <f>CONCATENATE("RSSGNN56M13F467D")</f>
        <v>RSSGNN56M13F467D</v>
      </c>
      <c r="O632" s="3" t="s">
        <v>753</v>
      </c>
      <c r="P632" s="3" t="s">
        <v>36</v>
      </c>
      <c r="Q632" s="3"/>
      <c r="R632" s="4">
        <v>45996</v>
      </c>
      <c r="S632" s="3" t="s">
        <v>37</v>
      </c>
      <c r="T632" s="3" t="s">
        <v>38</v>
      </c>
      <c r="U632" s="3" t="s">
        <v>39</v>
      </c>
      <c r="V632" s="3">
        <v>151.31</v>
      </c>
      <c r="W632" s="3">
        <v>64.31</v>
      </c>
      <c r="X632" s="3">
        <v>60.9</v>
      </c>
      <c r="Y632" s="3">
        <v>26.1</v>
      </c>
    </row>
    <row r="633" spans="1:25" ht="60.75" x14ac:dyDescent="0.25">
      <c r="A633" s="3" t="s">
        <v>26</v>
      </c>
      <c r="B633" s="3" t="s">
        <v>27</v>
      </c>
      <c r="C633" s="3" t="s">
        <v>28</v>
      </c>
      <c r="D633" s="3" t="s">
        <v>50</v>
      </c>
      <c r="E633" s="3" t="s">
        <v>173</v>
      </c>
      <c r="F633" s="3" t="s">
        <v>52</v>
      </c>
      <c r="G633" s="3" t="s">
        <v>173</v>
      </c>
      <c r="H633" s="3" t="s">
        <v>45</v>
      </c>
      <c r="I633" s="3">
        <v>2025</v>
      </c>
      <c r="J633" s="3" t="str">
        <f>CONCATENATE("54820078795")</f>
        <v>54820078795</v>
      </c>
      <c r="K633" s="3" t="s">
        <v>33</v>
      </c>
      <c r="L633" s="3"/>
      <c r="M633" s="3" t="s">
        <v>131</v>
      </c>
      <c r="N633" s="3" t="str">
        <f>CONCATENATE("FLNDNC52A18F467M")</f>
        <v>FLNDNC52A18F467M</v>
      </c>
      <c r="O633" s="3" t="s">
        <v>754</v>
      </c>
      <c r="P633" s="3" t="s">
        <v>36</v>
      </c>
      <c r="Q633" s="3"/>
      <c r="R633" s="4">
        <v>45996</v>
      </c>
      <c r="S633" s="3" t="s">
        <v>37</v>
      </c>
      <c r="T633" s="3" t="s">
        <v>38</v>
      </c>
      <c r="U633" s="3" t="s">
        <v>39</v>
      </c>
      <c r="V633" s="5">
        <v>1071.49</v>
      </c>
      <c r="W633" s="3">
        <v>455.38</v>
      </c>
      <c r="X633" s="3">
        <v>431.27</v>
      </c>
      <c r="Y633" s="3">
        <v>184.84</v>
      </c>
    </row>
    <row r="634" spans="1:25" ht="36.75" x14ac:dyDescent="0.25">
      <c r="A634" s="3" t="s">
        <v>26</v>
      </c>
      <c r="B634" s="3" t="s">
        <v>27</v>
      </c>
      <c r="C634" s="3" t="s">
        <v>28</v>
      </c>
      <c r="D634" s="3" t="s">
        <v>29</v>
      </c>
      <c r="E634" s="3" t="s">
        <v>56</v>
      </c>
      <c r="F634" s="3" t="s">
        <v>31</v>
      </c>
      <c r="G634" s="3" t="s">
        <v>56</v>
      </c>
      <c r="H634" s="3" t="s">
        <v>32</v>
      </c>
      <c r="I634" s="3">
        <v>2025</v>
      </c>
      <c r="J634" s="3" t="str">
        <f>CONCATENATE("54820136494")</f>
        <v>54820136494</v>
      </c>
      <c r="K634" s="3" t="s">
        <v>33</v>
      </c>
      <c r="L634" s="3"/>
      <c r="M634" s="3" t="s">
        <v>131</v>
      </c>
      <c r="N634" s="3" t="str">
        <f>CONCATENATE("02067320438")</f>
        <v>02067320438</v>
      </c>
      <c r="O634" s="3" t="s">
        <v>755</v>
      </c>
      <c r="P634" s="3" t="s">
        <v>36</v>
      </c>
      <c r="Q634" s="3"/>
      <c r="R634" s="4">
        <v>45996</v>
      </c>
      <c r="S634" s="3" t="s">
        <v>37</v>
      </c>
      <c r="T634" s="3" t="s">
        <v>38</v>
      </c>
      <c r="U634" s="3" t="s">
        <v>39</v>
      </c>
      <c r="V634" s="3">
        <v>517.32000000000005</v>
      </c>
      <c r="W634" s="3">
        <v>219.86</v>
      </c>
      <c r="X634" s="3">
        <v>208.22</v>
      </c>
      <c r="Y634" s="3">
        <v>89.24</v>
      </c>
    </row>
    <row r="635" spans="1:25" ht="72.75" x14ac:dyDescent="0.25">
      <c r="A635" s="3" t="s">
        <v>26</v>
      </c>
      <c r="B635" s="3" t="s">
        <v>27</v>
      </c>
      <c r="C635" s="3" t="s">
        <v>28</v>
      </c>
      <c r="D635" s="3" t="s">
        <v>50</v>
      </c>
      <c r="E635" s="3" t="s">
        <v>60</v>
      </c>
      <c r="F635" s="3" t="s">
        <v>52</v>
      </c>
      <c r="G635" s="3" t="s">
        <v>60</v>
      </c>
      <c r="H635" s="3" t="s">
        <v>45</v>
      </c>
      <c r="I635" s="3">
        <v>2025</v>
      </c>
      <c r="J635" s="3" t="str">
        <f>CONCATENATE("54820166970")</f>
        <v>54820166970</v>
      </c>
      <c r="K635" s="3" t="s">
        <v>33</v>
      </c>
      <c r="L635" s="3"/>
      <c r="M635" s="3" t="s">
        <v>131</v>
      </c>
      <c r="N635" s="3" t="str">
        <f>CONCATENATE("TMPMRS54H54G453M")</f>
        <v>TMPMRS54H54G453M</v>
      </c>
      <c r="O635" s="3" t="s">
        <v>756</v>
      </c>
      <c r="P635" s="3" t="s">
        <v>36</v>
      </c>
      <c r="Q635" s="3"/>
      <c r="R635" s="4">
        <v>45996</v>
      </c>
      <c r="S635" s="3" t="s">
        <v>37</v>
      </c>
      <c r="T635" s="3" t="s">
        <v>38</v>
      </c>
      <c r="U635" s="3" t="s">
        <v>39</v>
      </c>
      <c r="V635" s="3">
        <v>84.3</v>
      </c>
      <c r="W635" s="3">
        <v>35.83</v>
      </c>
      <c r="X635" s="3">
        <v>33.93</v>
      </c>
      <c r="Y635" s="3">
        <v>14.54</v>
      </c>
    </row>
    <row r="636" spans="1:25" ht="60.75" x14ac:dyDescent="0.25">
      <c r="A636" s="3" t="s">
        <v>26</v>
      </c>
      <c r="B636" s="3" t="s">
        <v>27</v>
      </c>
      <c r="C636" s="3" t="s">
        <v>28</v>
      </c>
      <c r="D636" s="3" t="s">
        <v>29</v>
      </c>
      <c r="E636" s="3" t="s">
        <v>182</v>
      </c>
      <c r="F636" s="3" t="s">
        <v>31</v>
      </c>
      <c r="G636" s="3" t="s">
        <v>182</v>
      </c>
      <c r="H636" s="3" t="s">
        <v>45</v>
      </c>
      <c r="I636" s="3">
        <v>2025</v>
      </c>
      <c r="J636" s="3" t="str">
        <f>CONCATENATE("54820139928")</f>
        <v>54820139928</v>
      </c>
      <c r="K636" s="3" t="s">
        <v>33</v>
      </c>
      <c r="L636" s="3"/>
      <c r="M636" s="3" t="s">
        <v>131</v>
      </c>
      <c r="N636" s="3" t="str">
        <f>CONCATENATE("CMCSDR58S41L500W")</f>
        <v>CMCSDR58S41L500W</v>
      </c>
      <c r="O636" s="3" t="s">
        <v>757</v>
      </c>
      <c r="P636" s="3" t="s">
        <v>36</v>
      </c>
      <c r="Q636" s="3"/>
      <c r="R636" s="4">
        <v>45996</v>
      </c>
      <c r="S636" s="3" t="s">
        <v>37</v>
      </c>
      <c r="T636" s="3" t="s">
        <v>38</v>
      </c>
      <c r="U636" s="3" t="s">
        <v>39</v>
      </c>
      <c r="V636" s="3">
        <v>95.31</v>
      </c>
      <c r="W636" s="3">
        <v>40.51</v>
      </c>
      <c r="X636" s="3">
        <v>38.36</v>
      </c>
      <c r="Y636" s="3">
        <v>16.440000000000001</v>
      </c>
    </row>
    <row r="637" spans="1:25" ht="60.75" x14ac:dyDescent="0.25">
      <c r="A637" s="3" t="s">
        <v>26</v>
      </c>
      <c r="B637" s="3" t="s">
        <v>27</v>
      </c>
      <c r="C637" s="3" t="s">
        <v>28</v>
      </c>
      <c r="D637" s="3" t="s">
        <v>50</v>
      </c>
      <c r="E637" s="3" t="s">
        <v>252</v>
      </c>
      <c r="F637" s="3" t="s">
        <v>52</v>
      </c>
      <c r="G637" s="3" t="s">
        <v>252</v>
      </c>
      <c r="H637" s="3" t="s">
        <v>45</v>
      </c>
      <c r="I637" s="3">
        <v>2025</v>
      </c>
      <c r="J637" s="3" t="str">
        <f>CONCATENATE("54820112941")</f>
        <v>54820112941</v>
      </c>
      <c r="K637" s="3" t="s">
        <v>33</v>
      </c>
      <c r="L637" s="3"/>
      <c r="M637" s="3" t="s">
        <v>131</v>
      </c>
      <c r="N637" s="3" t="str">
        <f>CONCATENATE("CSGSDR35T22D749C")</f>
        <v>CSGSDR35T22D749C</v>
      </c>
      <c r="O637" s="3" t="s">
        <v>758</v>
      </c>
      <c r="P637" s="3" t="s">
        <v>36</v>
      </c>
      <c r="Q637" s="3"/>
      <c r="R637" s="4">
        <v>45996</v>
      </c>
      <c r="S637" s="3" t="s">
        <v>37</v>
      </c>
      <c r="T637" s="3" t="s">
        <v>38</v>
      </c>
      <c r="U637" s="3" t="s">
        <v>39</v>
      </c>
      <c r="V637" s="3">
        <v>391.24</v>
      </c>
      <c r="W637" s="3">
        <v>166.28</v>
      </c>
      <c r="X637" s="3">
        <v>157.47</v>
      </c>
      <c r="Y637" s="3">
        <v>67.489999999999995</v>
      </c>
    </row>
    <row r="638" spans="1:25" ht="72.75" x14ac:dyDescent="0.25">
      <c r="A638" s="3" t="s">
        <v>26</v>
      </c>
      <c r="B638" s="3" t="s">
        <v>27</v>
      </c>
      <c r="C638" s="3" t="s">
        <v>28</v>
      </c>
      <c r="D638" s="3" t="s">
        <v>312</v>
      </c>
      <c r="E638" s="3" t="s">
        <v>313</v>
      </c>
      <c r="F638" s="3" t="s">
        <v>314</v>
      </c>
      <c r="G638" s="3" t="s">
        <v>313</v>
      </c>
      <c r="H638" s="3" t="s">
        <v>96</v>
      </c>
      <c r="I638" s="3">
        <v>2025</v>
      </c>
      <c r="J638" s="3" t="str">
        <f>CONCATENATE("54820245949")</f>
        <v>54820245949</v>
      </c>
      <c r="K638" s="3" t="s">
        <v>33</v>
      </c>
      <c r="L638" s="3"/>
      <c r="M638" s="3" t="s">
        <v>131</v>
      </c>
      <c r="N638" s="3" t="str">
        <f>CONCATENATE("DCLPRZ68M54A252B")</f>
        <v>DCLPRZ68M54A252B</v>
      </c>
      <c r="O638" s="3" t="s">
        <v>759</v>
      </c>
      <c r="P638" s="3" t="s">
        <v>36</v>
      </c>
      <c r="Q638" s="3"/>
      <c r="R638" s="4">
        <v>45996</v>
      </c>
      <c r="S638" s="3" t="s">
        <v>37</v>
      </c>
      <c r="T638" s="3" t="s">
        <v>38</v>
      </c>
      <c r="U638" s="3" t="s">
        <v>39</v>
      </c>
      <c r="V638" s="3">
        <v>49.88</v>
      </c>
      <c r="W638" s="3">
        <v>21.2</v>
      </c>
      <c r="X638" s="3">
        <v>20.079999999999998</v>
      </c>
      <c r="Y638" s="3">
        <v>8.6</v>
      </c>
    </row>
    <row r="639" spans="1:25" ht="72.75" x14ac:dyDescent="0.25">
      <c r="A639" s="3" t="s">
        <v>26</v>
      </c>
      <c r="B639" s="3" t="s">
        <v>27</v>
      </c>
      <c r="C639" s="3" t="s">
        <v>28</v>
      </c>
      <c r="D639" s="3" t="s">
        <v>29</v>
      </c>
      <c r="E639" s="3" t="s">
        <v>56</v>
      </c>
      <c r="F639" s="3" t="s">
        <v>31</v>
      </c>
      <c r="G639" s="3" t="s">
        <v>56</v>
      </c>
      <c r="H639" s="3" t="s">
        <v>32</v>
      </c>
      <c r="I639" s="3">
        <v>2025</v>
      </c>
      <c r="J639" s="3" t="str">
        <f>CONCATENATE("54820187372")</f>
        <v>54820187372</v>
      </c>
      <c r="K639" s="3" t="s">
        <v>33</v>
      </c>
      <c r="L639" s="3"/>
      <c r="M639" s="3" t="s">
        <v>131</v>
      </c>
      <c r="N639" s="3" t="str">
        <f>CONCATENATE("SNTFNC78R54D653N")</f>
        <v>SNTFNC78R54D653N</v>
      </c>
      <c r="O639" s="3" t="s">
        <v>760</v>
      </c>
      <c r="P639" s="3" t="s">
        <v>36</v>
      </c>
      <c r="Q639" s="3"/>
      <c r="R639" s="4">
        <v>45996</v>
      </c>
      <c r="S639" s="3" t="s">
        <v>37</v>
      </c>
      <c r="T639" s="3" t="s">
        <v>38</v>
      </c>
      <c r="U639" s="3" t="s">
        <v>39</v>
      </c>
      <c r="V639" s="3">
        <v>338.85</v>
      </c>
      <c r="W639" s="3">
        <v>144.01</v>
      </c>
      <c r="X639" s="3">
        <v>136.38999999999999</v>
      </c>
      <c r="Y639" s="3">
        <v>58.45</v>
      </c>
    </row>
    <row r="640" spans="1:25" ht="36.75" x14ac:dyDescent="0.25">
      <c r="A640" s="3" t="s">
        <v>26</v>
      </c>
      <c r="B640" s="3" t="s">
        <v>27</v>
      </c>
      <c r="C640" s="3" t="s">
        <v>28</v>
      </c>
      <c r="D640" s="3" t="s">
        <v>91</v>
      </c>
      <c r="E640" s="3" t="s">
        <v>151</v>
      </c>
      <c r="F640" s="3" t="s">
        <v>93</v>
      </c>
      <c r="G640" s="3" t="s">
        <v>151</v>
      </c>
      <c r="H640" s="3" t="s">
        <v>45</v>
      </c>
      <c r="I640" s="3">
        <v>2025</v>
      </c>
      <c r="J640" s="3" t="str">
        <f>CONCATENATE("54820262126")</f>
        <v>54820262126</v>
      </c>
      <c r="K640" s="3" t="s">
        <v>33</v>
      </c>
      <c r="L640" s="3"/>
      <c r="M640" s="3" t="s">
        <v>131</v>
      </c>
      <c r="N640" s="3" t="str">
        <f>CONCATENATE("01334220413")</f>
        <v>01334220413</v>
      </c>
      <c r="O640" s="3" t="s">
        <v>761</v>
      </c>
      <c r="P640" s="3" t="s">
        <v>36</v>
      </c>
      <c r="Q640" s="3"/>
      <c r="R640" s="4">
        <v>45996</v>
      </c>
      <c r="S640" s="3" t="s">
        <v>37</v>
      </c>
      <c r="T640" s="3" t="s">
        <v>38</v>
      </c>
      <c r="U640" s="3" t="s">
        <v>39</v>
      </c>
      <c r="V640" s="5">
        <v>1265.6500000000001</v>
      </c>
      <c r="W640" s="3">
        <v>537.9</v>
      </c>
      <c r="X640" s="3">
        <v>509.42</v>
      </c>
      <c r="Y640" s="3">
        <v>218.33</v>
      </c>
    </row>
    <row r="641" spans="1:25" ht="60.75" x14ac:dyDescent="0.25">
      <c r="A641" s="3" t="s">
        <v>26</v>
      </c>
      <c r="B641" s="3" t="s">
        <v>27</v>
      </c>
      <c r="C641" s="3" t="s">
        <v>28</v>
      </c>
      <c r="D641" s="3" t="s">
        <v>29</v>
      </c>
      <c r="E641" s="3" t="s">
        <v>208</v>
      </c>
      <c r="F641" s="3" t="s">
        <v>31</v>
      </c>
      <c r="G641" s="3" t="s">
        <v>208</v>
      </c>
      <c r="H641" s="3" t="s">
        <v>45</v>
      </c>
      <c r="I641" s="3">
        <v>2025</v>
      </c>
      <c r="J641" s="3" t="str">
        <f>CONCATENATE("54820252374")</f>
        <v>54820252374</v>
      </c>
      <c r="K641" s="3" t="s">
        <v>33</v>
      </c>
      <c r="L641" s="3"/>
      <c r="M641" s="3" t="s">
        <v>131</v>
      </c>
      <c r="N641" s="3" t="str">
        <f>CONCATENATE("SPGNNL56R59D542I")</f>
        <v>SPGNNL56R59D542I</v>
      </c>
      <c r="O641" s="3" t="s">
        <v>762</v>
      </c>
      <c r="P641" s="3" t="s">
        <v>36</v>
      </c>
      <c r="Q641" s="3"/>
      <c r="R641" s="4">
        <v>45996</v>
      </c>
      <c r="S641" s="3" t="s">
        <v>37</v>
      </c>
      <c r="T641" s="3" t="s">
        <v>38</v>
      </c>
      <c r="U641" s="3" t="s">
        <v>39</v>
      </c>
      <c r="V641" s="3">
        <v>213.39</v>
      </c>
      <c r="W641" s="3">
        <v>90.69</v>
      </c>
      <c r="X641" s="3">
        <v>85.89</v>
      </c>
      <c r="Y641" s="3">
        <v>36.81</v>
      </c>
    </row>
    <row r="642" spans="1:25" ht="60.75" x14ac:dyDescent="0.25">
      <c r="A642" s="3" t="s">
        <v>26</v>
      </c>
      <c r="B642" s="3" t="s">
        <v>27</v>
      </c>
      <c r="C642" s="3" t="s">
        <v>28</v>
      </c>
      <c r="D642" s="3" t="s">
        <v>104</v>
      </c>
      <c r="E642" s="3" t="s">
        <v>141</v>
      </c>
      <c r="F642" s="3" t="s">
        <v>104</v>
      </c>
      <c r="G642" s="3" t="s">
        <v>141</v>
      </c>
      <c r="H642" s="3" t="s">
        <v>96</v>
      </c>
      <c r="I642" s="3">
        <v>2025</v>
      </c>
      <c r="J642" s="3" t="str">
        <f>CONCATENATE("54820280581")</f>
        <v>54820280581</v>
      </c>
      <c r="K642" s="3" t="s">
        <v>33</v>
      </c>
      <c r="L642" s="3"/>
      <c r="M642" s="3" t="s">
        <v>131</v>
      </c>
      <c r="N642" s="3" t="str">
        <f>CONCATENATE("LRNRND69E16C935N")</f>
        <v>LRNRND69E16C935N</v>
      </c>
      <c r="O642" s="3" t="s">
        <v>763</v>
      </c>
      <c r="P642" s="3" t="s">
        <v>36</v>
      </c>
      <c r="Q642" s="3"/>
      <c r="R642" s="4">
        <v>45996</v>
      </c>
      <c r="S642" s="3" t="s">
        <v>37</v>
      </c>
      <c r="T642" s="3" t="s">
        <v>38</v>
      </c>
      <c r="U642" s="3" t="s">
        <v>39</v>
      </c>
      <c r="V642" s="3">
        <v>218.09</v>
      </c>
      <c r="W642" s="3">
        <v>92.69</v>
      </c>
      <c r="X642" s="3">
        <v>87.78</v>
      </c>
      <c r="Y642" s="3">
        <v>37.619999999999997</v>
      </c>
    </row>
    <row r="643" spans="1:25" ht="60.75" x14ac:dyDescent="0.25">
      <c r="A643" s="3" t="s">
        <v>26</v>
      </c>
      <c r="B643" s="3" t="s">
        <v>27</v>
      </c>
      <c r="C643" s="3" t="s">
        <v>28</v>
      </c>
      <c r="D643" s="3" t="s">
        <v>50</v>
      </c>
      <c r="E643" s="3" t="s">
        <v>147</v>
      </c>
      <c r="F643" s="3" t="s">
        <v>52</v>
      </c>
      <c r="G643" s="3" t="s">
        <v>147</v>
      </c>
      <c r="H643" s="3" t="s">
        <v>45</v>
      </c>
      <c r="I643" s="3">
        <v>2025</v>
      </c>
      <c r="J643" s="3" t="str">
        <f>CONCATENATE("54820163571")</f>
        <v>54820163571</v>
      </c>
      <c r="K643" s="3" t="s">
        <v>33</v>
      </c>
      <c r="L643" s="3"/>
      <c r="M643" s="3" t="s">
        <v>131</v>
      </c>
      <c r="N643" s="3" t="str">
        <f>CONCATENATE("SPRLRN55C12L500R")</f>
        <v>SPRLRN55C12L500R</v>
      </c>
      <c r="O643" s="3" t="s">
        <v>764</v>
      </c>
      <c r="P643" s="3" t="s">
        <v>36</v>
      </c>
      <c r="Q643" s="3"/>
      <c r="R643" s="4">
        <v>45996</v>
      </c>
      <c r="S643" s="3" t="s">
        <v>37</v>
      </c>
      <c r="T643" s="3" t="s">
        <v>38</v>
      </c>
      <c r="U643" s="3" t="s">
        <v>39</v>
      </c>
      <c r="V643" s="3">
        <v>445.07</v>
      </c>
      <c r="W643" s="3">
        <v>189.15</v>
      </c>
      <c r="X643" s="3">
        <v>179.14</v>
      </c>
      <c r="Y643" s="3">
        <v>76.78</v>
      </c>
    </row>
    <row r="644" spans="1:25" ht="60.75" x14ac:dyDescent="0.25">
      <c r="A644" s="3" t="s">
        <v>26</v>
      </c>
      <c r="B644" s="3" t="s">
        <v>27</v>
      </c>
      <c r="C644" s="3" t="s">
        <v>28</v>
      </c>
      <c r="D644" s="3" t="s">
        <v>312</v>
      </c>
      <c r="E644" s="3" t="s">
        <v>313</v>
      </c>
      <c r="F644" s="3" t="s">
        <v>314</v>
      </c>
      <c r="G644" s="3" t="s">
        <v>313</v>
      </c>
      <c r="H644" s="3" t="s">
        <v>96</v>
      </c>
      <c r="I644" s="3">
        <v>2025</v>
      </c>
      <c r="J644" s="3" t="str">
        <f>CONCATENATE("54820230875")</f>
        <v>54820230875</v>
      </c>
      <c r="K644" s="3" t="s">
        <v>33</v>
      </c>
      <c r="L644" s="3"/>
      <c r="M644" s="3" t="s">
        <v>131</v>
      </c>
      <c r="N644" s="3" t="str">
        <f>CONCATENATE("CPRFNC53M01L728I")</f>
        <v>CPRFNC53M01L728I</v>
      </c>
      <c r="O644" s="3" t="s">
        <v>765</v>
      </c>
      <c r="P644" s="3" t="s">
        <v>36</v>
      </c>
      <c r="Q644" s="3"/>
      <c r="R644" s="4">
        <v>45996</v>
      </c>
      <c r="S644" s="3" t="s">
        <v>37</v>
      </c>
      <c r="T644" s="3" t="s">
        <v>38</v>
      </c>
      <c r="U644" s="3" t="s">
        <v>39</v>
      </c>
      <c r="V644" s="3">
        <v>97.89</v>
      </c>
      <c r="W644" s="3">
        <v>41.6</v>
      </c>
      <c r="X644" s="3">
        <v>39.4</v>
      </c>
      <c r="Y644" s="3">
        <v>16.89</v>
      </c>
    </row>
    <row r="645" spans="1:25" ht="60.75" x14ac:dyDescent="0.25">
      <c r="A645" s="3" t="s">
        <v>26</v>
      </c>
      <c r="B645" s="3" t="s">
        <v>27</v>
      </c>
      <c r="C645" s="3" t="s">
        <v>28</v>
      </c>
      <c r="D645" s="3" t="s">
        <v>312</v>
      </c>
      <c r="E645" s="3" t="s">
        <v>313</v>
      </c>
      <c r="F645" s="3" t="s">
        <v>314</v>
      </c>
      <c r="G645" s="3" t="s">
        <v>313</v>
      </c>
      <c r="H645" s="3" t="s">
        <v>96</v>
      </c>
      <c r="I645" s="3">
        <v>2025</v>
      </c>
      <c r="J645" s="3" t="str">
        <f>CONCATENATE("54820245972")</f>
        <v>54820245972</v>
      </c>
      <c r="K645" s="3" t="s">
        <v>33</v>
      </c>
      <c r="L645" s="3"/>
      <c r="M645" s="3" t="s">
        <v>131</v>
      </c>
      <c r="N645" s="3" t="str">
        <f>CONCATENATE("DDNSFN62A20I315U")</f>
        <v>DDNSFN62A20I315U</v>
      </c>
      <c r="O645" s="3" t="s">
        <v>766</v>
      </c>
      <c r="P645" s="3" t="s">
        <v>36</v>
      </c>
      <c r="Q645" s="3"/>
      <c r="R645" s="4">
        <v>45996</v>
      </c>
      <c r="S645" s="3" t="s">
        <v>37</v>
      </c>
      <c r="T645" s="3" t="s">
        <v>38</v>
      </c>
      <c r="U645" s="3" t="s">
        <v>39</v>
      </c>
      <c r="V645" s="3">
        <v>47.66</v>
      </c>
      <c r="W645" s="3">
        <v>20.260000000000002</v>
      </c>
      <c r="X645" s="3">
        <v>19.18</v>
      </c>
      <c r="Y645" s="3">
        <v>8.2200000000000006</v>
      </c>
    </row>
    <row r="646" spans="1:25" ht="60.75" x14ac:dyDescent="0.25">
      <c r="A646" s="3" t="s">
        <v>26</v>
      </c>
      <c r="B646" s="3" t="s">
        <v>27</v>
      </c>
      <c r="C646" s="3" t="s">
        <v>28</v>
      </c>
      <c r="D646" s="3" t="s">
        <v>29</v>
      </c>
      <c r="E646" s="3" t="s">
        <v>56</v>
      </c>
      <c r="F646" s="3" t="s">
        <v>31</v>
      </c>
      <c r="G646" s="3" t="s">
        <v>56</v>
      </c>
      <c r="H646" s="3" t="s">
        <v>32</v>
      </c>
      <c r="I646" s="3">
        <v>2025</v>
      </c>
      <c r="J646" s="3" t="str">
        <f>CONCATENATE("54820162136")</f>
        <v>54820162136</v>
      </c>
      <c r="K646" s="3" t="s">
        <v>33</v>
      </c>
      <c r="L646" s="3"/>
      <c r="M646" s="3" t="s">
        <v>131</v>
      </c>
      <c r="N646" s="3" t="str">
        <f>CONCATENATE("BTTLBT55C67C773M")</f>
        <v>BTTLBT55C67C773M</v>
      </c>
      <c r="O646" s="3" t="s">
        <v>767</v>
      </c>
      <c r="P646" s="3" t="s">
        <v>36</v>
      </c>
      <c r="Q646" s="3"/>
      <c r="R646" s="4">
        <v>45996</v>
      </c>
      <c r="S646" s="3" t="s">
        <v>37</v>
      </c>
      <c r="T646" s="3" t="s">
        <v>38</v>
      </c>
      <c r="U646" s="3" t="s">
        <v>39</v>
      </c>
      <c r="V646" s="3">
        <v>897.65</v>
      </c>
      <c r="W646" s="3">
        <v>381.5</v>
      </c>
      <c r="X646" s="3">
        <v>361.3</v>
      </c>
      <c r="Y646" s="3">
        <v>154.85</v>
      </c>
    </row>
    <row r="647" spans="1:25" ht="60.75" x14ac:dyDescent="0.25">
      <c r="A647" s="3" t="s">
        <v>26</v>
      </c>
      <c r="B647" s="3" t="s">
        <v>27</v>
      </c>
      <c r="C647" s="3" t="s">
        <v>28</v>
      </c>
      <c r="D647" s="3" t="s">
        <v>29</v>
      </c>
      <c r="E647" s="3" t="s">
        <v>101</v>
      </c>
      <c r="F647" s="3" t="s">
        <v>31</v>
      </c>
      <c r="G647" s="3" t="s">
        <v>101</v>
      </c>
      <c r="H647" s="3" t="s">
        <v>32</v>
      </c>
      <c r="I647" s="3">
        <v>2025</v>
      </c>
      <c r="J647" s="3" t="str">
        <f>CONCATENATE("54820168687")</f>
        <v>54820168687</v>
      </c>
      <c r="K647" s="3" t="s">
        <v>33</v>
      </c>
      <c r="L647" s="3"/>
      <c r="M647" s="3" t="s">
        <v>131</v>
      </c>
      <c r="N647" s="3" t="str">
        <f>CONCATENATE("BZZGST58S02B474T")</f>
        <v>BZZGST58S02B474T</v>
      </c>
      <c r="O647" s="3" t="s">
        <v>768</v>
      </c>
      <c r="P647" s="3" t="s">
        <v>36</v>
      </c>
      <c r="Q647" s="3"/>
      <c r="R647" s="4">
        <v>45996</v>
      </c>
      <c r="S647" s="3" t="s">
        <v>37</v>
      </c>
      <c r="T647" s="3" t="s">
        <v>38</v>
      </c>
      <c r="U647" s="3" t="s">
        <v>39</v>
      </c>
      <c r="V647" s="3">
        <v>159.44999999999999</v>
      </c>
      <c r="W647" s="3">
        <v>67.77</v>
      </c>
      <c r="X647" s="3">
        <v>64.180000000000007</v>
      </c>
      <c r="Y647" s="3">
        <v>27.5</v>
      </c>
    </row>
    <row r="648" spans="1:25" ht="60.75" x14ac:dyDescent="0.25">
      <c r="A648" s="3" t="s">
        <v>26</v>
      </c>
      <c r="B648" s="3" t="s">
        <v>27</v>
      </c>
      <c r="C648" s="3" t="s">
        <v>28</v>
      </c>
      <c r="D648" s="3" t="s">
        <v>29</v>
      </c>
      <c r="E648" s="3" t="s">
        <v>56</v>
      </c>
      <c r="F648" s="3" t="s">
        <v>31</v>
      </c>
      <c r="G648" s="3" t="s">
        <v>56</v>
      </c>
      <c r="H648" s="3" t="s">
        <v>32</v>
      </c>
      <c r="I648" s="3">
        <v>2025</v>
      </c>
      <c r="J648" s="3" t="str">
        <f>CONCATENATE("54820233739")</f>
        <v>54820233739</v>
      </c>
      <c r="K648" s="3" t="s">
        <v>33</v>
      </c>
      <c r="L648" s="3"/>
      <c r="M648" s="3" t="s">
        <v>131</v>
      </c>
      <c r="N648" s="3" t="str">
        <f>CONCATENATE("SBRLBR49L31B474W")</f>
        <v>SBRLBR49L31B474W</v>
      </c>
      <c r="O648" s="3" t="s">
        <v>769</v>
      </c>
      <c r="P648" s="3" t="s">
        <v>36</v>
      </c>
      <c r="Q648" s="3"/>
      <c r="R648" s="4">
        <v>45996</v>
      </c>
      <c r="S648" s="3" t="s">
        <v>37</v>
      </c>
      <c r="T648" s="3" t="s">
        <v>38</v>
      </c>
      <c r="U648" s="3" t="s">
        <v>39</v>
      </c>
      <c r="V648" s="5">
        <v>1134.29</v>
      </c>
      <c r="W648" s="3">
        <v>482.07</v>
      </c>
      <c r="X648" s="3">
        <v>456.55</v>
      </c>
      <c r="Y648" s="3">
        <v>195.67</v>
      </c>
    </row>
    <row r="649" spans="1:25" ht="72.75" x14ac:dyDescent="0.25">
      <c r="A649" s="3" t="s">
        <v>26</v>
      </c>
      <c r="B649" s="3" t="s">
        <v>27</v>
      </c>
      <c r="C649" s="3" t="s">
        <v>28</v>
      </c>
      <c r="D649" s="3" t="s">
        <v>91</v>
      </c>
      <c r="E649" s="3" t="s">
        <v>151</v>
      </c>
      <c r="F649" s="3" t="s">
        <v>93</v>
      </c>
      <c r="G649" s="3" t="s">
        <v>151</v>
      </c>
      <c r="H649" s="3" t="s">
        <v>45</v>
      </c>
      <c r="I649" s="3">
        <v>2025</v>
      </c>
      <c r="J649" s="3" t="str">
        <f>CONCATENATE("54820171566")</f>
        <v>54820171566</v>
      </c>
      <c r="K649" s="3" t="s">
        <v>33</v>
      </c>
      <c r="L649" s="3"/>
      <c r="M649" s="3" t="s">
        <v>131</v>
      </c>
      <c r="N649" s="3" t="str">
        <f>CONCATENATE("CNCFBA67D25D488H")</f>
        <v>CNCFBA67D25D488H</v>
      </c>
      <c r="O649" s="3" t="s">
        <v>770</v>
      </c>
      <c r="P649" s="3" t="s">
        <v>36</v>
      </c>
      <c r="Q649" s="3"/>
      <c r="R649" s="4">
        <v>45996</v>
      </c>
      <c r="S649" s="3" t="s">
        <v>37</v>
      </c>
      <c r="T649" s="3" t="s">
        <v>38</v>
      </c>
      <c r="U649" s="3" t="s">
        <v>39</v>
      </c>
      <c r="V649" s="3">
        <v>219.9</v>
      </c>
      <c r="W649" s="3">
        <v>93.46</v>
      </c>
      <c r="X649" s="3">
        <v>88.51</v>
      </c>
      <c r="Y649" s="3">
        <v>37.93</v>
      </c>
    </row>
    <row r="650" spans="1:25" ht="60.75" x14ac:dyDescent="0.25">
      <c r="A650" s="3" t="s">
        <v>26</v>
      </c>
      <c r="B650" s="3" t="s">
        <v>27</v>
      </c>
      <c r="C650" s="3" t="s">
        <v>28</v>
      </c>
      <c r="D650" s="3" t="s">
        <v>29</v>
      </c>
      <c r="E650" s="3" t="s">
        <v>136</v>
      </c>
      <c r="F650" s="3" t="s">
        <v>31</v>
      </c>
      <c r="G650" s="3" t="s">
        <v>136</v>
      </c>
      <c r="H650" s="3" t="s">
        <v>48</v>
      </c>
      <c r="I650" s="3">
        <v>2025</v>
      </c>
      <c r="J650" s="3" t="str">
        <f>CONCATENATE("54820201447")</f>
        <v>54820201447</v>
      </c>
      <c r="K650" s="3" t="s">
        <v>33</v>
      </c>
      <c r="L650" s="3"/>
      <c r="M650" s="3" t="s">
        <v>131</v>
      </c>
      <c r="N650" s="3" t="str">
        <f>CONCATENATE("SPDNTN40H25I461I")</f>
        <v>SPDNTN40H25I461I</v>
      </c>
      <c r="O650" s="3" t="s">
        <v>771</v>
      </c>
      <c r="P650" s="3" t="s">
        <v>36</v>
      </c>
      <c r="Q650" s="3"/>
      <c r="R650" s="4">
        <v>45996</v>
      </c>
      <c r="S650" s="3" t="s">
        <v>37</v>
      </c>
      <c r="T650" s="3" t="s">
        <v>38</v>
      </c>
      <c r="U650" s="3" t="s">
        <v>39</v>
      </c>
      <c r="V650" s="5">
        <v>1309.8</v>
      </c>
      <c r="W650" s="3">
        <v>556.66999999999996</v>
      </c>
      <c r="X650" s="3">
        <v>527.19000000000005</v>
      </c>
      <c r="Y650" s="3">
        <v>225.94</v>
      </c>
    </row>
    <row r="651" spans="1:25" ht="60.75" x14ac:dyDescent="0.25">
      <c r="A651" s="3" t="s">
        <v>26</v>
      </c>
      <c r="B651" s="3" t="s">
        <v>27</v>
      </c>
      <c r="C651" s="3" t="s">
        <v>28</v>
      </c>
      <c r="D651" s="3" t="s">
        <v>50</v>
      </c>
      <c r="E651" s="3" t="s">
        <v>147</v>
      </c>
      <c r="F651" s="3" t="s">
        <v>52</v>
      </c>
      <c r="G651" s="3" t="s">
        <v>147</v>
      </c>
      <c r="H651" s="3" t="s">
        <v>45</v>
      </c>
      <c r="I651" s="3">
        <v>2025</v>
      </c>
      <c r="J651" s="3" t="str">
        <f>CONCATENATE("54820167960")</f>
        <v>54820167960</v>
      </c>
      <c r="K651" s="3" t="s">
        <v>33</v>
      </c>
      <c r="L651" s="3"/>
      <c r="M651" s="3" t="s">
        <v>131</v>
      </c>
      <c r="N651" s="3" t="str">
        <f>CONCATENATE("PRDSRG76C15L500W")</f>
        <v>PRDSRG76C15L500W</v>
      </c>
      <c r="O651" s="3" t="s">
        <v>772</v>
      </c>
      <c r="P651" s="3" t="s">
        <v>36</v>
      </c>
      <c r="Q651" s="3"/>
      <c r="R651" s="4">
        <v>45996</v>
      </c>
      <c r="S651" s="3" t="s">
        <v>37</v>
      </c>
      <c r="T651" s="3" t="s">
        <v>38</v>
      </c>
      <c r="U651" s="3" t="s">
        <v>39</v>
      </c>
      <c r="V651" s="3">
        <v>605.03</v>
      </c>
      <c r="W651" s="3">
        <v>257.14</v>
      </c>
      <c r="X651" s="3">
        <v>243.52</v>
      </c>
      <c r="Y651" s="3">
        <v>104.37</v>
      </c>
    </row>
    <row r="652" spans="1:25" ht="60.75" x14ac:dyDescent="0.25">
      <c r="A652" s="3" t="s">
        <v>26</v>
      </c>
      <c r="B652" s="3" t="s">
        <v>27</v>
      </c>
      <c r="C652" s="3" t="s">
        <v>28</v>
      </c>
      <c r="D652" s="3" t="s">
        <v>50</v>
      </c>
      <c r="E652" s="3" t="s">
        <v>448</v>
      </c>
      <c r="F652" s="3" t="s">
        <v>52</v>
      </c>
      <c r="G652" s="3" t="s">
        <v>448</v>
      </c>
      <c r="H652" s="3" t="s">
        <v>45</v>
      </c>
      <c r="I652" s="3">
        <v>2025</v>
      </c>
      <c r="J652" s="3" t="str">
        <f>CONCATENATE("54820368477")</f>
        <v>54820368477</v>
      </c>
      <c r="K652" s="3" t="s">
        <v>33</v>
      </c>
      <c r="L652" s="3"/>
      <c r="M652" s="3" t="s">
        <v>131</v>
      </c>
      <c r="N652" s="3" t="str">
        <f>CONCATENATE("BRSMRZ66H05F347C")</f>
        <v>BRSMRZ66H05F347C</v>
      </c>
      <c r="O652" s="3" t="s">
        <v>773</v>
      </c>
      <c r="P652" s="3" t="s">
        <v>36</v>
      </c>
      <c r="Q652" s="3"/>
      <c r="R652" s="4">
        <v>45996</v>
      </c>
      <c r="S652" s="3" t="s">
        <v>37</v>
      </c>
      <c r="T652" s="3" t="s">
        <v>38</v>
      </c>
      <c r="U652" s="3" t="s">
        <v>39</v>
      </c>
      <c r="V652" s="3">
        <v>364.75</v>
      </c>
      <c r="W652" s="3">
        <v>155.02000000000001</v>
      </c>
      <c r="X652" s="3">
        <v>146.81</v>
      </c>
      <c r="Y652" s="3">
        <v>62.92</v>
      </c>
    </row>
    <row r="653" spans="1:25" ht="60.75" x14ac:dyDescent="0.25">
      <c r="A653" s="3" t="s">
        <v>26</v>
      </c>
      <c r="B653" s="3" t="s">
        <v>27</v>
      </c>
      <c r="C653" s="3" t="s">
        <v>28</v>
      </c>
      <c r="D653" s="3" t="s">
        <v>50</v>
      </c>
      <c r="E653" s="3" t="s">
        <v>147</v>
      </c>
      <c r="F653" s="3" t="s">
        <v>52</v>
      </c>
      <c r="G653" s="3" t="s">
        <v>147</v>
      </c>
      <c r="H653" s="3" t="s">
        <v>45</v>
      </c>
      <c r="I653" s="3">
        <v>2025</v>
      </c>
      <c r="J653" s="3" t="str">
        <f>CONCATENATE("54820167663")</f>
        <v>54820167663</v>
      </c>
      <c r="K653" s="3" t="s">
        <v>33</v>
      </c>
      <c r="L653" s="3"/>
      <c r="M653" s="3" t="s">
        <v>131</v>
      </c>
      <c r="N653" s="3" t="str">
        <f>CONCATENATE("GRTGCM76M31D749C")</f>
        <v>GRTGCM76M31D749C</v>
      </c>
      <c r="O653" s="3" t="s">
        <v>774</v>
      </c>
      <c r="P653" s="3" t="s">
        <v>36</v>
      </c>
      <c r="Q653" s="3"/>
      <c r="R653" s="4">
        <v>45996</v>
      </c>
      <c r="S653" s="3" t="s">
        <v>37</v>
      </c>
      <c r="T653" s="3" t="s">
        <v>38</v>
      </c>
      <c r="U653" s="3" t="s">
        <v>39</v>
      </c>
      <c r="V653" s="3">
        <v>76.349999999999994</v>
      </c>
      <c r="W653" s="3">
        <v>32.450000000000003</v>
      </c>
      <c r="X653" s="3">
        <v>30.73</v>
      </c>
      <c r="Y653" s="3">
        <v>13.17</v>
      </c>
    </row>
    <row r="654" spans="1:25" ht="60.75" x14ac:dyDescent="0.25">
      <c r="A654" s="3" t="s">
        <v>26</v>
      </c>
      <c r="B654" s="3" t="s">
        <v>27</v>
      </c>
      <c r="C654" s="3" t="s">
        <v>28</v>
      </c>
      <c r="D654" s="3" t="s">
        <v>50</v>
      </c>
      <c r="E654" s="3" t="s">
        <v>252</v>
      </c>
      <c r="F654" s="3" t="s">
        <v>52</v>
      </c>
      <c r="G654" s="3" t="s">
        <v>252</v>
      </c>
      <c r="H654" s="3" t="s">
        <v>45</v>
      </c>
      <c r="I654" s="3">
        <v>2025</v>
      </c>
      <c r="J654" s="3" t="str">
        <f>CONCATENATE("54820242771")</f>
        <v>54820242771</v>
      </c>
      <c r="K654" s="3" t="s">
        <v>33</v>
      </c>
      <c r="L654" s="3"/>
      <c r="M654" s="3" t="s">
        <v>131</v>
      </c>
      <c r="N654" s="3" t="str">
        <f>CONCATENATE("CRNNDR74C05D488B")</f>
        <v>CRNNDR74C05D488B</v>
      </c>
      <c r="O654" s="3" t="s">
        <v>775</v>
      </c>
      <c r="P654" s="3" t="s">
        <v>36</v>
      </c>
      <c r="Q654" s="3"/>
      <c r="R654" s="4">
        <v>45996</v>
      </c>
      <c r="S654" s="3" t="s">
        <v>37</v>
      </c>
      <c r="T654" s="3" t="s">
        <v>38</v>
      </c>
      <c r="U654" s="3" t="s">
        <v>39</v>
      </c>
      <c r="V654" s="3">
        <v>574.6</v>
      </c>
      <c r="W654" s="3">
        <v>244.21</v>
      </c>
      <c r="X654" s="3">
        <v>231.28</v>
      </c>
      <c r="Y654" s="3">
        <v>99.11</v>
      </c>
    </row>
    <row r="655" spans="1:25" ht="60.75" x14ac:dyDescent="0.25">
      <c r="A655" s="3" t="s">
        <v>26</v>
      </c>
      <c r="B655" s="3" t="s">
        <v>27</v>
      </c>
      <c r="C655" s="3" t="s">
        <v>28</v>
      </c>
      <c r="D655" s="3" t="s">
        <v>91</v>
      </c>
      <c r="E655" s="3" t="s">
        <v>151</v>
      </c>
      <c r="F655" s="3" t="s">
        <v>93</v>
      </c>
      <c r="G655" s="3" t="s">
        <v>151</v>
      </c>
      <c r="H655" s="3" t="s">
        <v>45</v>
      </c>
      <c r="I655" s="3">
        <v>2025</v>
      </c>
      <c r="J655" s="3" t="str">
        <f>CONCATENATE("54820211412")</f>
        <v>54820211412</v>
      </c>
      <c r="K655" s="3" t="s">
        <v>33</v>
      </c>
      <c r="L655" s="3"/>
      <c r="M655" s="3" t="s">
        <v>131</v>
      </c>
      <c r="N655" s="3" t="str">
        <f>CONCATENATE("BGNVIO50A07G453I")</f>
        <v>BGNVIO50A07G453I</v>
      </c>
      <c r="O655" s="3" t="s">
        <v>776</v>
      </c>
      <c r="P655" s="3" t="s">
        <v>36</v>
      </c>
      <c r="Q655" s="3"/>
      <c r="R655" s="4">
        <v>45996</v>
      </c>
      <c r="S655" s="3" t="s">
        <v>37</v>
      </c>
      <c r="T655" s="3" t="s">
        <v>38</v>
      </c>
      <c r="U655" s="3" t="s">
        <v>39</v>
      </c>
      <c r="V655" s="5">
        <v>1048.6099999999999</v>
      </c>
      <c r="W655" s="3">
        <v>445.66</v>
      </c>
      <c r="X655" s="3">
        <v>422.07</v>
      </c>
      <c r="Y655" s="3">
        <v>180.88</v>
      </c>
    </row>
    <row r="656" spans="1:25" ht="60.75" x14ac:dyDescent="0.25">
      <c r="A656" s="3" t="s">
        <v>26</v>
      </c>
      <c r="B656" s="3" t="s">
        <v>27</v>
      </c>
      <c r="C656" s="3" t="s">
        <v>28</v>
      </c>
      <c r="D656" s="3" t="s">
        <v>50</v>
      </c>
      <c r="E656" s="3" t="s">
        <v>252</v>
      </c>
      <c r="F656" s="3" t="s">
        <v>52</v>
      </c>
      <c r="G656" s="3" t="s">
        <v>252</v>
      </c>
      <c r="H656" s="3" t="s">
        <v>45</v>
      </c>
      <c r="I656" s="3">
        <v>2025</v>
      </c>
      <c r="J656" s="3" t="str">
        <f>CONCATENATE("54820190319")</f>
        <v>54820190319</v>
      </c>
      <c r="K656" s="3" t="s">
        <v>33</v>
      </c>
      <c r="L656" s="3"/>
      <c r="M656" s="3" t="s">
        <v>131</v>
      </c>
      <c r="N656" s="3" t="str">
        <f>CONCATENATE("FCLTCL47E48D749R")</f>
        <v>FCLTCL47E48D749R</v>
      </c>
      <c r="O656" s="3" t="s">
        <v>777</v>
      </c>
      <c r="P656" s="3" t="s">
        <v>36</v>
      </c>
      <c r="Q656" s="3"/>
      <c r="R656" s="4">
        <v>45996</v>
      </c>
      <c r="S656" s="3" t="s">
        <v>37</v>
      </c>
      <c r="T656" s="3" t="s">
        <v>38</v>
      </c>
      <c r="U656" s="3" t="s">
        <v>39</v>
      </c>
      <c r="V656" s="3">
        <v>154.91999999999999</v>
      </c>
      <c r="W656" s="3">
        <v>65.84</v>
      </c>
      <c r="X656" s="3">
        <v>62.36</v>
      </c>
      <c r="Y656" s="3">
        <v>26.72</v>
      </c>
    </row>
    <row r="657" spans="1:25" ht="60.75" x14ac:dyDescent="0.25">
      <c r="A657" s="3" t="s">
        <v>26</v>
      </c>
      <c r="B657" s="3" t="s">
        <v>27</v>
      </c>
      <c r="C657" s="3" t="s">
        <v>28</v>
      </c>
      <c r="D657" s="3" t="s">
        <v>91</v>
      </c>
      <c r="E657" s="3" t="s">
        <v>151</v>
      </c>
      <c r="F657" s="3" t="s">
        <v>93</v>
      </c>
      <c r="G657" s="3" t="s">
        <v>151</v>
      </c>
      <c r="H657" s="3" t="s">
        <v>45</v>
      </c>
      <c r="I657" s="3">
        <v>2025</v>
      </c>
      <c r="J657" s="3" t="str">
        <f>CONCATENATE("54820205679")</f>
        <v>54820205679</v>
      </c>
      <c r="K657" s="3" t="s">
        <v>33</v>
      </c>
      <c r="L657" s="3"/>
      <c r="M657" s="3" t="s">
        <v>131</v>
      </c>
      <c r="N657" s="3" t="str">
        <f>CONCATENATE("NGLMLE65E49G453B")</f>
        <v>NGLMLE65E49G453B</v>
      </c>
      <c r="O657" s="3" t="s">
        <v>778</v>
      </c>
      <c r="P657" s="3" t="s">
        <v>36</v>
      </c>
      <c r="Q657" s="3"/>
      <c r="R657" s="4">
        <v>45996</v>
      </c>
      <c r="S657" s="3" t="s">
        <v>37</v>
      </c>
      <c r="T657" s="3" t="s">
        <v>38</v>
      </c>
      <c r="U657" s="3" t="s">
        <v>39</v>
      </c>
      <c r="V657" s="3">
        <v>303.51</v>
      </c>
      <c r="W657" s="3">
        <v>128.99</v>
      </c>
      <c r="X657" s="3">
        <v>122.16</v>
      </c>
      <c r="Y657" s="3">
        <v>52.36</v>
      </c>
    </row>
    <row r="658" spans="1:25" ht="60.75" x14ac:dyDescent="0.25">
      <c r="A658" s="3" t="s">
        <v>26</v>
      </c>
      <c r="B658" s="3" t="s">
        <v>27</v>
      </c>
      <c r="C658" s="3" t="s">
        <v>28</v>
      </c>
      <c r="D658" s="3" t="s">
        <v>104</v>
      </c>
      <c r="E658" s="3" t="s">
        <v>141</v>
      </c>
      <c r="F658" s="3" t="s">
        <v>104</v>
      </c>
      <c r="G658" s="3" t="s">
        <v>141</v>
      </c>
      <c r="H658" s="3" t="s">
        <v>96</v>
      </c>
      <c r="I658" s="3">
        <v>2025</v>
      </c>
      <c r="J658" s="3" t="str">
        <f>CONCATENATE("54820276738")</f>
        <v>54820276738</v>
      </c>
      <c r="K658" s="3" t="s">
        <v>33</v>
      </c>
      <c r="L658" s="3"/>
      <c r="M658" s="3" t="s">
        <v>131</v>
      </c>
      <c r="N658" s="3" t="str">
        <f>CONCATENATE("PSCFNC69A20A252S")</f>
        <v>PSCFNC69A20A252S</v>
      </c>
      <c r="O658" s="3" t="s">
        <v>779</v>
      </c>
      <c r="P658" s="3" t="s">
        <v>36</v>
      </c>
      <c r="Q658" s="3"/>
      <c r="R658" s="4">
        <v>45996</v>
      </c>
      <c r="S658" s="3" t="s">
        <v>37</v>
      </c>
      <c r="T658" s="3" t="s">
        <v>38</v>
      </c>
      <c r="U658" s="3" t="s">
        <v>39</v>
      </c>
      <c r="V658" s="3">
        <v>193.28</v>
      </c>
      <c r="W658" s="3">
        <v>82.14</v>
      </c>
      <c r="X658" s="3">
        <v>77.8</v>
      </c>
      <c r="Y658" s="3">
        <v>33.340000000000003</v>
      </c>
    </row>
    <row r="659" spans="1:25" ht="60.75" x14ac:dyDescent="0.25">
      <c r="A659" s="3" t="s">
        <v>26</v>
      </c>
      <c r="B659" s="3" t="s">
        <v>27</v>
      </c>
      <c r="C659" s="3" t="s">
        <v>28</v>
      </c>
      <c r="D659" s="3" t="s">
        <v>50</v>
      </c>
      <c r="E659" s="3" t="s">
        <v>60</v>
      </c>
      <c r="F659" s="3" t="s">
        <v>52</v>
      </c>
      <c r="G659" s="3" t="s">
        <v>60</v>
      </c>
      <c r="H659" s="3" t="s">
        <v>45</v>
      </c>
      <c r="I659" s="3">
        <v>2025</v>
      </c>
      <c r="J659" s="3" t="str">
        <f>CONCATENATE("54820243860")</f>
        <v>54820243860</v>
      </c>
      <c r="K659" s="3" t="s">
        <v>33</v>
      </c>
      <c r="L659" s="3"/>
      <c r="M659" s="3" t="s">
        <v>131</v>
      </c>
      <c r="N659" s="3" t="str">
        <f>CONCATENATE("MSNPLA75R18G453W")</f>
        <v>MSNPLA75R18G453W</v>
      </c>
      <c r="O659" s="3" t="s">
        <v>780</v>
      </c>
      <c r="P659" s="3" t="s">
        <v>36</v>
      </c>
      <c r="Q659" s="3"/>
      <c r="R659" s="4">
        <v>45996</v>
      </c>
      <c r="S659" s="3" t="s">
        <v>37</v>
      </c>
      <c r="T659" s="3" t="s">
        <v>38</v>
      </c>
      <c r="U659" s="3" t="s">
        <v>39</v>
      </c>
      <c r="V659" s="3">
        <v>601.1</v>
      </c>
      <c r="W659" s="3">
        <v>255.47</v>
      </c>
      <c r="X659" s="3">
        <v>241.94</v>
      </c>
      <c r="Y659" s="3">
        <v>103.69</v>
      </c>
    </row>
    <row r="660" spans="1:25" ht="60.75" x14ac:dyDescent="0.25">
      <c r="A660" s="3" t="s">
        <v>26</v>
      </c>
      <c r="B660" s="3" t="s">
        <v>27</v>
      </c>
      <c r="C660" s="3" t="s">
        <v>28</v>
      </c>
      <c r="D660" s="3" t="s">
        <v>50</v>
      </c>
      <c r="E660" s="3" t="s">
        <v>252</v>
      </c>
      <c r="F660" s="3" t="s">
        <v>52</v>
      </c>
      <c r="G660" s="3" t="s">
        <v>252</v>
      </c>
      <c r="H660" s="3" t="s">
        <v>45</v>
      </c>
      <c r="I660" s="3">
        <v>2025</v>
      </c>
      <c r="J660" s="3" t="str">
        <f>CONCATENATE("54820211065")</f>
        <v>54820211065</v>
      </c>
      <c r="K660" s="3" t="s">
        <v>33</v>
      </c>
      <c r="L660" s="3"/>
      <c r="M660" s="3" t="s">
        <v>131</v>
      </c>
      <c r="N660" s="3" t="str">
        <f>CONCATENATE("PTRPRZ61E23G453J")</f>
        <v>PTRPRZ61E23G453J</v>
      </c>
      <c r="O660" s="3" t="s">
        <v>781</v>
      </c>
      <c r="P660" s="3" t="s">
        <v>36</v>
      </c>
      <c r="Q660" s="3"/>
      <c r="R660" s="4">
        <v>45996</v>
      </c>
      <c r="S660" s="3" t="s">
        <v>37</v>
      </c>
      <c r="T660" s="3" t="s">
        <v>38</v>
      </c>
      <c r="U660" s="3" t="s">
        <v>39</v>
      </c>
      <c r="V660" s="3">
        <v>150.69</v>
      </c>
      <c r="W660" s="3">
        <v>64.040000000000006</v>
      </c>
      <c r="X660" s="3">
        <v>60.65</v>
      </c>
      <c r="Y660" s="3">
        <v>26</v>
      </c>
    </row>
    <row r="661" spans="1:25" ht="60.75" x14ac:dyDescent="0.25">
      <c r="A661" s="3" t="s">
        <v>26</v>
      </c>
      <c r="B661" s="3" t="s">
        <v>27</v>
      </c>
      <c r="C661" s="3" t="s">
        <v>28</v>
      </c>
      <c r="D661" s="3" t="s">
        <v>91</v>
      </c>
      <c r="E661" s="3" t="s">
        <v>522</v>
      </c>
      <c r="F661" s="3" t="s">
        <v>93</v>
      </c>
      <c r="G661" s="3" t="s">
        <v>522</v>
      </c>
      <c r="H661" s="3" t="s">
        <v>32</v>
      </c>
      <c r="I661" s="3">
        <v>2025</v>
      </c>
      <c r="J661" s="3" t="str">
        <f>CONCATENATE("54820202619")</f>
        <v>54820202619</v>
      </c>
      <c r="K661" s="3" t="s">
        <v>33</v>
      </c>
      <c r="L661" s="3"/>
      <c r="M661" s="3" t="s">
        <v>131</v>
      </c>
      <c r="N661" s="3" t="str">
        <f>CONCATENATE("CNGGST60B24A271E")</f>
        <v>CNGGST60B24A271E</v>
      </c>
      <c r="O661" s="3" t="s">
        <v>782</v>
      </c>
      <c r="P661" s="3" t="s">
        <v>36</v>
      </c>
      <c r="Q661" s="3"/>
      <c r="R661" s="4">
        <v>45996</v>
      </c>
      <c r="S661" s="3" t="s">
        <v>37</v>
      </c>
      <c r="T661" s="3" t="s">
        <v>38</v>
      </c>
      <c r="U661" s="3" t="s">
        <v>39</v>
      </c>
      <c r="V661" s="3">
        <v>232.02</v>
      </c>
      <c r="W661" s="3">
        <v>98.61</v>
      </c>
      <c r="X661" s="3">
        <v>93.39</v>
      </c>
      <c r="Y661" s="3">
        <v>40.020000000000003</v>
      </c>
    </row>
    <row r="662" spans="1:25" ht="60.75" x14ac:dyDescent="0.25">
      <c r="A662" s="3" t="s">
        <v>26</v>
      </c>
      <c r="B662" s="3" t="s">
        <v>27</v>
      </c>
      <c r="C662" s="3" t="s">
        <v>28</v>
      </c>
      <c r="D662" s="3" t="s">
        <v>104</v>
      </c>
      <c r="E662" s="3" t="s">
        <v>141</v>
      </c>
      <c r="F662" s="3" t="s">
        <v>104</v>
      </c>
      <c r="G662" s="3" t="s">
        <v>141</v>
      </c>
      <c r="H662" s="3" t="s">
        <v>96</v>
      </c>
      <c r="I662" s="3">
        <v>2025</v>
      </c>
      <c r="J662" s="3" t="str">
        <f>CONCATENATE("54820276787")</f>
        <v>54820276787</v>
      </c>
      <c r="K662" s="3" t="s">
        <v>33</v>
      </c>
      <c r="L662" s="3"/>
      <c r="M662" s="3" t="s">
        <v>131</v>
      </c>
      <c r="N662" s="3" t="str">
        <f>CONCATENATE("VNESND65M18F570B")</f>
        <v>VNESND65M18F570B</v>
      </c>
      <c r="O662" s="3" t="s">
        <v>783</v>
      </c>
      <c r="P662" s="3" t="s">
        <v>36</v>
      </c>
      <c r="Q662" s="3"/>
      <c r="R662" s="4">
        <v>45996</v>
      </c>
      <c r="S662" s="3" t="s">
        <v>37</v>
      </c>
      <c r="T662" s="3" t="s">
        <v>38</v>
      </c>
      <c r="U662" s="3" t="s">
        <v>39</v>
      </c>
      <c r="V662" s="3">
        <v>452.59</v>
      </c>
      <c r="W662" s="3">
        <v>192.35</v>
      </c>
      <c r="X662" s="3">
        <v>182.17</v>
      </c>
      <c r="Y662" s="3">
        <v>78.069999999999993</v>
      </c>
    </row>
    <row r="663" spans="1:25" ht="72.75" x14ac:dyDescent="0.25">
      <c r="A663" s="3" t="s">
        <v>26</v>
      </c>
      <c r="B663" s="3" t="s">
        <v>27</v>
      </c>
      <c r="C663" s="3" t="s">
        <v>28</v>
      </c>
      <c r="D663" s="3" t="s">
        <v>50</v>
      </c>
      <c r="E663" s="3" t="s">
        <v>149</v>
      </c>
      <c r="F663" s="3" t="s">
        <v>52</v>
      </c>
      <c r="G663" s="3" t="s">
        <v>149</v>
      </c>
      <c r="H663" s="3" t="s">
        <v>96</v>
      </c>
      <c r="I663" s="3">
        <v>2025</v>
      </c>
      <c r="J663" s="3" t="str">
        <f>CONCATENATE("54820182878")</f>
        <v>54820182878</v>
      </c>
      <c r="K663" s="3" t="s">
        <v>33</v>
      </c>
      <c r="L663" s="3"/>
      <c r="M663" s="3" t="s">
        <v>131</v>
      </c>
      <c r="N663" s="3" t="str">
        <f>CONCATENATE("CCCGPL73D16A462R")</f>
        <v>CCCGPL73D16A462R</v>
      </c>
      <c r="O663" s="3" t="s">
        <v>784</v>
      </c>
      <c r="P663" s="3" t="s">
        <v>36</v>
      </c>
      <c r="Q663" s="3"/>
      <c r="R663" s="4">
        <v>45996</v>
      </c>
      <c r="S663" s="3" t="s">
        <v>37</v>
      </c>
      <c r="T663" s="3" t="s">
        <v>38</v>
      </c>
      <c r="U663" s="3" t="s">
        <v>39</v>
      </c>
      <c r="V663" s="3">
        <v>115.64</v>
      </c>
      <c r="W663" s="3">
        <v>49.15</v>
      </c>
      <c r="X663" s="3">
        <v>46.55</v>
      </c>
      <c r="Y663" s="3">
        <v>19.940000000000001</v>
      </c>
    </row>
    <row r="664" spans="1:25" ht="72.75" x14ac:dyDescent="0.25">
      <c r="A664" s="3" t="s">
        <v>26</v>
      </c>
      <c r="B664" s="3" t="s">
        <v>27</v>
      </c>
      <c r="C664" s="3" t="s">
        <v>28</v>
      </c>
      <c r="D664" s="3" t="s">
        <v>91</v>
      </c>
      <c r="E664" s="3" t="s">
        <v>95</v>
      </c>
      <c r="F664" s="3" t="s">
        <v>93</v>
      </c>
      <c r="G664" s="3" t="s">
        <v>95</v>
      </c>
      <c r="H664" s="3" t="s">
        <v>96</v>
      </c>
      <c r="I664" s="3">
        <v>2025</v>
      </c>
      <c r="J664" s="3" t="str">
        <f>CONCATENATE("54820237466")</f>
        <v>54820237466</v>
      </c>
      <c r="K664" s="3" t="s">
        <v>33</v>
      </c>
      <c r="L664" s="3"/>
      <c r="M664" s="3" t="s">
        <v>131</v>
      </c>
      <c r="N664" s="3" t="str">
        <f>CONCATENATE("MRACMN73B07A462W")</f>
        <v>MRACMN73B07A462W</v>
      </c>
      <c r="O664" s="3" t="s">
        <v>785</v>
      </c>
      <c r="P664" s="3" t="s">
        <v>36</v>
      </c>
      <c r="Q664" s="3"/>
      <c r="R664" s="4">
        <v>45996</v>
      </c>
      <c r="S664" s="3" t="s">
        <v>37</v>
      </c>
      <c r="T664" s="3" t="s">
        <v>38</v>
      </c>
      <c r="U664" s="3" t="s">
        <v>39</v>
      </c>
      <c r="V664" s="3">
        <v>235.38</v>
      </c>
      <c r="W664" s="3">
        <v>100.04</v>
      </c>
      <c r="X664" s="3">
        <v>94.74</v>
      </c>
      <c r="Y664" s="3">
        <v>40.6</v>
      </c>
    </row>
    <row r="665" spans="1:25" ht="60.75" x14ac:dyDescent="0.25">
      <c r="A665" s="3" t="s">
        <v>26</v>
      </c>
      <c r="B665" s="3" t="s">
        <v>27</v>
      </c>
      <c r="C665" s="3" t="s">
        <v>28</v>
      </c>
      <c r="D665" s="3" t="s">
        <v>29</v>
      </c>
      <c r="E665" s="3" t="s">
        <v>47</v>
      </c>
      <c r="F665" s="3" t="s">
        <v>31</v>
      </c>
      <c r="G665" s="3" t="s">
        <v>47</v>
      </c>
      <c r="H665" s="3" t="s">
        <v>48</v>
      </c>
      <c r="I665" s="3">
        <v>2025</v>
      </c>
      <c r="J665" s="3" t="str">
        <f>CONCATENATE("54820219126")</f>
        <v>54820219126</v>
      </c>
      <c r="K665" s="3" t="s">
        <v>33</v>
      </c>
      <c r="L665" s="3"/>
      <c r="M665" s="3" t="s">
        <v>131</v>
      </c>
      <c r="N665" s="3" t="str">
        <f>CONCATENATE("STLGLC70L16E388S")</f>
        <v>STLGLC70L16E388S</v>
      </c>
      <c r="O665" s="3" t="s">
        <v>786</v>
      </c>
      <c r="P665" s="3" t="s">
        <v>36</v>
      </c>
      <c r="Q665" s="3"/>
      <c r="R665" s="4">
        <v>45996</v>
      </c>
      <c r="S665" s="3" t="s">
        <v>37</v>
      </c>
      <c r="T665" s="3" t="s">
        <v>38</v>
      </c>
      <c r="U665" s="3" t="s">
        <v>39</v>
      </c>
      <c r="V665" s="3">
        <v>339.64</v>
      </c>
      <c r="W665" s="3">
        <v>144.35</v>
      </c>
      <c r="X665" s="3">
        <v>136.71</v>
      </c>
      <c r="Y665" s="3">
        <v>58.58</v>
      </c>
    </row>
    <row r="666" spans="1:25" ht="36.75" x14ac:dyDescent="0.25">
      <c r="A666" s="3" t="s">
        <v>26</v>
      </c>
      <c r="B666" s="3" t="s">
        <v>27</v>
      </c>
      <c r="C666" s="3" t="s">
        <v>28</v>
      </c>
      <c r="D666" s="3" t="s">
        <v>29</v>
      </c>
      <c r="E666" s="3" t="s">
        <v>47</v>
      </c>
      <c r="F666" s="3" t="s">
        <v>31</v>
      </c>
      <c r="G666" s="3" t="s">
        <v>47</v>
      </c>
      <c r="H666" s="3" t="s">
        <v>48</v>
      </c>
      <c r="I666" s="3">
        <v>2025</v>
      </c>
      <c r="J666" s="3" t="str">
        <f>CONCATENATE("54820179726")</f>
        <v>54820179726</v>
      </c>
      <c r="K666" s="3" t="s">
        <v>33</v>
      </c>
      <c r="L666" s="3"/>
      <c r="M666" s="3" t="s">
        <v>131</v>
      </c>
      <c r="N666" s="3" t="str">
        <f>CONCATENATE("81002710424")</f>
        <v>81002710424</v>
      </c>
      <c r="O666" s="3" t="s">
        <v>49</v>
      </c>
      <c r="P666" s="3" t="s">
        <v>36</v>
      </c>
      <c r="Q666" s="3"/>
      <c r="R666" s="4">
        <v>45996</v>
      </c>
      <c r="S666" s="3" t="s">
        <v>37</v>
      </c>
      <c r="T666" s="3" t="s">
        <v>38</v>
      </c>
      <c r="U666" s="3" t="s">
        <v>39</v>
      </c>
      <c r="V666" s="5">
        <v>1063.6199999999999</v>
      </c>
      <c r="W666" s="3">
        <v>452.04</v>
      </c>
      <c r="X666" s="3">
        <v>428.11</v>
      </c>
      <c r="Y666" s="3">
        <v>183.47</v>
      </c>
    </row>
    <row r="667" spans="1:25" ht="60.75" x14ac:dyDescent="0.25">
      <c r="A667" s="3" t="s">
        <v>26</v>
      </c>
      <c r="B667" s="3" t="s">
        <v>27</v>
      </c>
      <c r="C667" s="3" t="s">
        <v>28</v>
      </c>
      <c r="D667" s="3" t="s">
        <v>50</v>
      </c>
      <c r="E667" s="3" t="s">
        <v>252</v>
      </c>
      <c r="F667" s="3" t="s">
        <v>52</v>
      </c>
      <c r="G667" s="3" t="s">
        <v>252</v>
      </c>
      <c r="H667" s="3" t="s">
        <v>45</v>
      </c>
      <c r="I667" s="3">
        <v>2025</v>
      </c>
      <c r="J667" s="3" t="str">
        <f>CONCATENATE("54820112164")</f>
        <v>54820112164</v>
      </c>
      <c r="K667" s="3" t="s">
        <v>33</v>
      </c>
      <c r="L667" s="3"/>
      <c r="M667" s="3" t="s">
        <v>131</v>
      </c>
      <c r="N667" s="3" t="str">
        <f>CONCATENATE("CPRCST47M01D749K")</f>
        <v>CPRCST47M01D749K</v>
      </c>
      <c r="O667" s="3" t="s">
        <v>787</v>
      </c>
      <c r="P667" s="3" t="s">
        <v>36</v>
      </c>
      <c r="Q667" s="3"/>
      <c r="R667" s="4">
        <v>45996</v>
      </c>
      <c r="S667" s="3" t="s">
        <v>37</v>
      </c>
      <c r="T667" s="3" t="s">
        <v>38</v>
      </c>
      <c r="U667" s="3" t="s">
        <v>39</v>
      </c>
      <c r="V667" s="3">
        <v>196.96</v>
      </c>
      <c r="W667" s="3">
        <v>83.71</v>
      </c>
      <c r="X667" s="3">
        <v>79.28</v>
      </c>
      <c r="Y667" s="3">
        <v>33.97</v>
      </c>
    </row>
    <row r="668" spans="1:25" ht="36.75" x14ac:dyDescent="0.25">
      <c r="A668" s="3" t="s">
        <v>26</v>
      </c>
      <c r="B668" s="3" t="s">
        <v>27</v>
      </c>
      <c r="C668" s="3" t="s">
        <v>28</v>
      </c>
      <c r="D668" s="3" t="s">
        <v>29</v>
      </c>
      <c r="E668" s="3" t="s">
        <v>186</v>
      </c>
      <c r="F668" s="3" t="s">
        <v>31</v>
      </c>
      <c r="G668" s="3" t="s">
        <v>186</v>
      </c>
      <c r="H668" s="3" t="s">
        <v>45</v>
      </c>
      <c r="I668" s="3">
        <v>2025</v>
      </c>
      <c r="J668" s="3" t="str">
        <f>CONCATENATE("54820026950")</f>
        <v>54820026950</v>
      </c>
      <c r="K668" s="3" t="s">
        <v>33</v>
      </c>
      <c r="L668" s="3"/>
      <c r="M668" s="3" t="s">
        <v>131</v>
      </c>
      <c r="N668" s="3" t="str">
        <f>CONCATENATE("00460120413")</f>
        <v>00460120413</v>
      </c>
      <c r="O668" s="3" t="s">
        <v>788</v>
      </c>
      <c r="P668" s="3" t="s">
        <v>36</v>
      </c>
      <c r="Q668" s="3"/>
      <c r="R668" s="4">
        <v>45996</v>
      </c>
      <c r="S668" s="3" t="s">
        <v>37</v>
      </c>
      <c r="T668" s="3" t="s">
        <v>38</v>
      </c>
      <c r="U668" s="3" t="s">
        <v>39</v>
      </c>
      <c r="V668" s="3">
        <v>452.65</v>
      </c>
      <c r="W668" s="3">
        <v>192.38</v>
      </c>
      <c r="X668" s="3">
        <v>182.19</v>
      </c>
      <c r="Y668" s="3">
        <v>78.08</v>
      </c>
    </row>
    <row r="669" spans="1:25" ht="60.75" x14ac:dyDescent="0.25">
      <c r="A669" s="3" t="s">
        <v>26</v>
      </c>
      <c r="B669" s="3" t="s">
        <v>27</v>
      </c>
      <c r="C669" s="3" t="s">
        <v>28</v>
      </c>
      <c r="D669" s="3" t="s">
        <v>29</v>
      </c>
      <c r="E669" s="3" t="s">
        <v>186</v>
      </c>
      <c r="F669" s="3" t="s">
        <v>31</v>
      </c>
      <c r="G669" s="3" t="s">
        <v>186</v>
      </c>
      <c r="H669" s="3" t="s">
        <v>45</v>
      </c>
      <c r="I669" s="3">
        <v>2025</v>
      </c>
      <c r="J669" s="3" t="str">
        <f>CONCATENATE("54820028303")</f>
        <v>54820028303</v>
      </c>
      <c r="K669" s="3" t="s">
        <v>33</v>
      </c>
      <c r="L669" s="3"/>
      <c r="M669" s="3" t="s">
        <v>131</v>
      </c>
      <c r="N669" s="3" t="str">
        <f>CONCATENATE("DNGDNC73L22E785D")</f>
        <v>DNGDNC73L22E785D</v>
      </c>
      <c r="O669" s="3" t="s">
        <v>789</v>
      </c>
      <c r="P669" s="3" t="s">
        <v>36</v>
      </c>
      <c r="Q669" s="3"/>
      <c r="R669" s="4">
        <v>45996</v>
      </c>
      <c r="S669" s="3" t="s">
        <v>37</v>
      </c>
      <c r="T669" s="3" t="s">
        <v>38</v>
      </c>
      <c r="U669" s="3" t="s">
        <v>39</v>
      </c>
      <c r="V669" s="3">
        <v>758.47</v>
      </c>
      <c r="W669" s="3">
        <v>322.35000000000002</v>
      </c>
      <c r="X669" s="3">
        <v>305.27999999999997</v>
      </c>
      <c r="Y669" s="3">
        <v>130.84</v>
      </c>
    </row>
    <row r="670" spans="1:25" ht="72.75" x14ac:dyDescent="0.25">
      <c r="A670" s="3" t="s">
        <v>26</v>
      </c>
      <c r="B670" s="3" t="s">
        <v>27</v>
      </c>
      <c r="C670" s="3" t="s">
        <v>28</v>
      </c>
      <c r="D670" s="3" t="s">
        <v>50</v>
      </c>
      <c r="E670" s="3" t="s">
        <v>60</v>
      </c>
      <c r="F670" s="3" t="s">
        <v>52</v>
      </c>
      <c r="G670" s="3" t="s">
        <v>60</v>
      </c>
      <c r="H670" s="3" t="s">
        <v>45</v>
      </c>
      <c r="I670" s="3">
        <v>2025</v>
      </c>
      <c r="J670" s="3" t="str">
        <f>CONCATENATE("54820089107")</f>
        <v>54820089107</v>
      </c>
      <c r="K670" s="3" t="s">
        <v>33</v>
      </c>
      <c r="L670" s="3"/>
      <c r="M670" s="3" t="s">
        <v>131</v>
      </c>
      <c r="N670" s="3" t="str">
        <f>CONCATENATE("MRNPLA67A18A740J")</f>
        <v>MRNPLA67A18A740J</v>
      </c>
      <c r="O670" s="3" t="s">
        <v>790</v>
      </c>
      <c r="P670" s="3" t="s">
        <v>36</v>
      </c>
      <c r="Q670" s="3"/>
      <c r="R670" s="4">
        <v>45996</v>
      </c>
      <c r="S670" s="3" t="s">
        <v>37</v>
      </c>
      <c r="T670" s="3" t="s">
        <v>38</v>
      </c>
      <c r="U670" s="3" t="s">
        <v>39</v>
      </c>
      <c r="V670" s="3">
        <v>80.91</v>
      </c>
      <c r="W670" s="3">
        <v>34.39</v>
      </c>
      <c r="X670" s="3">
        <v>32.57</v>
      </c>
      <c r="Y670" s="3">
        <v>13.95</v>
      </c>
    </row>
    <row r="671" spans="1:25" ht="60.75" x14ac:dyDescent="0.25">
      <c r="A671" s="3" t="s">
        <v>26</v>
      </c>
      <c r="B671" s="3" t="s">
        <v>27</v>
      </c>
      <c r="C671" s="3" t="s">
        <v>28</v>
      </c>
      <c r="D671" s="3" t="s">
        <v>50</v>
      </c>
      <c r="E671" s="3" t="s">
        <v>173</v>
      </c>
      <c r="F671" s="3" t="s">
        <v>52</v>
      </c>
      <c r="G671" s="3" t="s">
        <v>173</v>
      </c>
      <c r="H671" s="3" t="s">
        <v>45</v>
      </c>
      <c r="I671" s="3">
        <v>2025</v>
      </c>
      <c r="J671" s="3" t="str">
        <f>CONCATENATE("54820085436")</f>
        <v>54820085436</v>
      </c>
      <c r="K671" s="3" t="s">
        <v>33</v>
      </c>
      <c r="L671" s="3"/>
      <c r="M671" s="3" t="s">
        <v>131</v>
      </c>
      <c r="N671" s="3" t="str">
        <f>CONCATENATE("DLLFRN53H44C830P")</f>
        <v>DLLFRN53H44C830P</v>
      </c>
      <c r="O671" s="3" t="s">
        <v>791</v>
      </c>
      <c r="P671" s="3" t="s">
        <v>36</v>
      </c>
      <c r="Q671" s="3"/>
      <c r="R671" s="4">
        <v>45996</v>
      </c>
      <c r="S671" s="3" t="s">
        <v>37</v>
      </c>
      <c r="T671" s="3" t="s">
        <v>38</v>
      </c>
      <c r="U671" s="3" t="s">
        <v>39</v>
      </c>
      <c r="V671" s="3">
        <v>137.69999999999999</v>
      </c>
      <c r="W671" s="3">
        <v>58.52</v>
      </c>
      <c r="X671" s="3">
        <v>55.42</v>
      </c>
      <c r="Y671" s="3">
        <v>23.76</v>
      </c>
    </row>
    <row r="672" spans="1:25" ht="60.75" x14ac:dyDescent="0.25">
      <c r="A672" s="3" t="s">
        <v>26</v>
      </c>
      <c r="B672" s="3" t="s">
        <v>27</v>
      </c>
      <c r="C672" s="3" t="s">
        <v>28</v>
      </c>
      <c r="D672" s="3" t="s">
        <v>29</v>
      </c>
      <c r="E672" s="3" t="s">
        <v>101</v>
      </c>
      <c r="F672" s="3" t="s">
        <v>31</v>
      </c>
      <c r="G672" s="3" t="s">
        <v>101</v>
      </c>
      <c r="H672" s="3" t="s">
        <v>32</v>
      </c>
      <c r="I672" s="3">
        <v>2025</v>
      </c>
      <c r="J672" s="3" t="str">
        <f>CONCATENATE("54820110085")</f>
        <v>54820110085</v>
      </c>
      <c r="K672" s="3" t="s">
        <v>33</v>
      </c>
      <c r="L672" s="3"/>
      <c r="M672" s="3" t="s">
        <v>131</v>
      </c>
      <c r="N672" s="3" t="str">
        <f>CONCATENATE("PPGGLI35B56B398P")</f>
        <v>PPGGLI35B56B398P</v>
      </c>
      <c r="O672" s="3" t="s">
        <v>792</v>
      </c>
      <c r="P672" s="3" t="s">
        <v>36</v>
      </c>
      <c r="Q672" s="3"/>
      <c r="R672" s="4">
        <v>45996</v>
      </c>
      <c r="S672" s="3" t="s">
        <v>37</v>
      </c>
      <c r="T672" s="3" t="s">
        <v>38</v>
      </c>
      <c r="U672" s="3" t="s">
        <v>39</v>
      </c>
      <c r="V672" s="3">
        <v>229.19</v>
      </c>
      <c r="W672" s="3">
        <v>97.41</v>
      </c>
      <c r="X672" s="3">
        <v>92.25</v>
      </c>
      <c r="Y672" s="3">
        <v>39.53</v>
      </c>
    </row>
    <row r="673" spans="1:25" ht="60.75" x14ac:dyDescent="0.25">
      <c r="A673" s="3" t="s">
        <v>26</v>
      </c>
      <c r="B673" s="3" t="s">
        <v>27</v>
      </c>
      <c r="C673" s="3" t="s">
        <v>28</v>
      </c>
      <c r="D673" s="3" t="s">
        <v>29</v>
      </c>
      <c r="E673" s="3" t="s">
        <v>228</v>
      </c>
      <c r="F673" s="3" t="s">
        <v>31</v>
      </c>
      <c r="G673" s="3" t="s">
        <v>228</v>
      </c>
      <c r="H673" s="3" t="s">
        <v>45</v>
      </c>
      <c r="I673" s="3">
        <v>2025</v>
      </c>
      <c r="J673" s="3" t="str">
        <f>CONCATENATE("54820039276")</f>
        <v>54820039276</v>
      </c>
      <c r="K673" s="3" t="s">
        <v>33</v>
      </c>
      <c r="L673" s="3"/>
      <c r="M673" s="3" t="s">
        <v>131</v>
      </c>
      <c r="N673" s="3" t="str">
        <f>CONCATENATE("MNCNRC49C10D749Z")</f>
        <v>MNCNRC49C10D749Z</v>
      </c>
      <c r="O673" s="3" t="s">
        <v>793</v>
      </c>
      <c r="P673" s="3" t="s">
        <v>36</v>
      </c>
      <c r="Q673" s="3"/>
      <c r="R673" s="4">
        <v>45996</v>
      </c>
      <c r="S673" s="3" t="s">
        <v>37</v>
      </c>
      <c r="T673" s="3" t="s">
        <v>38</v>
      </c>
      <c r="U673" s="3" t="s">
        <v>39</v>
      </c>
      <c r="V673" s="3">
        <v>55.14</v>
      </c>
      <c r="W673" s="3">
        <v>23.43</v>
      </c>
      <c r="X673" s="3">
        <v>22.19</v>
      </c>
      <c r="Y673" s="3">
        <v>9.52</v>
      </c>
    </row>
    <row r="674" spans="1:25" ht="72.75" x14ac:dyDescent="0.25">
      <c r="A674" s="3" t="s">
        <v>26</v>
      </c>
      <c r="B674" s="3" t="s">
        <v>27</v>
      </c>
      <c r="C674" s="3" t="s">
        <v>28</v>
      </c>
      <c r="D674" s="3" t="s">
        <v>50</v>
      </c>
      <c r="E674" s="3" t="s">
        <v>60</v>
      </c>
      <c r="F674" s="3" t="s">
        <v>52</v>
      </c>
      <c r="G674" s="3" t="s">
        <v>60</v>
      </c>
      <c r="H674" s="3" t="s">
        <v>45</v>
      </c>
      <c r="I674" s="3">
        <v>2025</v>
      </c>
      <c r="J674" s="3" t="str">
        <f>CONCATENATE("54820090147")</f>
        <v>54820090147</v>
      </c>
      <c r="K674" s="3" t="s">
        <v>33</v>
      </c>
      <c r="L674" s="3"/>
      <c r="M674" s="3" t="s">
        <v>131</v>
      </c>
      <c r="N674" s="3" t="str">
        <f>CONCATENATE("BRGSRN47M48B352Q")</f>
        <v>BRGSRN47M48B352Q</v>
      </c>
      <c r="O674" s="3" t="s">
        <v>794</v>
      </c>
      <c r="P674" s="3" t="s">
        <v>36</v>
      </c>
      <c r="Q674" s="3"/>
      <c r="R674" s="4">
        <v>45996</v>
      </c>
      <c r="S674" s="3" t="s">
        <v>37</v>
      </c>
      <c r="T674" s="3" t="s">
        <v>38</v>
      </c>
      <c r="U674" s="3" t="s">
        <v>39</v>
      </c>
      <c r="V674" s="3">
        <v>94.7</v>
      </c>
      <c r="W674" s="3">
        <v>40.25</v>
      </c>
      <c r="X674" s="3">
        <v>38.119999999999997</v>
      </c>
      <c r="Y674" s="3">
        <v>16.329999999999998</v>
      </c>
    </row>
    <row r="675" spans="1:25" ht="72.75" x14ac:dyDescent="0.25">
      <c r="A675" s="3" t="s">
        <v>26</v>
      </c>
      <c r="B675" s="3" t="s">
        <v>27</v>
      </c>
      <c r="C675" s="3" t="s">
        <v>28</v>
      </c>
      <c r="D675" s="3" t="s">
        <v>40</v>
      </c>
      <c r="E675" s="3" t="s">
        <v>287</v>
      </c>
      <c r="F675" s="3" t="s">
        <v>42</v>
      </c>
      <c r="G675" s="3" t="s">
        <v>287</v>
      </c>
      <c r="H675" s="3" t="s">
        <v>32</v>
      </c>
      <c r="I675" s="3">
        <v>2025</v>
      </c>
      <c r="J675" s="3" t="str">
        <f>CONCATENATE("54820016696")</f>
        <v>54820016696</v>
      </c>
      <c r="K675" s="3" t="s">
        <v>33</v>
      </c>
      <c r="L675" s="3"/>
      <c r="M675" s="3" t="s">
        <v>131</v>
      </c>
      <c r="N675" s="3" t="str">
        <f>CONCATENATE("PSCGPP35R13B474A")</f>
        <v>PSCGPP35R13B474A</v>
      </c>
      <c r="O675" s="3" t="s">
        <v>795</v>
      </c>
      <c r="P675" s="3" t="s">
        <v>36</v>
      </c>
      <c r="Q675" s="3"/>
      <c r="R675" s="4">
        <v>45996</v>
      </c>
      <c r="S675" s="3" t="s">
        <v>37</v>
      </c>
      <c r="T675" s="3" t="s">
        <v>38</v>
      </c>
      <c r="U675" s="3" t="s">
        <v>39</v>
      </c>
      <c r="V675" s="3">
        <v>286.89999999999998</v>
      </c>
      <c r="W675" s="3">
        <v>121.93</v>
      </c>
      <c r="X675" s="3">
        <v>115.48</v>
      </c>
      <c r="Y675" s="3">
        <v>49.49</v>
      </c>
    </row>
    <row r="676" spans="1:25" ht="60.75" x14ac:dyDescent="0.25">
      <c r="A676" s="3" t="s">
        <v>26</v>
      </c>
      <c r="B676" s="3" t="s">
        <v>27</v>
      </c>
      <c r="C676" s="3" t="s">
        <v>28</v>
      </c>
      <c r="D676" s="3" t="s">
        <v>29</v>
      </c>
      <c r="E676" s="3" t="s">
        <v>72</v>
      </c>
      <c r="F676" s="3" t="s">
        <v>31</v>
      </c>
      <c r="G676" s="3" t="s">
        <v>72</v>
      </c>
      <c r="H676" s="3" t="s">
        <v>45</v>
      </c>
      <c r="I676" s="3">
        <v>2025</v>
      </c>
      <c r="J676" s="3" t="str">
        <f>CONCATENATE("54820078167")</f>
        <v>54820078167</v>
      </c>
      <c r="K676" s="3" t="s">
        <v>33</v>
      </c>
      <c r="L676" s="3"/>
      <c r="M676" s="3" t="s">
        <v>131</v>
      </c>
      <c r="N676" s="3" t="str">
        <f>CONCATENATE("BNDSFN53M19B352I")</f>
        <v>BNDSFN53M19B352I</v>
      </c>
      <c r="O676" s="3" t="s">
        <v>796</v>
      </c>
      <c r="P676" s="3" t="s">
        <v>36</v>
      </c>
      <c r="Q676" s="3"/>
      <c r="R676" s="4">
        <v>45996</v>
      </c>
      <c r="S676" s="3" t="s">
        <v>37</v>
      </c>
      <c r="T676" s="3" t="s">
        <v>38</v>
      </c>
      <c r="U676" s="3" t="s">
        <v>39</v>
      </c>
      <c r="V676" s="3">
        <v>204.94</v>
      </c>
      <c r="W676" s="3">
        <v>87.1</v>
      </c>
      <c r="X676" s="3">
        <v>82.49</v>
      </c>
      <c r="Y676" s="3">
        <v>35.35</v>
      </c>
    </row>
    <row r="677" spans="1:25" ht="72.75" x14ac:dyDescent="0.25">
      <c r="A677" s="3" t="s">
        <v>26</v>
      </c>
      <c r="B677" s="3" t="s">
        <v>27</v>
      </c>
      <c r="C677" s="3" t="s">
        <v>28</v>
      </c>
      <c r="D677" s="3" t="s">
        <v>29</v>
      </c>
      <c r="E677" s="3" t="s">
        <v>136</v>
      </c>
      <c r="F677" s="3" t="s">
        <v>31</v>
      </c>
      <c r="G677" s="3" t="s">
        <v>136</v>
      </c>
      <c r="H677" s="3" t="s">
        <v>48</v>
      </c>
      <c r="I677" s="3">
        <v>2025</v>
      </c>
      <c r="J677" s="3" t="str">
        <f>CONCATENATE("54820078241")</f>
        <v>54820078241</v>
      </c>
      <c r="K677" s="3" t="s">
        <v>33</v>
      </c>
      <c r="L677" s="3"/>
      <c r="M677" s="3" t="s">
        <v>131</v>
      </c>
      <c r="N677" s="3" t="str">
        <f>CONCATENATE("MGNCLD66M11Z133Y")</f>
        <v>MGNCLD66M11Z133Y</v>
      </c>
      <c r="O677" s="3" t="s">
        <v>797</v>
      </c>
      <c r="P677" s="3" t="s">
        <v>36</v>
      </c>
      <c r="Q677" s="3"/>
      <c r="R677" s="4">
        <v>45996</v>
      </c>
      <c r="S677" s="3" t="s">
        <v>37</v>
      </c>
      <c r="T677" s="3" t="s">
        <v>38</v>
      </c>
      <c r="U677" s="3" t="s">
        <v>39</v>
      </c>
      <c r="V677" s="3">
        <v>274.85000000000002</v>
      </c>
      <c r="W677" s="3">
        <v>116.81</v>
      </c>
      <c r="X677" s="3">
        <v>110.63</v>
      </c>
      <c r="Y677" s="3">
        <v>47.41</v>
      </c>
    </row>
    <row r="678" spans="1:25" ht="36.75" x14ac:dyDescent="0.25">
      <c r="A678" s="3" t="s">
        <v>26</v>
      </c>
      <c r="B678" s="3" t="s">
        <v>27</v>
      </c>
      <c r="C678" s="3" t="s">
        <v>28</v>
      </c>
      <c r="D678" s="3" t="s">
        <v>91</v>
      </c>
      <c r="E678" s="3" t="s">
        <v>522</v>
      </c>
      <c r="F678" s="3" t="s">
        <v>93</v>
      </c>
      <c r="G678" s="3" t="s">
        <v>522</v>
      </c>
      <c r="H678" s="3" t="s">
        <v>96</v>
      </c>
      <c r="I678" s="3">
        <v>2025</v>
      </c>
      <c r="J678" s="3" t="str">
        <f>CONCATENATE("54820106943")</f>
        <v>54820106943</v>
      </c>
      <c r="K678" s="3" t="s">
        <v>33</v>
      </c>
      <c r="L678" s="3"/>
      <c r="M678" s="3" t="s">
        <v>131</v>
      </c>
      <c r="N678" s="3" t="str">
        <f>CONCATENATE("01201270442")</f>
        <v>01201270442</v>
      </c>
      <c r="O678" s="3" t="s">
        <v>798</v>
      </c>
      <c r="P678" s="3" t="s">
        <v>36</v>
      </c>
      <c r="Q678" s="3"/>
      <c r="R678" s="4">
        <v>45996</v>
      </c>
      <c r="S678" s="3" t="s">
        <v>37</v>
      </c>
      <c r="T678" s="3" t="s">
        <v>38</v>
      </c>
      <c r="U678" s="3" t="s">
        <v>39</v>
      </c>
      <c r="V678" s="3">
        <v>118.9</v>
      </c>
      <c r="W678" s="3">
        <v>50.53</v>
      </c>
      <c r="X678" s="3">
        <v>47.86</v>
      </c>
      <c r="Y678" s="3">
        <v>20.51</v>
      </c>
    </row>
    <row r="679" spans="1:25" ht="60.75" x14ac:dyDescent="0.25">
      <c r="A679" s="3" t="s">
        <v>26</v>
      </c>
      <c r="B679" s="3" t="s">
        <v>27</v>
      </c>
      <c r="C679" s="3" t="s">
        <v>28</v>
      </c>
      <c r="D679" s="3" t="s">
        <v>29</v>
      </c>
      <c r="E679" s="3" t="s">
        <v>47</v>
      </c>
      <c r="F679" s="3" t="s">
        <v>31</v>
      </c>
      <c r="G679" s="3" t="s">
        <v>47</v>
      </c>
      <c r="H679" s="3" t="s">
        <v>48</v>
      </c>
      <c r="I679" s="3">
        <v>2025</v>
      </c>
      <c r="J679" s="3" t="str">
        <f>CONCATENATE("54820100680")</f>
        <v>54820100680</v>
      </c>
      <c r="K679" s="3" t="s">
        <v>33</v>
      </c>
      <c r="L679" s="3"/>
      <c r="M679" s="3" t="s">
        <v>131</v>
      </c>
      <c r="N679" s="3" t="str">
        <f>CONCATENATE("SPRSVN46E59D451N")</f>
        <v>SPRSVN46E59D451N</v>
      </c>
      <c r="O679" s="3" t="s">
        <v>799</v>
      </c>
      <c r="P679" s="3" t="s">
        <v>36</v>
      </c>
      <c r="Q679" s="3"/>
      <c r="R679" s="4">
        <v>45996</v>
      </c>
      <c r="S679" s="3" t="s">
        <v>37</v>
      </c>
      <c r="T679" s="3" t="s">
        <v>38</v>
      </c>
      <c r="U679" s="3" t="s">
        <v>39</v>
      </c>
      <c r="V679" s="3">
        <v>63.63</v>
      </c>
      <c r="W679" s="3">
        <v>27.04</v>
      </c>
      <c r="X679" s="3">
        <v>25.61</v>
      </c>
      <c r="Y679" s="3">
        <v>10.98</v>
      </c>
    </row>
    <row r="680" spans="1:25" ht="60.75" x14ac:dyDescent="0.25">
      <c r="A680" s="3" t="s">
        <v>26</v>
      </c>
      <c r="B680" s="3" t="s">
        <v>27</v>
      </c>
      <c r="C680" s="3" t="s">
        <v>28</v>
      </c>
      <c r="D680" s="3" t="s">
        <v>29</v>
      </c>
      <c r="E680" s="3" t="s">
        <v>208</v>
      </c>
      <c r="F680" s="3" t="s">
        <v>31</v>
      </c>
      <c r="G680" s="3" t="s">
        <v>208</v>
      </c>
      <c r="H680" s="3" t="s">
        <v>45</v>
      </c>
      <c r="I680" s="3">
        <v>2025</v>
      </c>
      <c r="J680" s="3" t="str">
        <f>CONCATENATE("54820046354")</f>
        <v>54820046354</v>
      </c>
      <c r="K680" s="3" t="s">
        <v>33</v>
      </c>
      <c r="L680" s="3"/>
      <c r="M680" s="3" t="s">
        <v>131</v>
      </c>
      <c r="N680" s="3" t="str">
        <f>CONCATENATE("FNCLRT58H17B026O")</f>
        <v>FNCLRT58H17B026O</v>
      </c>
      <c r="O680" s="3" t="s">
        <v>800</v>
      </c>
      <c r="P680" s="3" t="s">
        <v>36</v>
      </c>
      <c r="Q680" s="3"/>
      <c r="R680" s="4">
        <v>45996</v>
      </c>
      <c r="S680" s="3" t="s">
        <v>37</v>
      </c>
      <c r="T680" s="3" t="s">
        <v>38</v>
      </c>
      <c r="U680" s="3" t="s">
        <v>39</v>
      </c>
      <c r="V680" s="3">
        <v>216.68</v>
      </c>
      <c r="W680" s="3">
        <v>92.09</v>
      </c>
      <c r="X680" s="3">
        <v>87.21</v>
      </c>
      <c r="Y680" s="3">
        <v>37.380000000000003</v>
      </c>
    </row>
    <row r="681" spans="1:25" ht="60.75" x14ac:dyDescent="0.25">
      <c r="A681" s="3" t="s">
        <v>26</v>
      </c>
      <c r="B681" s="3" t="s">
        <v>27</v>
      </c>
      <c r="C681" s="3" t="s">
        <v>28</v>
      </c>
      <c r="D681" s="3" t="s">
        <v>29</v>
      </c>
      <c r="E681" s="3" t="s">
        <v>72</v>
      </c>
      <c r="F681" s="3" t="s">
        <v>31</v>
      </c>
      <c r="G681" s="3" t="s">
        <v>72</v>
      </c>
      <c r="H681" s="3" t="s">
        <v>45</v>
      </c>
      <c r="I681" s="3">
        <v>2025</v>
      </c>
      <c r="J681" s="3" t="str">
        <f>CONCATENATE("54820013347")</f>
        <v>54820013347</v>
      </c>
      <c r="K681" s="3" t="s">
        <v>33</v>
      </c>
      <c r="L681" s="3"/>
      <c r="M681" s="3" t="s">
        <v>131</v>
      </c>
      <c r="N681" s="3" t="str">
        <f>CONCATENATE("MLNGPP72E71G147F")</f>
        <v>MLNGPP72E71G147F</v>
      </c>
      <c r="O681" s="3" t="s">
        <v>801</v>
      </c>
      <c r="P681" s="3" t="s">
        <v>36</v>
      </c>
      <c r="Q681" s="3"/>
      <c r="R681" s="4">
        <v>45996</v>
      </c>
      <c r="S681" s="3" t="s">
        <v>37</v>
      </c>
      <c r="T681" s="3" t="s">
        <v>38</v>
      </c>
      <c r="U681" s="3" t="s">
        <v>39</v>
      </c>
      <c r="V681" s="3">
        <v>179.08</v>
      </c>
      <c r="W681" s="3">
        <v>76.11</v>
      </c>
      <c r="X681" s="3">
        <v>72.08</v>
      </c>
      <c r="Y681" s="3">
        <v>30.89</v>
      </c>
    </row>
    <row r="682" spans="1:25" ht="60.75" x14ac:dyDescent="0.25">
      <c r="A682" s="3" t="s">
        <v>26</v>
      </c>
      <c r="B682" s="3" t="s">
        <v>27</v>
      </c>
      <c r="C682" s="3" t="s">
        <v>28</v>
      </c>
      <c r="D682" s="3" t="s">
        <v>50</v>
      </c>
      <c r="E682" s="3" t="s">
        <v>173</v>
      </c>
      <c r="F682" s="3" t="s">
        <v>52</v>
      </c>
      <c r="G682" s="3" t="s">
        <v>173</v>
      </c>
      <c r="H682" s="3" t="s">
        <v>45</v>
      </c>
      <c r="I682" s="3">
        <v>2025</v>
      </c>
      <c r="J682" s="3" t="str">
        <f>CONCATENATE("54820032396")</f>
        <v>54820032396</v>
      </c>
      <c r="K682" s="3" t="s">
        <v>33</v>
      </c>
      <c r="L682" s="3"/>
      <c r="M682" s="3" t="s">
        <v>131</v>
      </c>
      <c r="N682" s="3" t="str">
        <f>CONCATENATE("FRRFBL67R69I459Y")</f>
        <v>FRRFBL67R69I459Y</v>
      </c>
      <c r="O682" s="3" t="s">
        <v>802</v>
      </c>
      <c r="P682" s="3" t="s">
        <v>36</v>
      </c>
      <c r="Q682" s="3"/>
      <c r="R682" s="4">
        <v>45996</v>
      </c>
      <c r="S682" s="3" t="s">
        <v>37</v>
      </c>
      <c r="T682" s="3" t="s">
        <v>38</v>
      </c>
      <c r="U682" s="3" t="s">
        <v>39</v>
      </c>
      <c r="V682" s="3">
        <v>208.5</v>
      </c>
      <c r="W682" s="3">
        <v>88.61</v>
      </c>
      <c r="X682" s="3">
        <v>83.92</v>
      </c>
      <c r="Y682" s="3">
        <v>35.97</v>
      </c>
    </row>
    <row r="683" spans="1:25" ht="60.75" x14ac:dyDescent="0.25">
      <c r="A683" s="3" t="s">
        <v>26</v>
      </c>
      <c r="B683" s="3" t="s">
        <v>27</v>
      </c>
      <c r="C683" s="3" t="s">
        <v>28</v>
      </c>
      <c r="D683" s="3" t="s">
        <v>29</v>
      </c>
      <c r="E683" s="3" t="s">
        <v>186</v>
      </c>
      <c r="F683" s="3" t="s">
        <v>31</v>
      </c>
      <c r="G683" s="3" t="s">
        <v>186</v>
      </c>
      <c r="H683" s="3" t="s">
        <v>45</v>
      </c>
      <c r="I683" s="3">
        <v>2025</v>
      </c>
      <c r="J683" s="3" t="str">
        <f>CONCATENATE("54820053970")</f>
        <v>54820053970</v>
      </c>
      <c r="K683" s="3" t="s">
        <v>33</v>
      </c>
      <c r="L683" s="3"/>
      <c r="M683" s="3" t="s">
        <v>131</v>
      </c>
      <c r="N683" s="3" t="str">
        <f>CONCATENATE("BRZDNL80H16E785M")</f>
        <v>BRZDNL80H16E785M</v>
      </c>
      <c r="O683" s="3" t="s">
        <v>803</v>
      </c>
      <c r="P683" s="3" t="s">
        <v>36</v>
      </c>
      <c r="Q683" s="3"/>
      <c r="R683" s="4">
        <v>45996</v>
      </c>
      <c r="S683" s="3" t="s">
        <v>37</v>
      </c>
      <c r="T683" s="3" t="s">
        <v>38</v>
      </c>
      <c r="U683" s="3" t="s">
        <v>39</v>
      </c>
      <c r="V683" s="3">
        <v>48.38</v>
      </c>
      <c r="W683" s="3">
        <v>20.56</v>
      </c>
      <c r="X683" s="3">
        <v>19.47</v>
      </c>
      <c r="Y683" s="3">
        <v>8.35</v>
      </c>
    </row>
    <row r="684" spans="1:25" ht="60.75" x14ac:dyDescent="0.25">
      <c r="A684" s="3" t="s">
        <v>26</v>
      </c>
      <c r="B684" s="3" t="s">
        <v>27</v>
      </c>
      <c r="C684" s="3" t="s">
        <v>28</v>
      </c>
      <c r="D684" s="3" t="s">
        <v>29</v>
      </c>
      <c r="E684" s="3" t="s">
        <v>341</v>
      </c>
      <c r="F684" s="3" t="s">
        <v>31</v>
      </c>
      <c r="G684" s="3" t="s">
        <v>341</v>
      </c>
      <c r="H684" s="3" t="s">
        <v>45</v>
      </c>
      <c r="I684" s="3">
        <v>2025</v>
      </c>
      <c r="J684" s="3" t="str">
        <f>CONCATENATE("54820079678")</f>
        <v>54820079678</v>
      </c>
      <c r="K684" s="3" t="s">
        <v>33</v>
      </c>
      <c r="L684" s="3"/>
      <c r="M684" s="3" t="s">
        <v>131</v>
      </c>
      <c r="N684" s="3" t="str">
        <f>CONCATENATE("BNDPQL36C14G064Y")</f>
        <v>BNDPQL36C14G064Y</v>
      </c>
      <c r="O684" s="3" t="s">
        <v>804</v>
      </c>
      <c r="P684" s="3" t="s">
        <v>36</v>
      </c>
      <c r="Q684" s="3"/>
      <c r="R684" s="4">
        <v>45996</v>
      </c>
      <c r="S684" s="3" t="s">
        <v>37</v>
      </c>
      <c r="T684" s="3" t="s">
        <v>38</v>
      </c>
      <c r="U684" s="3" t="s">
        <v>39</v>
      </c>
      <c r="V684" s="3">
        <v>45.11</v>
      </c>
      <c r="W684" s="3">
        <v>19.170000000000002</v>
      </c>
      <c r="X684" s="3">
        <v>18.16</v>
      </c>
      <c r="Y684" s="3">
        <v>7.78</v>
      </c>
    </row>
    <row r="685" spans="1:25" ht="60.75" x14ac:dyDescent="0.25">
      <c r="A685" s="3" t="s">
        <v>26</v>
      </c>
      <c r="B685" s="3" t="s">
        <v>27</v>
      </c>
      <c r="C685" s="3" t="s">
        <v>28</v>
      </c>
      <c r="D685" s="3" t="s">
        <v>29</v>
      </c>
      <c r="E685" s="3" t="s">
        <v>228</v>
      </c>
      <c r="F685" s="3" t="s">
        <v>31</v>
      </c>
      <c r="G685" s="3" t="s">
        <v>228</v>
      </c>
      <c r="H685" s="3" t="s">
        <v>45</v>
      </c>
      <c r="I685" s="3">
        <v>2025</v>
      </c>
      <c r="J685" s="3" t="str">
        <f>CONCATENATE("54820047576")</f>
        <v>54820047576</v>
      </c>
      <c r="K685" s="3" t="s">
        <v>33</v>
      </c>
      <c r="L685" s="3"/>
      <c r="M685" s="3" t="s">
        <v>131</v>
      </c>
      <c r="N685" s="3" t="str">
        <f>CONCATENATE("CNDFNC39D28D749L")</f>
        <v>CNDFNC39D28D749L</v>
      </c>
      <c r="O685" s="3" t="s">
        <v>805</v>
      </c>
      <c r="P685" s="3" t="s">
        <v>36</v>
      </c>
      <c r="Q685" s="3"/>
      <c r="R685" s="4">
        <v>45996</v>
      </c>
      <c r="S685" s="3" t="s">
        <v>37</v>
      </c>
      <c r="T685" s="3" t="s">
        <v>38</v>
      </c>
      <c r="U685" s="3" t="s">
        <v>39</v>
      </c>
      <c r="V685" s="3">
        <v>333.8</v>
      </c>
      <c r="W685" s="3">
        <v>141.87</v>
      </c>
      <c r="X685" s="3">
        <v>134.35</v>
      </c>
      <c r="Y685" s="3">
        <v>57.58</v>
      </c>
    </row>
    <row r="686" spans="1:25" ht="60.75" x14ac:dyDescent="0.25">
      <c r="A686" s="3" t="s">
        <v>26</v>
      </c>
      <c r="B686" s="3" t="s">
        <v>27</v>
      </c>
      <c r="C686" s="3" t="s">
        <v>28</v>
      </c>
      <c r="D686" s="3" t="s">
        <v>91</v>
      </c>
      <c r="E686" s="3" t="s">
        <v>522</v>
      </c>
      <c r="F686" s="3" t="s">
        <v>93</v>
      </c>
      <c r="G686" s="3" t="s">
        <v>522</v>
      </c>
      <c r="H686" s="3" t="s">
        <v>32</v>
      </c>
      <c r="I686" s="3">
        <v>2025</v>
      </c>
      <c r="J686" s="3" t="str">
        <f>CONCATENATE("54820067418")</f>
        <v>54820067418</v>
      </c>
      <c r="K686" s="3" t="s">
        <v>33</v>
      </c>
      <c r="L686" s="3"/>
      <c r="M686" s="3" t="s">
        <v>131</v>
      </c>
      <c r="N686" s="3" t="str">
        <f>CONCATENATE("GCMLCU66B28C111M")</f>
        <v>GCMLCU66B28C111M</v>
      </c>
      <c r="O686" s="3" t="s">
        <v>806</v>
      </c>
      <c r="P686" s="3" t="s">
        <v>36</v>
      </c>
      <c r="Q686" s="3"/>
      <c r="R686" s="4">
        <v>45996</v>
      </c>
      <c r="S686" s="3" t="s">
        <v>37</v>
      </c>
      <c r="T686" s="3" t="s">
        <v>38</v>
      </c>
      <c r="U686" s="3" t="s">
        <v>39</v>
      </c>
      <c r="V686" s="3">
        <v>47.53</v>
      </c>
      <c r="W686" s="3">
        <v>20.2</v>
      </c>
      <c r="X686" s="3">
        <v>19.13</v>
      </c>
      <c r="Y686" s="3">
        <v>8.1999999999999993</v>
      </c>
    </row>
    <row r="687" spans="1:25" ht="60.75" x14ac:dyDescent="0.25">
      <c r="A687" s="3" t="s">
        <v>26</v>
      </c>
      <c r="B687" s="3" t="s">
        <v>27</v>
      </c>
      <c r="C687" s="3" t="s">
        <v>28</v>
      </c>
      <c r="D687" s="3" t="s">
        <v>29</v>
      </c>
      <c r="E687" s="3" t="s">
        <v>233</v>
      </c>
      <c r="F687" s="3" t="s">
        <v>31</v>
      </c>
      <c r="G687" s="3" t="s">
        <v>233</v>
      </c>
      <c r="H687" s="3" t="s">
        <v>96</v>
      </c>
      <c r="I687" s="3">
        <v>2025</v>
      </c>
      <c r="J687" s="3" t="str">
        <f>CONCATENATE("54820027230")</f>
        <v>54820027230</v>
      </c>
      <c r="K687" s="3" t="s">
        <v>33</v>
      </c>
      <c r="L687" s="3"/>
      <c r="M687" s="3" t="s">
        <v>131</v>
      </c>
      <c r="N687" s="3" t="str">
        <f>CONCATENATE("BCCGCM46A01H390S")</f>
        <v>BCCGCM46A01H390S</v>
      </c>
      <c r="O687" s="3" t="s">
        <v>807</v>
      </c>
      <c r="P687" s="3" t="s">
        <v>36</v>
      </c>
      <c r="Q687" s="3"/>
      <c r="R687" s="4">
        <v>45996</v>
      </c>
      <c r="S687" s="3" t="s">
        <v>37</v>
      </c>
      <c r="T687" s="3" t="s">
        <v>38</v>
      </c>
      <c r="U687" s="3" t="s">
        <v>39</v>
      </c>
      <c r="V687" s="3">
        <v>277.3</v>
      </c>
      <c r="W687" s="3">
        <v>117.85</v>
      </c>
      <c r="X687" s="3">
        <v>111.61</v>
      </c>
      <c r="Y687" s="3">
        <v>47.84</v>
      </c>
    </row>
    <row r="688" spans="1:25" ht="60.75" x14ac:dyDescent="0.25">
      <c r="A688" s="3" t="s">
        <v>26</v>
      </c>
      <c r="B688" s="3" t="s">
        <v>27</v>
      </c>
      <c r="C688" s="3" t="s">
        <v>28</v>
      </c>
      <c r="D688" s="3" t="s">
        <v>29</v>
      </c>
      <c r="E688" s="3" t="s">
        <v>186</v>
      </c>
      <c r="F688" s="3" t="s">
        <v>31</v>
      </c>
      <c r="G688" s="3" t="s">
        <v>186</v>
      </c>
      <c r="H688" s="3" t="s">
        <v>45</v>
      </c>
      <c r="I688" s="3">
        <v>2025</v>
      </c>
      <c r="J688" s="3" t="str">
        <f>CONCATENATE("54820025127")</f>
        <v>54820025127</v>
      </c>
      <c r="K688" s="3" t="s">
        <v>33</v>
      </c>
      <c r="L688" s="3"/>
      <c r="M688" s="3" t="s">
        <v>131</v>
      </c>
      <c r="N688" s="3" t="str">
        <f>CONCATENATE("PLAGCR47H24I459A")</f>
        <v>PLAGCR47H24I459A</v>
      </c>
      <c r="O688" s="3" t="s">
        <v>808</v>
      </c>
      <c r="P688" s="3" t="s">
        <v>36</v>
      </c>
      <c r="Q688" s="3"/>
      <c r="R688" s="4">
        <v>45996</v>
      </c>
      <c r="S688" s="3" t="s">
        <v>37</v>
      </c>
      <c r="T688" s="3" t="s">
        <v>38</v>
      </c>
      <c r="U688" s="3" t="s">
        <v>39</v>
      </c>
      <c r="V688" s="3">
        <v>132.33000000000001</v>
      </c>
      <c r="W688" s="3">
        <v>56.24</v>
      </c>
      <c r="X688" s="3">
        <v>53.26</v>
      </c>
      <c r="Y688" s="3">
        <v>22.83</v>
      </c>
    </row>
    <row r="689" spans="1:25" ht="60.75" x14ac:dyDescent="0.25">
      <c r="A689" s="3" t="s">
        <v>26</v>
      </c>
      <c r="B689" s="3" t="s">
        <v>27</v>
      </c>
      <c r="C689" s="3" t="s">
        <v>28</v>
      </c>
      <c r="D689" s="3" t="s">
        <v>29</v>
      </c>
      <c r="E689" s="3" t="s">
        <v>80</v>
      </c>
      <c r="F689" s="3" t="s">
        <v>31</v>
      </c>
      <c r="G689" s="3" t="s">
        <v>80</v>
      </c>
      <c r="H689" s="3" t="s">
        <v>45</v>
      </c>
      <c r="I689" s="3">
        <v>2025</v>
      </c>
      <c r="J689" s="3" t="str">
        <f>CONCATENATE("54820068390")</f>
        <v>54820068390</v>
      </c>
      <c r="K689" s="3" t="s">
        <v>33</v>
      </c>
      <c r="L689" s="3"/>
      <c r="M689" s="3" t="s">
        <v>131</v>
      </c>
      <c r="N689" s="3" t="str">
        <f>CONCATENATE("SVLMRC61D06F347A")</f>
        <v>SVLMRC61D06F347A</v>
      </c>
      <c r="O689" s="3" t="s">
        <v>809</v>
      </c>
      <c r="P689" s="3" t="s">
        <v>36</v>
      </c>
      <c r="Q689" s="3"/>
      <c r="R689" s="4">
        <v>45996</v>
      </c>
      <c r="S689" s="3" t="s">
        <v>37</v>
      </c>
      <c r="T689" s="3" t="s">
        <v>38</v>
      </c>
      <c r="U689" s="3" t="s">
        <v>39</v>
      </c>
      <c r="V689" s="3">
        <v>80.87</v>
      </c>
      <c r="W689" s="3">
        <v>34.369999999999997</v>
      </c>
      <c r="X689" s="3">
        <v>32.549999999999997</v>
      </c>
      <c r="Y689" s="3">
        <v>13.95</v>
      </c>
    </row>
    <row r="690" spans="1:25" ht="60.75" x14ac:dyDescent="0.25">
      <c r="A690" s="3" t="s">
        <v>26</v>
      </c>
      <c r="B690" s="3" t="s">
        <v>27</v>
      </c>
      <c r="C690" s="3" t="s">
        <v>28</v>
      </c>
      <c r="D690" s="3" t="s">
        <v>40</v>
      </c>
      <c r="E690" s="3" t="s">
        <v>54</v>
      </c>
      <c r="F690" s="3" t="s">
        <v>42</v>
      </c>
      <c r="G690" s="3" t="s">
        <v>54</v>
      </c>
      <c r="H690" s="3" t="s">
        <v>45</v>
      </c>
      <c r="I690" s="3">
        <v>2025</v>
      </c>
      <c r="J690" s="3" t="str">
        <f>CONCATENATE("54820045216")</f>
        <v>54820045216</v>
      </c>
      <c r="K690" s="3" t="s">
        <v>33</v>
      </c>
      <c r="L690" s="3"/>
      <c r="M690" s="3" t="s">
        <v>131</v>
      </c>
      <c r="N690" s="3" t="str">
        <f>CONCATENATE("RMTMRK82T50L500A")</f>
        <v>RMTMRK82T50L500A</v>
      </c>
      <c r="O690" s="3" t="s">
        <v>810</v>
      </c>
      <c r="P690" s="3" t="s">
        <v>36</v>
      </c>
      <c r="Q690" s="3"/>
      <c r="R690" s="4">
        <v>45996</v>
      </c>
      <c r="S690" s="3" t="s">
        <v>37</v>
      </c>
      <c r="T690" s="3" t="s">
        <v>38</v>
      </c>
      <c r="U690" s="3" t="s">
        <v>39</v>
      </c>
      <c r="V690" s="3">
        <v>254</v>
      </c>
      <c r="W690" s="3">
        <v>107.95</v>
      </c>
      <c r="X690" s="3">
        <v>102.24</v>
      </c>
      <c r="Y690" s="3">
        <v>43.81</v>
      </c>
    </row>
    <row r="691" spans="1:25" ht="60.75" x14ac:dyDescent="0.25">
      <c r="A691" s="3" t="s">
        <v>26</v>
      </c>
      <c r="B691" s="3" t="s">
        <v>27</v>
      </c>
      <c r="C691" s="3" t="s">
        <v>28</v>
      </c>
      <c r="D691" s="3" t="s">
        <v>29</v>
      </c>
      <c r="E691" s="3" t="s">
        <v>136</v>
      </c>
      <c r="F691" s="3" t="s">
        <v>31</v>
      </c>
      <c r="G691" s="3" t="s">
        <v>136</v>
      </c>
      <c r="H691" s="3" t="s">
        <v>48</v>
      </c>
      <c r="I691" s="3">
        <v>2025</v>
      </c>
      <c r="J691" s="3" t="str">
        <f>CONCATENATE("54820017892")</f>
        <v>54820017892</v>
      </c>
      <c r="K691" s="3" t="s">
        <v>33</v>
      </c>
      <c r="L691" s="3"/>
      <c r="M691" s="3" t="s">
        <v>131</v>
      </c>
      <c r="N691" s="3" t="str">
        <f>CONCATENATE("VCIFNZ55C20A366F")</f>
        <v>VCIFNZ55C20A366F</v>
      </c>
      <c r="O691" s="3" t="s">
        <v>811</v>
      </c>
      <c r="P691" s="3" t="s">
        <v>36</v>
      </c>
      <c r="Q691" s="3"/>
      <c r="R691" s="4">
        <v>45996</v>
      </c>
      <c r="S691" s="3" t="s">
        <v>37</v>
      </c>
      <c r="T691" s="3" t="s">
        <v>38</v>
      </c>
      <c r="U691" s="3" t="s">
        <v>39</v>
      </c>
      <c r="V691" s="3">
        <v>118.03</v>
      </c>
      <c r="W691" s="3">
        <v>50.16</v>
      </c>
      <c r="X691" s="3">
        <v>47.51</v>
      </c>
      <c r="Y691" s="3">
        <v>20.36</v>
      </c>
    </row>
    <row r="692" spans="1:25" ht="60.75" x14ac:dyDescent="0.25">
      <c r="A692" s="3" t="s">
        <v>26</v>
      </c>
      <c r="B692" s="3" t="s">
        <v>27</v>
      </c>
      <c r="C692" s="3" t="s">
        <v>28</v>
      </c>
      <c r="D692" s="3" t="s">
        <v>29</v>
      </c>
      <c r="E692" s="3" t="s">
        <v>56</v>
      </c>
      <c r="F692" s="3" t="s">
        <v>31</v>
      </c>
      <c r="G692" s="3" t="s">
        <v>56</v>
      </c>
      <c r="H692" s="3" t="s">
        <v>32</v>
      </c>
      <c r="I692" s="3">
        <v>2025</v>
      </c>
      <c r="J692" s="3" t="str">
        <f>CONCATENATE("54820212337")</f>
        <v>54820212337</v>
      </c>
      <c r="K692" s="3" t="s">
        <v>33</v>
      </c>
      <c r="L692" s="3"/>
      <c r="M692" s="3" t="s">
        <v>131</v>
      </c>
      <c r="N692" s="3" t="str">
        <f>CONCATENATE("BSLMRA61L17B474C")</f>
        <v>BSLMRA61L17B474C</v>
      </c>
      <c r="O692" s="3" t="s">
        <v>812</v>
      </c>
      <c r="P692" s="3" t="s">
        <v>36</v>
      </c>
      <c r="Q692" s="3"/>
      <c r="R692" s="4">
        <v>45996</v>
      </c>
      <c r="S692" s="3" t="s">
        <v>37</v>
      </c>
      <c r="T692" s="3" t="s">
        <v>38</v>
      </c>
      <c r="U692" s="3" t="s">
        <v>39</v>
      </c>
      <c r="V692" s="5">
        <v>1249.1199999999999</v>
      </c>
      <c r="W692" s="3">
        <v>530.88</v>
      </c>
      <c r="X692" s="3">
        <v>502.77</v>
      </c>
      <c r="Y692" s="3">
        <v>215.47</v>
      </c>
    </row>
    <row r="693" spans="1:25" ht="36.75" x14ac:dyDescent="0.25">
      <c r="A693" s="3" t="s">
        <v>26</v>
      </c>
      <c r="B693" s="3" t="s">
        <v>27</v>
      </c>
      <c r="C693" s="3" t="s">
        <v>28</v>
      </c>
      <c r="D693" s="3" t="s">
        <v>40</v>
      </c>
      <c r="E693" s="3" t="s">
        <v>44</v>
      </c>
      <c r="F693" s="3" t="s">
        <v>42</v>
      </c>
      <c r="G693" s="3" t="s">
        <v>44</v>
      </c>
      <c r="H693" s="3" t="s">
        <v>32</v>
      </c>
      <c r="I693" s="3">
        <v>2025</v>
      </c>
      <c r="J693" s="3" t="str">
        <f>CONCATENATE("54820015987")</f>
        <v>54820015987</v>
      </c>
      <c r="K693" s="3" t="s">
        <v>33</v>
      </c>
      <c r="L693" s="3"/>
      <c r="M693" s="3" t="s">
        <v>131</v>
      </c>
      <c r="N693" s="3" t="str">
        <f>CONCATENATE("01597000437")</f>
        <v>01597000437</v>
      </c>
      <c r="O693" s="3" t="s">
        <v>813</v>
      </c>
      <c r="P693" s="3" t="s">
        <v>36</v>
      </c>
      <c r="Q693" s="3"/>
      <c r="R693" s="4">
        <v>45996</v>
      </c>
      <c r="S693" s="3" t="s">
        <v>37</v>
      </c>
      <c r="T693" s="3" t="s">
        <v>38</v>
      </c>
      <c r="U693" s="3" t="s">
        <v>39</v>
      </c>
      <c r="V693" s="5">
        <v>1054.69</v>
      </c>
      <c r="W693" s="3">
        <v>448.24</v>
      </c>
      <c r="X693" s="3">
        <v>424.51</v>
      </c>
      <c r="Y693" s="3">
        <v>181.94</v>
      </c>
    </row>
    <row r="694" spans="1:25" ht="60.75" x14ac:dyDescent="0.25">
      <c r="A694" s="3" t="s">
        <v>26</v>
      </c>
      <c r="B694" s="3" t="s">
        <v>27</v>
      </c>
      <c r="C694" s="3" t="s">
        <v>28</v>
      </c>
      <c r="D694" s="3" t="s">
        <v>40</v>
      </c>
      <c r="E694" s="3" t="s">
        <v>44</v>
      </c>
      <c r="F694" s="3" t="s">
        <v>42</v>
      </c>
      <c r="G694" s="3" t="s">
        <v>44</v>
      </c>
      <c r="H694" s="3" t="s">
        <v>32</v>
      </c>
      <c r="I694" s="3">
        <v>2025</v>
      </c>
      <c r="J694" s="3" t="str">
        <f>CONCATENATE("54820015250")</f>
        <v>54820015250</v>
      </c>
      <c r="K694" s="3" t="s">
        <v>33</v>
      </c>
      <c r="L694" s="3"/>
      <c r="M694" s="3" t="s">
        <v>131</v>
      </c>
      <c r="N694" s="3" t="str">
        <f>CONCATENATE("LNAFNC51L28D564L")</f>
        <v>LNAFNC51L28D564L</v>
      </c>
      <c r="O694" s="3" t="s">
        <v>814</v>
      </c>
      <c r="P694" s="3" t="s">
        <v>36</v>
      </c>
      <c r="Q694" s="3"/>
      <c r="R694" s="4">
        <v>45996</v>
      </c>
      <c r="S694" s="3" t="s">
        <v>37</v>
      </c>
      <c r="T694" s="3" t="s">
        <v>38</v>
      </c>
      <c r="U694" s="3" t="s">
        <v>39</v>
      </c>
      <c r="V694" s="3">
        <v>365.7</v>
      </c>
      <c r="W694" s="3">
        <v>155.41999999999999</v>
      </c>
      <c r="X694" s="3">
        <v>147.19</v>
      </c>
      <c r="Y694" s="3">
        <v>63.09</v>
      </c>
    </row>
    <row r="695" spans="1:25" ht="60.75" x14ac:dyDescent="0.25">
      <c r="A695" s="3" t="s">
        <v>26</v>
      </c>
      <c r="B695" s="3" t="s">
        <v>27</v>
      </c>
      <c r="C695" s="3" t="s">
        <v>28</v>
      </c>
      <c r="D695" s="3" t="s">
        <v>40</v>
      </c>
      <c r="E695" s="3" t="s">
        <v>287</v>
      </c>
      <c r="F695" s="3" t="s">
        <v>42</v>
      </c>
      <c r="G695" s="3" t="s">
        <v>287</v>
      </c>
      <c r="H695" s="3" t="s">
        <v>32</v>
      </c>
      <c r="I695" s="3">
        <v>2025</v>
      </c>
      <c r="J695" s="3" t="str">
        <f>CONCATENATE("54820014014")</f>
        <v>54820014014</v>
      </c>
      <c r="K695" s="3" t="s">
        <v>33</v>
      </c>
      <c r="L695" s="3"/>
      <c r="M695" s="3" t="s">
        <v>131</v>
      </c>
      <c r="N695" s="3" t="str">
        <f>CONCATENATE("MCAGST62A16H501I")</f>
        <v>MCAGST62A16H501I</v>
      </c>
      <c r="O695" s="3" t="s">
        <v>815</v>
      </c>
      <c r="P695" s="3" t="s">
        <v>36</v>
      </c>
      <c r="Q695" s="3"/>
      <c r="R695" s="4">
        <v>45996</v>
      </c>
      <c r="S695" s="3" t="s">
        <v>37</v>
      </c>
      <c r="T695" s="3" t="s">
        <v>38</v>
      </c>
      <c r="U695" s="3" t="s">
        <v>39</v>
      </c>
      <c r="V695" s="3">
        <v>174.98</v>
      </c>
      <c r="W695" s="3">
        <v>74.37</v>
      </c>
      <c r="X695" s="3">
        <v>70.430000000000007</v>
      </c>
      <c r="Y695" s="3">
        <v>30.18</v>
      </c>
    </row>
    <row r="696" spans="1:25" ht="60.75" x14ac:dyDescent="0.25">
      <c r="A696" s="3" t="s">
        <v>26</v>
      </c>
      <c r="B696" s="3" t="s">
        <v>27</v>
      </c>
      <c r="C696" s="3" t="s">
        <v>28</v>
      </c>
      <c r="D696" s="3" t="s">
        <v>29</v>
      </c>
      <c r="E696" s="3" t="s">
        <v>80</v>
      </c>
      <c r="F696" s="3" t="s">
        <v>31</v>
      </c>
      <c r="G696" s="3" t="s">
        <v>80</v>
      </c>
      <c r="H696" s="3" t="s">
        <v>45</v>
      </c>
      <c r="I696" s="3">
        <v>2025</v>
      </c>
      <c r="J696" s="3" t="str">
        <f>CONCATENATE("54820081625")</f>
        <v>54820081625</v>
      </c>
      <c r="K696" s="3" t="s">
        <v>33</v>
      </c>
      <c r="L696" s="3"/>
      <c r="M696" s="3" t="s">
        <v>131</v>
      </c>
      <c r="N696" s="3" t="str">
        <f>CONCATENATE("FNCGRG51D23L506Q")</f>
        <v>FNCGRG51D23L506Q</v>
      </c>
      <c r="O696" s="3" t="s">
        <v>816</v>
      </c>
      <c r="P696" s="3" t="s">
        <v>36</v>
      </c>
      <c r="Q696" s="3"/>
      <c r="R696" s="4">
        <v>45996</v>
      </c>
      <c r="S696" s="3" t="s">
        <v>37</v>
      </c>
      <c r="T696" s="3" t="s">
        <v>38</v>
      </c>
      <c r="U696" s="3" t="s">
        <v>39</v>
      </c>
      <c r="V696" s="3">
        <v>620.98</v>
      </c>
      <c r="W696" s="3">
        <v>263.92</v>
      </c>
      <c r="X696" s="3">
        <v>249.94</v>
      </c>
      <c r="Y696" s="3">
        <v>107.12</v>
      </c>
    </row>
    <row r="697" spans="1:25" ht="72.75" x14ac:dyDescent="0.25">
      <c r="A697" s="3" t="s">
        <v>26</v>
      </c>
      <c r="B697" s="3" t="s">
        <v>27</v>
      </c>
      <c r="C697" s="3" t="s">
        <v>28</v>
      </c>
      <c r="D697" s="3" t="s">
        <v>29</v>
      </c>
      <c r="E697" s="3" t="s">
        <v>136</v>
      </c>
      <c r="F697" s="3" t="s">
        <v>31</v>
      </c>
      <c r="G697" s="3" t="s">
        <v>136</v>
      </c>
      <c r="H697" s="3" t="s">
        <v>48</v>
      </c>
      <c r="I697" s="3">
        <v>2025</v>
      </c>
      <c r="J697" s="3" t="str">
        <f>CONCATENATE("54820232962")</f>
        <v>54820232962</v>
      </c>
      <c r="K697" s="3" t="s">
        <v>33</v>
      </c>
      <c r="L697" s="3"/>
      <c r="M697" s="3" t="s">
        <v>131</v>
      </c>
      <c r="N697" s="3" t="str">
        <f>CONCATENATE("MNGFTN38L24I461B")</f>
        <v>MNGFTN38L24I461B</v>
      </c>
      <c r="O697" s="3" t="s">
        <v>817</v>
      </c>
      <c r="P697" s="3" t="s">
        <v>36</v>
      </c>
      <c r="Q697" s="3"/>
      <c r="R697" s="4">
        <v>45996</v>
      </c>
      <c r="S697" s="3" t="s">
        <v>37</v>
      </c>
      <c r="T697" s="3" t="s">
        <v>38</v>
      </c>
      <c r="U697" s="3" t="s">
        <v>39</v>
      </c>
      <c r="V697" s="3">
        <v>387.84</v>
      </c>
      <c r="W697" s="3">
        <v>164.83</v>
      </c>
      <c r="X697" s="3">
        <v>156.11000000000001</v>
      </c>
      <c r="Y697" s="3">
        <v>66.900000000000006</v>
      </c>
    </row>
    <row r="698" spans="1:25" ht="60.75" x14ac:dyDescent="0.25">
      <c r="A698" s="3" t="s">
        <v>26</v>
      </c>
      <c r="B698" s="3" t="s">
        <v>27</v>
      </c>
      <c r="C698" s="3" t="s">
        <v>28</v>
      </c>
      <c r="D698" s="3" t="s">
        <v>50</v>
      </c>
      <c r="E698" s="3" t="s">
        <v>60</v>
      </c>
      <c r="F698" s="3" t="s">
        <v>52</v>
      </c>
      <c r="G698" s="3" t="s">
        <v>60</v>
      </c>
      <c r="H698" s="3" t="s">
        <v>48</v>
      </c>
      <c r="I698" s="3">
        <v>2025</v>
      </c>
      <c r="J698" s="3" t="str">
        <f>CONCATENATE("54820188925")</f>
        <v>54820188925</v>
      </c>
      <c r="K698" s="3" t="s">
        <v>33</v>
      </c>
      <c r="L698" s="3"/>
      <c r="M698" s="3" t="s">
        <v>131</v>
      </c>
      <c r="N698" s="3" t="str">
        <f>CONCATENATE("SNNGNN55P42A978F")</f>
        <v>SNNGNN55P42A978F</v>
      </c>
      <c r="O698" s="3" t="s">
        <v>818</v>
      </c>
      <c r="P698" s="3" t="s">
        <v>36</v>
      </c>
      <c r="Q698" s="3"/>
      <c r="R698" s="4">
        <v>45996</v>
      </c>
      <c r="S698" s="3" t="s">
        <v>37</v>
      </c>
      <c r="T698" s="3" t="s">
        <v>38</v>
      </c>
      <c r="U698" s="3" t="s">
        <v>39</v>
      </c>
      <c r="V698" s="3">
        <v>356.44</v>
      </c>
      <c r="W698" s="3">
        <v>151.49</v>
      </c>
      <c r="X698" s="3">
        <v>143.47</v>
      </c>
      <c r="Y698" s="3">
        <v>61.48</v>
      </c>
    </row>
    <row r="699" spans="1:25" ht="60.75" x14ac:dyDescent="0.25">
      <c r="A699" s="3" t="s">
        <v>26</v>
      </c>
      <c r="B699" s="3" t="s">
        <v>27</v>
      </c>
      <c r="C699" s="3" t="s">
        <v>28</v>
      </c>
      <c r="D699" s="3" t="s">
        <v>29</v>
      </c>
      <c r="E699" s="3" t="s">
        <v>56</v>
      </c>
      <c r="F699" s="3" t="s">
        <v>31</v>
      </c>
      <c r="G699" s="3" t="s">
        <v>56</v>
      </c>
      <c r="H699" s="3" t="s">
        <v>32</v>
      </c>
      <c r="I699" s="3">
        <v>2025</v>
      </c>
      <c r="J699" s="3" t="str">
        <f>CONCATENATE("54820186085")</f>
        <v>54820186085</v>
      </c>
      <c r="K699" s="3" t="s">
        <v>33</v>
      </c>
      <c r="L699" s="3"/>
      <c r="M699" s="3" t="s">
        <v>131</v>
      </c>
      <c r="N699" s="3" t="str">
        <f>CONCATENATE("MCABTL65C04H501X")</f>
        <v>MCABTL65C04H501X</v>
      </c>
      <c r="O699" s="3" t="s">
        <v>819</v>
      </c>
      <c r="P699" s="3" t="s">
        <v>36</v>
      </c>
      <c r="Q699" s="3"/>
      <c r="R699" s="4">
        <v>45996</v>
      </c>
      <c r="S699" s="3" t="s">
        <v>37</v>
      </c>
      <c r="T699" s="3" t="s">
        <v>38</v>
      </c>
      <c r="U699" s="3" t="s">
        <v>39</v>
      </c>
      <c r="V699" s="3">
        <v>557.88</v>
      </c>
      <c r="W699" s="3">
        <v>237.1</v>
      </c>
      <c r="X699" s="3">
        <v>224.55</v>
      </c>
      <c r="Y699" s="3">
        <v>96.23</v>
      </c>
    </row>
    <row r="700" spans="1:25" ht="60.75" x14ac:dyDescent="0.25">
      <c r="A700" s="3" t="s">
        <v>26</v>
      </c>
      <c r="B700" s="3" t="s">
        <v>27</v>
      </c>
      <c r="C700" s="3" t="s">
        <v>28</v>
      </c>
      <c r="D700" s="3" t="s">
        <v>50</v>
      </c>
      <c r="E700" s="3" t="s">
        <v>51</v>
      </c>
      <c r="F700" s="3" t="s">
        <v>52</v>
      </c>
      <c r="G700" s="3" t="s">
        <v>51</v>
      </c>
      <c r="H700" s="3" t="s">
        <v>48</v>
      </c>
      <c r="I700" s="3">
        <v>2025</v>
      </c>
      <c r="J700" s="3" t="str">
        <f>CONCATENATE("54820163084")</f>
        <v>54820163084</v>
      </c>
      <c r="K700" s="3" t="s">
        <v>33</v>
      </c>
      <c r="L700" s="3"/>
      <c r="M700" s="3" t="s">
        <v>131</v>
      </c>
      <c r="N700" s="3" t="str">
        <f>CONCATENATE("RZZNGL36A09A366C")</f>
        <v>RZZNGL36A09A366C</v>
      </c>
      <c r="O700" s="3" t="s">
        <v>820</v>
      </c>
      <c r="P700" s="3" t="s">
        <v>36</v>
      </c>
      <c r="Q700" s="3"/>
      <c r="R700" s="4">
        <v>45996</v>
      </c>
      <c r="S700" s="3" t="s">
        <v>37</v>
      </c>
      <c r="T700" s="3" t="s">
        <v>38</v>
      </c>
      <c r="U700" s="3" t="s">
        <v>39</v>
      </c>
      <c r="V700" s="3">
        <v>89.43</v>
      </c>
      <c r="W700" s="3">
        <v>38.01</v>
      </c>
      <c r="X700" s="3">
        <v>36</v>
      </c>
      <c r="Y700" s="3">
        <v>15.42</v>
      </c>
    </row>
    <row r="701" spans="1:25" ht="60.75" x14ac:dyDescent="0.25">
      <c r="A701" s="3" t="s">
        <v>26</v>
      </c>
      <c r="B701" s="3" t="s">
        <v>27</v>
      </c>
      <c r="C701" s="3" t="s">
        <v>28</v>
      </c>
      <c r="D701" s="3" t="s">
        <v>29</v>
      </c>
      <c r="E701" s="3" t="s">
        <v>182</v>
      </c>
      <c r="F701" s="3" t="s">
        <v>31</v>
      </c>
      <c r="G701" s="3" t="s">
        <v>182</v>
      </c>
      <c r="H701" s="3" t="s">
        <v>45</v>
      </c>
      <c r="I701" s="3">
        <v>2025</v>
      </c>
      <c r="J701" s="3" t="str">
        <f>CONCATENATE("54820088935")</f>
        <v>54820088935</v>
      </c>
      <c r="K701" s="3" t="s">
        <v>33</v>
      </c>
      <c r="L701" s="3"/>
      <c r="M701" s="3" t="s">
        <v>131</v>
      </c>
      <c r="N701" s="3" t="str">
        <f>CONCATENATE("BTTMRZ66B21L500W")</f>
        <v>BTTMRZ66B21L500W</v>
      </c>
      <c r="O701" s="3" t="s">
        <v>821</v>
      </c>
      <c r="P701" s="3" t="s">
        <v>36</v>
      </c>
      <c r="Q701" s="3"/>
      <c r="R701" s="4">
        <v>45996</v>
      </c>
      <c r="S701" s="3" t="s">
        <v>37</v>
      </c>
      <c r="T701" s="3" t="s">
        <v>38</v>
      </c>
      <c r="U701" s="3" t="s">
        <v>39</v>
      </c>
      <c r="V701" s="3">
        <v>417.74</v>
      </c>
      <c r="W701" s="3">
        <v>177.54</v>
      </c>
      <c r="X701" s="3">
        <v>168.14</v>
      </c>
      <c r="Y701" s="3">
        <v>72.06</v>
      </c>
    </row>
    <row r="702" spans="1:25" ht="72.75" x14ac:dyDescent="0.25">
      <c r="A702" s="3" t="s">
        <v>26</v>
      </c>
      <c r="B702" s="3" t="s">
        <v>27</v>
      </c>
      <c r="C702" s="3" t="s">
        <v>28</v>
      </c>
      <c r="D702" s="3" t="s">
        <v>29</v>
      </c>
      <c r="E702" s="3" t="s">
        <v>228</v>
      </c>
      <c r="F702" s="3" t="s">
        <v>31</v>
      </c>
      <c r="G702" s="3" t="s">
        <v>228</v>
      </c>
      <c r="H702" s="3" t="s">
        <v>45</v>
      </c>
      <c r="I702" s="3">
        <v>2025</v>
      </c>
      <c r="J702" s="3" t="str">
        <f>CONCATENATE("54820073069")</f>
        <v>54820073069</v>
      </c>
      <c r="K702" s="3" t="s">
        <v>33</v>
      </c>
      <c r="L702" s="3"/>
      <c r="M702" s="3" t="s">
        <v>131</v>
      </c>
      <c r="N702" s="3" t="str">
        <f>CONCATENATE("PRSWTH85M08L500F")</f>
        <v>PRSWTH85M08L500F</v>
      </c>
      <c r="O702" s="3" t="s">
        <v>822</v>
      </c>
      <c r="P702" s="3" t="s">
        <v>36</v>
      </c>
      <c r="Q702" s="3"/>
      <c r="R702" s="4">
        <v>45996</v>
      </c>
      <c r="S702" s="3" t="s">
        <v>37</v>
      </c>
      <c r="T702" s="3" t="s">
        <v>38</v>
      </c>
      <c r="U702" s="3" t="s">
        <v>39</v>
      </c>
      <c r="V702" s="3">
        <v>154.30000000000001</v>
      </c>
      <c r="W702" s="3">
        <v>65.58</v>
      </c>
      <c r="X702" s="3">
        <v>62.11</v>
      </c>
      <c r="Y702" s="3">
        <v>26.61</v>
      </c>
    </row>
    <row r="703" spans="1:25" ht="36.75" x14ac:dyDescent="0.25">
      <c r="A703" s="3" t="s">
        <v>26</v>
      </c>
      <c r="B703" s="3" t="s">
        <v>27</v>
      </c>
      <c r="C703" s="3" t="s">
        <v>28</v>
      </c>
      <c r="D703" s="3" t="s">
        <v>50</v>
      </c>
      <c r="E703" s="3" t="s">
        <v>149</v>
      </c>
      <c r="F703" s="3" t="s">
        <v>52</v>
      </c>
      <c r="G703" s="3" t="s">
        <v>149</v>
      </c>
      <c r="H703" s="3" t="s">
        <v>96</v>
      </c>
      <c r="I703" s="3">
        <v>2025</v>
      </c>
      <c r="J703" s="3" t="str">
        <f>CONCATENATE("54820100631")</f>
        <v>54820100631</v>
      </c>
      <c r="K703" s="3" t="s">
        <v>33</v>
      </c>
      <c r="L703" s="3"/>
      <c r="M703" s="3" t="s">
        <v>131</v>
      </c>
      <c r="N703" s="3" t="str">
        <f>CONCATENATE("02451910448")</f>
        <v>02451910448</v>
      </c>
      <c r="O703" s="3" t="s">
        <v>823</v>
      </c>
      <c r="P703" s="3" t="s">
        <v>36</v>
      </c>
      <c r="Q703" s="3"/>
      <c r="R703" s="4">
        <v>45996</v>
      </c>
      <c r="S703" s="3" t="s">
        <v>37</v>
      </c>
      <c r="T703" s="3" t="s">
        <v>38</v>
      </c>
      <c r="U703" s="3" t="s">
        <v>39</v>
      </c>
      <c r="V703" s="5">
        <v>1170.79</v>
      </c>
      <c r="W703" s="3">
        <v>497.59</v>
      </c>
      <c r="X703" s="3">
        <v>471.24</v>
      </c>
      <c r="Y703" s="3">
        <v>201.96</v>
      </c>
    </row>
    <row r="704" spans="1:25" ht="60.75" x14ac:dyDescent="0.25">
      <c r="A704" s="3" t="s">
        <v>26</v>
      </c>
      <c r="B704" s="3" t="s">
        <v>27</v>
      </c>
      <c r="C704" s="3" t="s">
        <v>28</v>
      </c>
      <c r="D704" s="3" t="s">
        <v>50</v>
      </c>
      <c r="E704" s="3" t="s">
        <v>60</v>
      </c>
      <c r="F704" s="3" t="s">
        <v>52</v>
      </c>
      <c r="G704" s="3" t="s">
        <v>60</v>
      </c>
      <c r="H704" s="3" t="s">
        <v>48</v>
      </c>
      <c r="I704" s="3">
        <v>2025</v>
      </c>
      <c r="J704" s="3" t="str">
        <f>CONCATENATE("54820112578")</f>
        <v>54820112578</v>
      </c>
      <c r="K704" s="3" t="s">
        <v>33</v>
      </c>
      <c r="L704" s="3"/>
      <c r="M704" s="3" t="s">
        <v>131</v>
      </c>
      <c r="N704" s="3" t="str">
        <f>CONCATENATE("FNCFNC59S10L506D")</f>
        <v>FNCFNC59S10L506D</v>
      </c>
      <c r="O704" s="3" t="s">
        <v>824</v>
      </c>
      <c r="P704" s="3" t="s">
        <v>36</v>
      </c>
      <c r="Q704" s="3"/>
      <c r="R704" s="4">
        <v>45996</v>
      </c>
      <c r="S704" s="3" t="s">
        <v>37</v>
      </c>
      <c r="T704" s="3" t="s">
        <v>38</v>
      </c>
      <c r="U704" s="3" t="s">
        <v>39</v>
      </c>
      <c r="V704" s="3">
        <v>165.47</v>
      </c>
      <c r="W704" s="3">
        <v>70.319999999999993</v>
      </c>
      <c r="X704" s="3">
        <v>66.599999999999994</v>
      </c>
      <c r="Y704" s="3">
        <v>28.55</v>
      </c>
    </row>
    <row r="705" spans="1:25" ht="60.75" x14ac:dyDescent="0.25">
      <c r="A705" s="3" t="s">
        <v>26</v>
      </c>
      <c r="B705" s="3" t="s">
        <v>27</v>
      </c>
      <c r="C705" s="3" t="s">
        <v>28</v>
      </c>
      <c r="D705" s="3" t="s">
        <v>29</v>
      </c>
      <c r="E705" s="3" t="s">
        <v>182</v>
      </c>
      <c r="F705" s="3" t="s">
        <v>31</v>
      </c>
      <c r="G705" s="3" t="s">
        <v>182</v>
      </c>
      <c r="H705" s="3" t="s">
        <v>45</v>
      </c>
      <c r="I705" s="3">
        <v>2025</v>
      </c>
      <c r="J705" s="3" t="str">
        <f>CONCATENATE("54820068507")</f>
        <v>54820068507</v>
      </c>
      <c r="K705" s="3" t="s">
        <v>33</v>
      </c>
      <c r="L705" s="3"/>
      <c r="M705" s="3" t="s">
        <v>131</v>
      </c>
      <c r="N705" s="3" t="str">
        <f>CONCATENATE("SPDLZR53H21L500P")</f>
        <v>SPDLZR53H21L500P</v>
      </c>
      <c r="O705" s="3" t="s">
        <v>825</v>
      </c>
      <c r="P705" s="3" t="s">
        <v>36</v>
      </c>
      <c r="Q705" s="3"/>
      <c r="R705" s="4">
        <v>45996</v>
      </c>
      <c r="S705" s="3" t="s">
        <v>37</v>
      </c>
      <c r="T705" s="3" t="s">
        <v>38</v>
      </c>
      <c r="U705" s="3" t="s">
        <v>39</v>
      </c>
      <c r="V705" s="3">
        <v>224.68</v>
      </c>
      <c r="W705" s="3">
        <v>95.49</v>
      </c>
      <c r="X705" s="3">
        <v>90.43</v>
      </c>
      <c r="Y705" s="3">
        <v>38.76</v>
      </c>
    </row>
    <row r="706" spans="1:25" ht="60.75" x14ac:dyDescent="0.25">
      <c r="A706" s="3" t="s">
        <v>26</v>
      </c>
      <c r="B706" s="3" t="s">
        <v>27</v>
      </c>
      <c r="C706" s="3" t="s">
        <v>28</v>
      </c>
      <c r="D706" s="3" t="s">
        <v>29</v>
      </c>
      <c r="E706" s="3" t="s">
        <v>228</v>
      </c>
      <c r="F706" s="3" t="s">
        <v>31</v>
      </c>
      <c r="G706" s="3" t="s">
        <v>228</v>
      </c>
      <c r="H706" s="3" t="s">
        <v>45</v>
      </c>
      <c r="I706" s="3">
        <v>2025</v>
      </c>
      <c r="J706" s="3" t="str">
        <f>CONCATENATE("54820072897")</f>
        <v>54820072897</v>
      </c>
      <c r="K706" s="3" t="s">
        <v>33</v>
      </c>
      <c r="L706" s="3"/>
      <c r="M706" s="3" t="s">
        <v>131</v>
      </c>
      <c r="N706" s="3" t="str">
        <f>CONCATENATE("FRRMLL56D52B352P")</f>
        <v>FRRMLL56D52B352P</v>
      </c>
      <c r="O706" s="3" t="s">
        <v>826</v>
      </c>
      <c r="P706" s="3" t="s">
        <v>36</v>
      </c>
      <c r="Q706" s="3"/>
      <c r="R706" s="4">
        <v>45996</v>
      </c>
      <c r="S706" s="3" t="s">
        <v>37</v>
      </c>
      <c r="T706" s="3" t="s">
        <v>38</v>
      </c>
      <c r="U706" s="3" t="s">
        <v>39</v>
      </c>
      <c r="V706" s="3">
        <v>559.99</v>
      </c>
      <c r="W706" s="3">
        <v>238</v>
      </c>
      <c r="X706" s="3">
        <v>225.4</v>
      </c>
      <c r="Y706" s="3">
        <v>96.59</v>
      </c>
    </row>
    <row r="707" spans="1:25" ht="60.75" x14ac:dyDescent="0.25">
      <c r="A707" s="3" t="s">
        <v>26</v>
      </c>
      <c r="B707" s="3" t="s">
        <v>27</v>
      </c>
      <c r="C707" s="3" t="s">
        <v>28</v>
      </c>
      <c r="D707" s="3" t="s">
        <v>29</v>
      </c>
      <c r="E707" s="3" t="s">
        <v>136</v>
      </c>
      <c r="F707" s="3" t="s">
        <v>31</v>
      </c>
      <c r="G707" s="3" t="s">
        <v>136</v>
      </c>
      <c r="H707" s="3" t="s">
        <v>48</v>
      </c>
      <c r="I707" s="3">
        <v>2025</v>
      </c>
      <c r="J707" s="3" t="str">
        <f>CONCATENATE("54820069521")</f>
        <v>54820069521</v>
      </c>
      <c r="K707" s="3" t="s">
        <v>33</v>
      </c>
      <c r="L707" s="3"/>
      <c r="M707" s="3" t="s">
        <v>131</v>
      </c>
      <c r="N707" s="3" t="str">
        <f>CONCATENATE("LLGCDD39A47I461Z")</f>
        <v>LLGCDD39A47I461Z</v>
      </c>
      <c r="O707" s="3" t="s">
        <v>827</v>
      </c>
      <c r="P707" s="3" t="s">
        <v>36</v>
      </c>
      <c r="Q707" s="3"/>
      <c r="R707" s="4">
        <v>45996</v>
      </c>
      <c r="S707" s="3" t="s">
        <v>37</v>
      </c>
      <c r="T707" s="3" t="s">
        <v>38</v>
      </c>
      <c r="U707" s="3" t="s">
        <v>39</v>
      </c>
      <c r="V707" s="3">
        <v>47.25</v>
      </c>
      <c r="W707" s="3">
        <v>20.079999999999998</v>
      </c>
      <c r="X707" s="3">
        <v>19.02</v>
      </c>
      <c r="Y707" s="3">
        <v>8.15</v>
      </c>
    </row>
    <row r="708" spans="1:25" ht="60.75" x14ac:dyDescent="0.25">
      <c r="A708" s="3" t="s">
        <v>26</v>
      </c>
      <c r="B708" s="3" t="s">
        <v>27</v>
      </c>
      <c r="C708" s="3" t="s">
        <v>28</v>
      </c>
      <c r="D708" s="3" t="s">
        <v>157</v>
      </c>
      <c r="E708" s="3" t="s">
        <v>310</v>
      </c>
      <c r="F708" s="3" t="s">
        <v>159</v>
      </c>
      <c r="G708" s="3" t="s">
        <v>310</v>
      </c>
      <c r="H708" s="3" t="s">
        <v>96</v>
      </c>
      <c r="I708" s="3">
        <v>2025</v>
      </c>
      <c r="J708" s="3" t="str">
        <f>CONCATENATE("54820074851")</f>
        <v>54820074851</v>
      </c>
      <c r="K708" s="3" t="s">
        <v>33</v>
      </c>
      <c r="L708" s="3"/>
      <c r="M708" s="3" t="s">
        <v>131</v>
      </c>
      <c r="N708" s="3" t="str">
        <f>CONCATENATE("TSIMRA59R51F509P")</f>
        <v>TSIMRA59R51F509P</v>
      </c>
      <c r="O708" s="3" t="s">
        <v>828</v>
      </c>
      <c r="P708" s="3" t="s">
        <v>36</v>
      </c>
      <c r="Q708" s="3"/>
      <c r="R708" s="4">
        <v>45996</v>
      </c>
      <c r="S708" s="3" t="s">
        <v>37</v>
      </c>
      <c r="T708" s="3" t="s">
        <v>38</v>
      </c>
      <c r="U708" s="3" t="s">
        <v>39</v>
      </c>
      <c r="V708" s="3">
        <v>50.85</v>
      </c>
      <c r="W708" s="3">
        <v>21.61</v>
      </c>
      <c r="X708" s="3">
        <v>20.47</v>
      </c>
      <c r="Y708" s="3">
        <v>8.77</v>
      </c>
    </row>
    <row r="709" spans="1:25" ht="60.75" x14ac:dyDescent="0.25">
      <c r="A709" s="3" t="s">
        <v>26</v>
      </c>
      <c r="B709" s="3" t="s">
        <v>27</v>
      </c>
      <c r="C709" s="3" t="s">
        <v>28</v>
      </c>
      <c r="D709" s="3" t="s">
        <v>29</v>
      </c>
      <c r="E709" s="3" t="s">
        <v>56</v>
      </c>
      <c r="F709" s="3" t="s">
        <v>31</v>
      </c>
      <c r="G709" s="3" t="s">
        <v>56</v>
      </c>
      <c r="H709" s="3" t="s">
        <v>32</v>
      </c>
      <c r="I709" s="3">
        <v>2025</v>
      </c>
      <c r="J709" s="3" t="str">
        <f>CONCATENATE("54820020474")</f>
        <v>54820020474</v>
      </c>
      <c r="K709" s="3" t="s">
        <v>33</v>
      </c>
      <c r="L709" s="3"/>
      <c r="M709" s="3" t="s">
        <v>131</v>
      </c>
      <c r="N709" s="3" t="str">
        <f>CONCATENATE("CRSMRC82A10B474C")</f>
        <v>CRSMRC82A10B474C</v>
      </c>
      <c r="O709" s="3" t="s">
        <v>829</v>
      </c>
      <c r="P709" s="3" t="s">
        <v>36</v>
      </c>
      <c r="Q709" s="3"/>
      <c r="R709" s="4">
        <v>45996</v>
      </c>
      <c r="S709" s="3" t="s">
        <v>37</v>
      </c>
      <c r="T709" s="3" t="s">
        <v>38</v>
      </c>
      <c r="U709" s="3" t="s">
        <v>39</v>
      </c>
      <c r="V709" s="3">
        <v>707.92</v>
      </c>
      <c r="W709" s="3">
        <v>300.87</v>
      </c>
      <c r="X709" s="3">
        <v>284.94</v>
      </c>
      <c r="Y709" s="3">
        <v>122.11</v>
      </c>
    </row>
    <row r="710" spans="1:25" ht="60.75" x14ac:dyDescent="0.25">
      <c r="A710" s="3" t="s">
        <v>26</v>
      </c>
      <c r="B710" s="3" t="s">
        <v>27</v>
      </c>
      <c r="C710" s="3" t="s">
        <v>28</v>
      </c>
      <c r="D710" s="3" t="s">
        <v>29</v>
      </c>
      <c r="E710" s="3" t="s">
        <v>56</v>
      </c>
      <c r="F710" s="3" t="s">
        <v>31</v>
      </c>
      <c r="G710" s="3" t="s">
        <v>56</v>
      </c>
      <c r="H710" s="3" t="s">
        <v>32</v>
      </c>
      <c r="I710" s="3">
        <v>2025</v>
      </c>
      <c r="J710" s="3" t="str">
        <f>CONCATENATE("54820110945")</f>
        <v>54820110945</v>
      </c>
      <c r="K710" s="3" t="s">
        <v>33</v>
      </c>
      <c r="L710" s="3"/>
      <c r="M710" s="3" t="s">
        <v>131</v>
      </c>
      <c r="N710" s="3" t="str">
        <f>CONCATENATE("GRILSN67R14B474X")</f>
        <v>GRILSN67R14B474X</v>
      </c>
      <c r="O710" s="3" t="s">
        <v>830</v>
      </c>
      <c r="P710" s="3" t="s">
        <v>36</v>
      </c>
      <c r="Q710" s="3"/>
      <c r="R710" s="4">
        <v>45996</v>
      </c>
      <c r="S710" s="3" t="s">
        <v>37</v>
      </c>
      <c r="T710" s="3" t="s">
        <v>38</v>
      </c>
      <c r="U710" s="3" t="s">
        <v>39</v>
      </c>
      <c r="V710" s="3">
        <v>49.02</v>
      </c>
      <c r="W710" s="3">
        <v>20.83</v>
      </c>
      <c r="X710" s="3">
        <v>19.73</v>
      </c>
      <c r="Y710" s="3">
        <v>8.4600000000000009</v>
      </c>
    </row>
    <row r="711" spans="1:25" ht="60.75" x14ac:dyDescent="0.25">
      <c r="A711" s="3" t="s">
        <v>26</v>
      </c>
      <c r="B711" s="3" t="s">
        <v>27</v>
      </c>
      <c r="C711" s="3" t="s">
        <v>28</v>
      </c>
      <c r="D711" s="3" t="s">
        <v>40</v>
      </c>
      <c r="E711" s="3" t="s">
        <v>54</v>
      </c>
      <c r="F711" s="3" t="s">
        <v>42</v>
      </c>
      <c r="G711" s="3" t="s">
        <v>54</v>
      </c>
      <c r="H711" s="3" t="s">
        <v>45</v>
      </c>
      <c r="I711" s="3">
        <v>2025</v>
      </c>
      <c r="J711" s="3" t="str">
        <f>CONCATENATE("54820069208")</f>
        <v>54820069208</v>
      </c>
      <c r="K711" s="3" t="s">
        <v>33</v>
      </c>
      <c r="L711" s="3"/>
      <c r="M711" s="3" t="s">
        <v>131</v>
      </c>
      <c r="N711" s="3" t="str">
        <f>CONCATENATE("MSLSSN81C71Z352B")</f>
        <v>MSLSSN81C71Z352B</v>
      </c>
      <c r="O711" s="3" t="s">
        <v>831</v>
      </c>
      <c r="P711" s="3" t="s">
        <v>36</v>
      </c>
      <c r="Q711" s="3"/>
      <c r="R711" s="4">
        <v>45996</v>
      </c>
      <c r="S711" s="3" t="s">
        <v>37</v>
      </c>
      <c r="T711" s="3" t="s">
        <v>38</v>
      </c>
      <c r="U711" s="3" t="s">
        <v>39</v>
      </c>
      <c r="V711" s="3">
        <v>214.31</v>
      </c>
      <c r="W711" s="3">
        <v>91.08</v>
      </c>
      <c r="X711" s="3">
        <v>86.26</v>
      </c>
      <c r="Y711" s="3">
        <v>36.97</v>
      </c>
    </row>
    <row r="712" spans="1:25" ht="60.75" x14ac:dyDescent="0.25">
      <c r="A712" s="3" t="s">
        <v>26</v>
      </c>
      <c r="B712" s="3" t="s">
        <v>27</v>
      </c>
      <c r="C712" s="3" t="s">
        <v>28</v>
      </c>
      <c r="D712" s="3" t="s">
        <v>29</v>
      </c>
      <c r="E712" s="3" t="s">
        <v>56</v>
      </c>
      <c r="F712" s="3" t="s">
        <v>31</v>
      </c>
      <c r="G712" s="3" t="s">
        <v>56</v>
      </c>
      <c r="H712" s="3" t="s">
        <v>32</v>
      </c>
      <c r="I712" s="3">
        <v>2025</v>
      </c>
      <c r="J712" s="3" t="str">
        <f>CONCATENATE("54820020433")</f>
        <v>54820020433</v>
      </c>
      <c r="K712" s="3" t="s">
        <v>33</v>
      </c>
      <c r="L712" s="3"/>
      <c r="M712" s="3" t="s">
        <v>131</v>
      </c>
      <c r="N712" s="3" t="str">
        <f>CONCATENATE("CRRMRE74C56B474W")</f>
        <v>CRRMRE74C56B474W</v>
      </c>
      <c r="O712" s="3" t="s">
        <v>832</v>
      </c>
      <c r="P712" s="3" t="s">
        <v>36</v>
      </c>
      <c r="Q712" s="3"/>
      <c r="R712" s="4">
        <v>45996</v>
      </c>
      <c r="S712" s="3" t="s">
        <v>37</v>
      </c>
      <c r="T712" s="3" t="s">
        <v>38</v>
      </c>
      <c r="U712" s="3" t="s">
        <v>39</v>
      </c>
      <c r="V712" s="3">
        <v>74.53</v>
      </c>
      <c r="W712" s="3">
        <v>31.68</v>
      </c>
      <c r="X712" s="3">
        <v>30</v>
      </c>
      <c r="Y712" s="3">
        <v>12.85</v>
      </c>
    </row>
    <row r="713" spans="1:25" ht="60.75" x14ac:dyDescent="0.25">
      <c r="A713" s="3" t="s">
        <v>26</v>
      </c>
      <c r="B713" s="3" t="s">
        <v>27</v>
      </c>
      <c r="C713" s="3" t="s">
        <v>28</v>
      </c>
      <c r="D713" s="3" t="s">
        <v>29</v>
      </c>
      <c r="E713" s="3" t="s">
        <v>56</v>
      </c>
      <c r="F713" s="3" t="s">
        <v>31</v>
      </c>
      <c r="G713" s="3" t="s">
        <v>56</v>
      </c>
      <c r="H713" s="3" t="s">
        <v>32</v>
      </c>
      <c r="I713" s="3">
        <v>2025</v>
      </c>
      <c r="J713" s="3" t="str">
        <f>CONCATENATE("54820020441")</f>
        <v>54820020441</v>
      </c>
      <c r="K713" s="3" t="s">
        <v>33</v>
      </c>
      <c r="L713" s="3"/>
      <c r="M713" s="3" t="s">
        <v>131</v>
      </c>
      <c r="N713" s="3" t="str">
        <f>CONCATENATE("CRRTRS57D44B474L")</f>
        <v>CRRTRS57D44B474L</v>
      </c>
      <c r="O713" s="3" t="s">
        <v>833</v>
      </c>
      <c r="P713" s="3" t="s">
        <v>36</v>
      </c>
      <c r="Q713" s="3"/>
      <c r="R713" s="4">
        <v>45996</v>
      </c>
      <c r="S713" s="3" t="s">
        <v>37</v>
      </c>
      <c r="T713" s="3" t="s">
        <v>38</v>
      </c>
      <c r="U713" s="3" t="s">
        <v>39</v>
      </c>
      <c r="V713" s="3">
        <v>272.52999999999997</v>
      </c>
      <c r="W713" s="3">
        <v>115.83</v>
      </c>
      <c r="X713" s="3">
        <v>109.69</v>
      </c>
      <c r="Y713" s="3">
        <v>47.01</v>
      </c>
    </row>
    <row r="714" spans="1:25" ht="60.75" x14ac:dyDescent="0.25">
      <c r="A714" s="3" t="s">
        <v>26</v>
      </c>
      <c r="B714" s="3" t="s">
        <v>27</v>
      </c>
      <c r="C714" s="3" t="s">
        <v>28</v>
      </c>
      <c r="D714" s="3" t="s">
        <v>50</v>
      </c>
      <c r="E714" s="3" t="s">
        <v>147</v>
      </c>
      <c r="F714" s="3" t="s">
        <v>52</v>
      </c>
      <c r="G714" s="3" t="s">
        <v>147</v>
      </c>
      <c r="H714" s="3" t="s">
        <v>45</v>
      </c>
      <c r="I714" s="3">
        <v>2025</v>
      </c>
      <c r="J714" s="3" t="str">
        <f>CONCATENATE("54820116520")</f>
        <v>54820116520</v>
      </c>
      <c r="K714" s="3" t="s">
        <v>33</v>
      </c>
      <c r="L714" s="3"/>
      <c r="M714" s="3" t="s">
        <v>131</v>
      </c>
      <c r="N714" s="3" t="str">
        <f>CONCATENATE("GDUQNT31T51F450G")</f>
        <v>GDUQNT31T51F450G</v>
      </c>
      <c r="O714" s="3" t="s">
        <v>834</v>
      </c>
      <c r="P714" s="3" t="s">
        <v>36</v>
      </c>
      <c r="Q714" s="3"/>
      <c r="R714" s="4">
        <v>45996</v>
      </c>
      <c r="S714" s="3" t="s">
        <v>37</v>
      </c>
      <c r="T714" s="3" t="s">
        <v>38</v>
      </c>
      <c r="U714" s="3" t="s">
        <v>39</v>
      </c>
      <c r="V714" s="3">
        <v>207.23</v>
      </c>
      <c r="W714" s="3">
        <v>88.07</v>
      </c>
      <c r="X714" s="3">
        <v>83.41</v>
      </c>
      <c r="Y714" s="3">
        <v>35.75</v>
      </c>
    </row>
    <row r="715" spans="1:25" ht="60.75" x14ac:dyDescent="0.25">
      <c r="A715" s="3" t="s">
        <v>26</v>
      </c>
      <c r="B715" s="3" t="s">
        <v>27</v>
      </c>
      <c r="C715" s="3" t="s">
        <v>28</v>
      </c>
      <c r="D715" s="3" t="s">
        <v>40</v>
      </c>
      <c r="E715" s="3" t="s">
        <v>287</v>
      </c>
      <c r="F715" s="3" t="s">
        <v>42</v>
      </c>
      <c r="G715" s="3" t="s">
        <v>287</v>
      </c>
      <c r="H715" s="3" t="s">
        <v>32</v>
      </c>
      <c r="I715" s="3">
        <v>2025</v>
      </c>
      <c r="J715" s="3" t="str">
        <f>CONCATENATE("54820016381")</f>
        <v>54820016381</v>
      </c>
      <c r="K715" s="3" t="s">
        <v>33</v>
      </c>
      <c r="L715" s="3"/>
      <c r="M715" s="3" t="s">
        <v>131</v>
      </c>
      <c r="N715" s="3" t="str">
        <f>CONCATENATE("LCRVNZ71A15B474J")</f>
        <v>LCRVNZ71A15B474J</v>
      </c>
      <c r="O715" s="3" t="s">
        <v>835</v>
      </c>
      <c r="P715" s="3" t="s">
        <v>36</v>
      </c>
      <c r="Q715" s="3"/>
      <c r="R715" s="4">
        <v>45996</v>
      </c>
      <c r="S715" s="3" t="s">
        <v>37</v>
      </c>
      <c r="T715" s="3" t="s">
        <v>38</v>
      </c>
      <c r="U715" s="3" t="s">
        <v>39</v>
      </c>
      <c r="V715" s="3">
        <v>117.92</v>
      </c>
      <c r="W715" s="3">
        <v>50.12</v>
      </c>
      <c r="X715" s="3">
        <v>47.46</v>
      </c>
      <c r="Y715" s="3">
        <v>20.34</v>
      </c>
    </row>
    <row r="716" spans="1:25" ht="60.75" x14ac:dyDescent="0.25">
      <c r="A716" s="3" t="s">
        <v>26</v>
      </c>
      <c r="B716" s="3" t="s">
        <v>27</v>
      </c>
      <c r="C716" s="3" t="s">
        <v>28</v>
      </c>
      <c r="D716" s="3" t="s">
        <v>29</v>
      </c>
      <c r="E716" s="3" t="s">
        <v>56</v>
      </c>
      <c r="F716" s="3" t="s">
        <v>31</v>
      </c>
      <c r="G716" s="3" t="s">
        <v>56</v>
      </c>
      <c r="H716" s="3" t="s">
        <v>48</v>
      </c>
      <c r="I716" s="3">
        <v>2025</v>
      </c>
      <c r="J716" s="3" t="str">
        <f>CONCATENATE("54820082334")</f>
        <v>54820082334</v>
      </c>
      <c r="K716" s="3" t="s">
        <v>33</v>
      </c>
      <c r="L716" s="3"/>
      <c r="M716" s="3" t="s">
        <v>131</v>
      </c>
      <c r="N716" s="3" t="str">
        <f>CONCATENATE("GTTMRC64T22I286Q")</f>
        <v>GTTMRC64T22I286Q</v>
      </c>
      <c r="O716" s="3" t="s">
        <v>836</v>
      </c>
      <c r="P716" s="3" t="s">
        <v>36</v>
      </c>
      <c r="Q716" s="3"/>
      <c r="R716" s="4">
        <v>45996</v>
      </c>
      <c r="S716" s="3" t="s">
        <v>37</v>
      </c>
      <c r="T716" s="3" t="s">
        <v>38</v>
      </c>
      <c r="U716" s="3" t="s">
        <v>39</v>
      </c>
      <c r="V716" s="3">
        <v>132.65</v>
      </c>
      <c r="W716" s="3">
        <v>56.38</v>
      </c>
      <c r="X716" s="3">
        <v>53.39</v>
      </c>
      <c r="Y716" s="3">
        <v>22.88</v>
      </c>
    </row>
    <row r="717" spans="1:25" ht="36.75" x14ac:dyDescent="0.25">
      <c r="A717" s="3" t="s">
        <v>26</v>
      </c>
      <c r="B717" s="3" t="s">
        <v>27</v>
      </c>
      <c r="C717" s="3" t="s">
        <v>28</v>
      </c>
      <c r="D717" s="3" t="s">
        <v>104</v>
      </c>
      <c r="E717" s="3" t="s">
        <v>268</v>
      </c>
      <c r="F717" s="3" t="s">
        <v>104</v>
      </c>
      <c r="G717" s="3" t="s">
        <v>268</v>
      </c>
      <c r="H717" s="3" t="s">
        <v>32</v>
      </c>
      <c r="I717" s="3">
        <v>2025</v>
      </c>
      <c r="J717" s="3" t="str">
        <f>CONCATENATE("54820069547")</f>
        <v>54820069547</v>
      </c>
      <c r="K717" s="3" t="s">
        <v>33</v>
      </c>
      <c r="L717" s="3"/>
      <c r="M717" s="3" t="s">
        <v>131</v>
      </c>
      <c r="N717" s="3" t="str">
        <f>CONCATENATE("01823570435")</f>
        <v>01823570435</v>
      </c>
      <c r="O717" s="3" t="s">
        <v>837</v>
      </c>
      <c r="P717" s="3" t="s">
        <v>36</v>
      </c>
      <c r="Q717" s="3"/>
      <c r="R717" s="4">
        <v>45996</v>
      </c>
      <c r="S717" s="3" t="s">
        <v>37</v>
      </c>
      <c r="T717" s="3" t="s">
        <v>38</v>
      </c>
      <c r="U717" s="3" t="s">
        <v>39</v>
      </c>
      <c r="V717" s="3">
        <v>637.13</v>
      </c>
      <c r="W717" s="3">
        <v>270.77999999999997</v>
      </c>
      <c r="X717" s="3">
        <v>256.44</v>
      </c>
      <c r="Y717" s="3">
        <v>109.91</v>
      </c>
    </row>
    <row r="718" spans="1:25" ht="60.75" x14ac:dyDescent="0.25">
      <c r="A718" s="3" t="s">
        <v>26</v>
      </c>
      <c r="B718" s="3" t="s">
        <v>27</v>
      </c>
      <c r="C718" s="3" t="s">
        <v>28</v>
      </c>
      <c r="D718" s="3" t="s">
        <v>29</v>
      </c>
      <c r="E718" s="3" t="s">
        <v>208</v>
      </c>
      <c r="F718" s="3" t="s">
        <v>31</v>
      </c>
      <c r="G718" s="3" t="s">
        <v>208</v>
      </c>
      <c r="H718" s="3" t="s">
        <v>45</v>
      </c>
      <c r="I718" s="3">
        <v>2025</v>
      </c>
      <c r="J718" s="3" t="str">
        <f>CONCATENATE("54820055157")</f>
        <v>54820055157</v>
      </c>
      <c r="K718" s="3" t="s">
        <v>33</v>
      </c>
      <c r="L718" s="3"/>
      <c r="M718" s="3" t="s">
        <v>131</v>
      </c>
      <c r="N718" s="3" t="str">
        <f>CONCATENATE("MSCFNC53C27B026X")</f>
        <v>MSCFNC53C27B026X</v>
      </c>
      <c r="O718" s="3" t="s">
        <v>838</v>
      </c>
      <c r="P718" s="3" t="s">
        <v>36</v>
      </c>
      <c r="Q718" s="3"/>
      <c r="R718" s="4">
        <v>45996</v>
      </c>
      <c r="S718" s="3" t="s">
        <v>37</v>
      </c>
      <c r="T718" s="3" t="s">
        <v>38</v>
      </c>
      <c r="U718" s="3" t="s">
        <v>39</v>
      </c>
      <c r="V718" s="3">
        <v>65.989999999999995</v>
      </c>
      <c r="W718" s="3">
        <v>28.05</v>
      </c>
      <c r="X718" s="3">
        <v>26.56</v>
      </c>
      <c r="Y718" s="3">
        <v>11.38</v>
      </c>
    </row>
    <row r="719" spans="1:25" ht="60.75" x14ac:dyDescent="0.25">
      <c r="A719" s="3" t="s">
        <v>26</v>
      </c>
      <c r="B719" s="3" t="s">
        <v>27</v>
      </c>
      <c r="C719" s="3" t="s">
        <v>28</v>
      </c>
      <c r="D719" s="3" t="s">
        <v>50</v>
      </c>
      <c r="E719" s="3" t="s">
        <v>252</v>
      </c>
      <c r="F719" s="3" t="s">
        <v>52</v>
      </c>
      <c r="G719" s="3" t="s">
        <v>252</v>
      </c>
      <c r="H719" s="3" t="s">
        <v>45</v>
      </c>
      <c r="I719" s="3">
        <v>2025</v>
      </c>
      <c r="J719" s="3" t="str">
        <f>CONCATENATE("54820089560")</f>
        <v>54820089560</v>
      </c>
      <c r="K719" s="3" t="s">
        <v>33</v>
      </c>
      <c r="L719" s="3"/>
      <c r="M719" s="3" t="s">
        <v>131</v>
      </c>
      <c r="N719" s="3" t="str">
        <f>CONCATENATE("GGGFTN62S11G453V")</f>
        <v>GGGFTN62S11G453V</v>
      </c>
      <c r="O719" s="3" t="s">
        <v>839</v>
      </c>
      <c r="P719" s="3" t="s">
        <v>36</v>
      </c>
      <c r="Q719" s="3"/>
      <c r="R719" s="4">
        <v>45996</v>
      </c>
      <c r="S719" s="3" t="s">
        <v>37</v>
      </c>
      <c r="T719" s="3" t="s">
        <v>38</v>
      </c>
      <c r="U719" s="3" t="s">
        <v>39</v>
      </c>
      <c r="V719" s="3">
        <v>316.89</v>
      </c>
      <c r="W719" s="3">
        <v>134.68</v>
      </c>
      <c r="X719" s="3">
        <v>127.55</v>
      </c>
      <c r="Y719" s="3">
        <v>54.66</v>
      </c>
    </row>
    <row r="720" spans="1:25" ht="60.75" x14ac:dyDescent="0.25">
      <c r="A720" s="3" t="s">
        <v>26</v>
      </c>
      <c r="B720" s="3" t="s">
        <v>27</v>
      </c>
      <c r="C720" s="3" t="s">
        <v>28</v>
      </c>
      <c r="D720" s="3" t="s">
        <v>50</v>
      </c>
      <c r="E720" s="3" t="s">
        <v>51</v>
      </c>
      <c r="F720" s="3" t="s">
        <v>52</v>
      </c>
      <c r="G720" s="3" t="s">
        <v>51</v>
      </c>
      <c r="H720" s="3" t="s">
        <v>48</v>
      </c>
      <c r="I720" s="3">
        <v>2025</v>
      </c>
      <c r="J720" s="3" t="str">
        <f>CONCATENATE("54820088372")</f>
        <v>54820088372</v>
      </c>
      <c r="K720" s="3" t="s">
        <v>33</v>
      </c>
      <c r="L720" s="3"/>
      <c r="M720" s="3" t="s">
        <v>131</v>
      </c>
      <c r="N720" s="3" t="str">
        <f>CONCATENATE("PTRGLN76B20I653K")</f>
        <v>PTRGLN76B20I653K</v>
      </c>
      <c r="O720" s="3" t="s">
        <v>840</v>
      </c>
      <c r="P720" s="3" t="s">
        <v>36</v>
      </c>
      <c r="Q720" s="3"/>
      <c r="R720" s="4">
        <v>45996</v>
      </c>
      <c r="S720" s="3" t="s">
        <v>37</v>
      </c>
      <c r="T720" s="3" t="s">
        <v>38</v>
      </c>
      <c r="U720" s="3" t="s">
        <v>39</v>
      </c>
      <c r="V720" s="3">
        <v>75.27</v>
      </c>
      <c r="W720" s="3">
        <v>31.99</v>
      </c>
      <c r="X720" s="3">
        <v>30.3</v>
      </c>
      <c r="Y720" s="3">
        <v>12.98</v>
      </c>
    </row>
    <row r="721" spans="1:25" ht="60.75" x14ac:dyDescent="0.25">
      <c r="A721" s="3" t="s">
        <v>26</v>
      </c>
      <c r="B721" s="3" t="s">
        <v>27</v>
      </c>
      <c r="C721" s="3" t="s">
        <v>28</v>
      </c>
      <c r="D721" s="3" t="s">
        <v>50</v>
      </c>
      <c r="E721" s="3" t="s">
        <v>147</v>
      </c>
      <c r="F721" s="3" t="s">
        <v>52</v>
      </c>
      <c r="G721" s="3" t="s">
        <v>147</v>
      </c>
      <c r="H721" s="3" t="s">
        <v>45</v>
      </c>
      <c r="I721" s="3">
        <v>2025</v>
      </c>
      <c r="J721" s="3" t="str">
        <f>CONCATENATE("54820169339")</f>
        <v>54820169339</v>
      </c>
      <c r="K721" s="3" t="s">
        <v>33</v>
      </c>
      <c r="L721" s="3"/>
      <c r="M721" s="3" t="s">
        <v>131</v>
      </c>
      <c r="N721" s="3" t="str">
        <f>CONCATENATE("LTTLRD59A24F135K")</f>
        <v>LTTLRD59A24F135K</v>
      </c>
      <c r="O721" s="3" t="s">
        <v>841</v>
      </c>
      <c r="P721" s="3" t="s">
        <v>36</v>
      </c>
      <c r="Q721" s="3"/>
      <c r="R721" s="4">
        <v>45996</v>
      </c>
      <c r="S721" s="3" t="s">
        <v>37</v>
      </c>
      <c r="T721" s="3" t="s">
        <v>38</v>
      </c>
      <c r="U721" s="3" t="s">
        <v>39</v>
      </c>
      <c r="V721" s="3">
        <v>201.48</v>
      </c>
      <c r="W721" s="3">
        <v>85.63</v>
      </c>
      <c r="X721" s="3">
        <v>81.099999999999994</v>
      </c>
      <c r="Y721" s="3">
        <v>34.75</v>
      </c>
    </row>
    <row r="722" spans="1:25" ht="60.75" x14ac:dyDescent="0.25">
      <c r="A722" s="3" t="s">
        <v>26</v>
      </c>
      <c r="B722" s="3" t="s">
        <v>27</v>
      </c>
      <c r="C722" s="3" t="s">
        <v>28</v>
      </c>
      <c r="D722" s="3" t="s">
        <v>50</v>
      </c>
      <c r="E722" s="3" t="s">
        <v>60</v>
      </c>
      <c r="F722" s="3" t="s">
        <v>52</v>
      </c>
      <c r="G722" s="3" t="s">
        <v>60</v>
      </c>
      <c r="H722" s="3" t="s">
        <v>45</v>
      </c>
      <c r="I722" s="3">
        <v>2025</v>
      </c>
      <c r="J722" s="3" t="str">
        <f>CONCATENATE("54820125133")</f>
        <v>54820125133</v>
      </c>
      <c r="K722" s="3" t="s">
        <v>33</v>
      </c>
      <c r="L722" s="3"/>
      <c r="M722" s="3" t="s">
        <v>131</v>
      </c>
      <c r="N722" s="3" t="str">
        <f>CONCATENATE("BRTSTL50T15D488Y")</f>
        <v>BRTSTL50T15D488Y</v>
      </c>
      <c r="O722" s="3" t="s">
        <v>842</v>
      </c>
      <c r="P722" s="3" t="s">
        <v>36</v>
      </c>
      <c r="Q722" s="3"/>
      <c r="R722" s="4">
        <v>45996</v>
      </c>
      <c r="S722" s="3" t="s">
        <v>37</v>
      </c>
      <c r="T722" s="3" t="s">
        <v>38</v>
      </c>
      <c r="U722" s="3" t="s">
        <v>39</v>
      </c>
      <c r="V722" s="3">
        <v>76.95</v>
      </c>
      <c r="W722" s="3">
        <v>32.700000000000003</v>
      </c>
      <c r="X722" s="3">
        <v>30.97</v>
      </c>
      <c r="Y722" s="3">
        <v>13.28</v>
      </c>
    </row>
    <row r="723" spans="1:25" ht="60.75" x14ac:dyDescent="0.25">
      <c r="A723" s="3" t="s">
        <v>26</v>
      </c>
      <c r="B723" s="3" t="s">
        <v>27</v>
      </c>
      <c r="C723" s="3" t="s">
        <v>28</v>
      </c>
      <c r="D723" s="3" t="s">
        <v>50</v>
      </c>
      <c r="E723" s="3" t="s">
        <v>51</v>
      </c>
      <c r="F723" s="3" t="s">
        <v>52</v>
      </c>
      <c r="G723" s="3" t="s">
        <v>51</v>
      </c>
      <c r="H723" s="3" t="s">
        <v>48</v>
      </c>
      <c r="I723" s="3">
        <v>2025</v>
      </c>
      <c r="J723" s="3" t="str">
        <f>CONCATENATE("54820109251")</f>
        <v>54820109251</v>
      </c>
      <c r="K723" s="3" t="s">
        <v>33</v>
      </c>
      <c r="L723" s="3"/>
      <c r="M723" s="3" t="s">
        <v>131</v>
      </c>
      <c r="N723" s="3" t="str">
        <f>CONCATENATE("MTTBRN52B45D965S")</f>
        <v>MTTBRN52B45D965S</v>
      </c>
      <c r="O723" s="3" t="s">
        <v>843</v>
      </c>
      <c r="P723" s="3" t="s">
        <v>36</v>
      </c>
      <c r="Q723" s="3"/>
      <c r="R723" s="4">
        <v>45996</v>
      </c>
      <c r="S723" s="3" t="s">
        <v>37</v>
      </c>
      <c r="T723" s="3" t="s">
        <v>38</v>
      </c>
      <c r="U723" s="3" t="s">
        <v>39</v>
      </c>
      <c r="V723" s="3">
        <v>82.96</v>
      </c>
      <c r="W723" s="3">
        <v>35.26</v>
      </c>
      <c r="X723" s="3">
        <v>33.39</v>
      </c>
      <c r="Y723" s="3">
        <v>14.31</v>
      </c>
    </row>
    <row r="724" spans="1:25" ht="60.75" x14ac:dyDescent="0.25">
      <c r="A724" s="3" t="s">
        <v>26</v>
      </c>
      <c r="B724" s="3" t="s">
        <v>27</v>
      </c>
      <c r="C724" s="3" t="s">
        <v>28</v>
      </c>
      <c r="D724" s="3" t="s">
        <v>50</v>
      </c>
      <c r="E724" s="3" t="s">
        <v>60</v>
      </c>
      <c r="F724" s="3" t="s">
        <v>52</v>
      </c>
      <c r="G724" s="3" t="s">
        <v>60</v>
      </c>
      <c r="H724" s="3" t="s">
        <v>45</v>
      </c>
      <c r="I724" s="3">
        <v>2025</v>
      </c>
      <c r="J724" s="3" t="str">
        <f>CONCATENATE("54820074570")</f>
        <v>54820074570</v>
      </c>
      <c r="K724" s="3" t="s">
        <v>33</v>
      </c>
      <c r="L724" s="3"/>
      <c r="M724" s="3" t="s">
        <v>131</v>
      </c>
      <c r="N724" s="3" t="str">
        <f>CONCATENATE("PRZMHL79T22G453B")</f>
        <v>PRZMHL79T22G453B</v>
      </c>
      <c r="O724" s="3" t="s">
        <v>844</v>
      </c>
      <c r="P724" s="3" t="s">
        <v>36</v>
      </c>
      <c r="Q724" s="3"/>
      <c r="R724" s="4">
        <v>45996</v>
      </c>
      <c r="S724" s="3" t="s">
        <v>37</v>
      </c>
      <c r="T724" s="3" t="s">
        <v>38</v>
      </c>
      <c r="U724" s="3" t="s">
        <v>39</v>
      </c>
      <c r="V724" s="3">
        <v>215.43</v>
      </c>
      <c r="W724" s="3">
        <v>91.56</v>
      </c>
      <c r="X724" s="3">
        <v>86.71</v>
      </c>
      <c r="Y724" s="3">
        <v>37.159999999999997</v>
      </c>
    </row>
    <row r="725" spans="1:25" ht="60.75" x14ac:dyDescent="0.25">
      <c r="A725" s="3" t="s">
        <v>26</v>
      </c>
      <c r="B725" s="3" t="s">
        <v>27</v>
      </c>
      <c r="C725" s="3" t="s">
        <v>28</v>
      </c>
      <c r="D725" s="3" t="s">
        <v>50</v>
      </c>
      <c r="E725" s="3" t="s">
        <v>173</v>
      </c>
      <c r="F725" s="3" t="s">
        <v>52</v>
      </c>
      <c r="G725" s="3" t="s">
        <v>173</v>
      </c>
      <c r="H725" s="3" t="s">
        <v>45</v>
      </c>
      <c r="I725" s="3">
        <v>2025</v>
      </c>
      <c r="J725" s="3" t="str">
        <f>CONCATENATE("54820081450")</f>
        <v>54820081450</v>
      </c>
      <c r="K725" s="3" t="s">
        <v>33</v>
      </c>
      <c r="L725" s="3"/>
      <c r="M725" s="3" t="s">
        <v>131</v>
      </c>
      <c r="N725" s="3" t="str">
        <f>CONCATENATE("GRNFRC04P15L500K")</f>
        <v>GRNFRC04P15L500K</v>
      </c>
      <c r="O725" s="3" t="s">
        <v>845</v>
      </c>
      <c r="P725" s="3" t="s">
        <v>36</v>
      </c>
      <c r="Q725" s="3"/>
      <c r="R725" s="4">
        <v>45996</v>
      </c>
      <c r="S725" s="3" t="s">
        <v>37</v>
      </c>
      <c r="T725" s="3" t="s">
        <v>38</v>
      </c>
      <c r="U725" s="3" t="s">
        <v>39</v>
      </c>
      <c r="V725" s="3">
        <v>66.78</v>
      </c>
      <c r="W725" s="3">
        <v>28.38</v>
      </c>
      <c r="X725" s="3">
        <v>26.88</v>
      </c>
      <c r="Y725" s="3">
        <v>11.52</v>
      </c>
    </row>
    <row r="726" spans="1:25" ht="60.75" x14ac:dyDescent="0.25">
      <c r="A726" s="3" t="s">
        <v>26</v>
      </c>
      <c r="B726" s="3" t="s">
        <v>27</v>
      </c>
      <c r="C726" s="3" t="s">
        <v>28</v>
      </c>
      <c r="D726" s="3" t="s">
        <v>29</v>
      </c>
      <c r="E726" s="3" t="s">
        <v>72</v>
      </c>
      <c r="F726" s="3" t="s">
        <v>31</v>
      </c>
      <c r="G726" s="3" t="s">
        <v>72</v>
      </c>
      <c r="H726" s="3" t="s">
        <v>45</v>
      </c>
      <c r="I726" s="3">
        <v>2025</v>
      </c>
      <c r="J726" s="3" t="str">
        <f>CONCATENATE("54820047246")</f>
        <v>54820047246</v>
      </c>
      <c r="K726" s="3" t="s">
        <v>33</v>
      </c>
      <c r="L726" s="3"/>
      <c r="M726" s="3" t="s">
        <v>131</v>
      </c>
      <c r="N726" s="3" t="str">
        <f>CONCATENATE("BRSLCN68L08D808P")</f>
        <v>BRSLCN68L08D808P</v>
      </c>
      <c r="O726" s="3" t="s">
        <v>846</v>
      </c>
      <c r="P726" s="3" t="s">
        <v>36</v>
      </c>
      <c r="Q726" s="3"/>
      <c r="R726" s="4">
        <v>45996</v>
      </c>
      <c r="S726" s="3" t="s">
        <v>37</v>
      </c>
      <c r="T726" s="3" t="s">
        <v>38</v>
      </c>
      <c r="U726" s="3" t="s">
        <v>39</v>
      </c>
      <c r="V726" s="3">
        <v>136.9</v>
      </c>
      <c r="W726" s="3">
        <v>58.18</v>
      </c>
      <c r="X726" s="3">
        <v>55.1</v>
      </c>
      <c r="Y726" s="3">
        <v>23.62</v>
      </c>
    </row>
    <row r="727" spans="1:25" ht="60.75" x14ac:dyDescent="0.25">
      <c r="A727" s="3" t="s">
        <v>26</v>
      </c>
      <c r="B727" s="3" t="s">
        <v>27</v>
      </c>
      <c r="C727" s="3" t="s">
        <v>28</v>
      </c>
      <c r="D727" s="3" t="s">
        <v>50</v>
      </c>
      <c r="E727" s="3" t="s">
        <v>212</v>
      </c>
      <c r="F727" s="3" t="s">
        <v>52</v>
      </c>
      <c r="G727" s="3" t="s">
        <v>212</v>
      </c>
      <c r="H727" s="3" t="s">
        <v>32</v>
      </c>
      <c r="I727" s="3">
        <v>2025</v>
      </c>
      <c r="J727" s="3" t="str">
        <f>CONCATENATE("54820102967")</f>
        <v>54820102967</v>
      </c>
      <c r="K727" s="3" t="s">
        <v>33</v>
      </c>
      <c r="L727" s="3"/>
      <c r="M727" s="3" t="s">
        <v>131</v>
      </c>
      <c r="N727" s="3" t="str">
        <f>CONCATENATE("MSCMRA50D28B474Y")</f>
        <v>MSCMRA50D28B474Y</v>
      </c>
      <c r="O727" s="3" t="s">
        <v>847</v>
      </c>
      <c r="P727" s="3" t="s">
        <v>36</v>
      </c>
      <c r="Q727" s="3"/>
      <c r="R727" s="4">
        <v>45996</v>
      </c>
      <c r="S727" s="3" t="s">
        <v>37</v>
      </c>
      <c r="T727" s="3" t="s">
        <v>38</v>
      </c>
      <c r="U727" s="3" t="s">
        <v>39</v>
      </c>
      <c r="V727" s="5">
        <v>1265.6199999999999</v>
      </c>
      <c r="W727" s="3">
        <v>537.89</v>
      </c>
      <c r="X727" s="3">
        <v>509.41</v>
      </c>
      <c r="Y727" s="3">
        <v>218.32</v>
      </c>
    </row>
    <row r="728" spans="1:25" ht="72.75" x14ac:dyDescent="0.25">
      <c r="A728" s="3" t="s">
        <v>26</v>
      </c>
      <c r="B728" s="3" t="s">
        <v>27</v>
      </c>
      <c r="C728" s="3" t="s">
        <v>28</v>
      </c>
      <c r="D728" s="3" t="s">
        <v>29</v>
      </c>
      <c r="E728" s="3" t="s">
        <v>228</v>
      </c>
      <c r="F728" s="3" t="s">
        <v>31</v>
      </c>
      <c r="G728" s="3" t="s">
        <v>228</v>
      </c>
      <c r="H728" s="3" t="s">
        <v>45</v>
      </c>
      <c r="I728" s="3">
        <v>2025</v>
      </c>
      <c r="J728" s="3" t="str">
        <f>CONCATENATE("54820049812")</f>
        <v>54820049812</v>
      </c>
      <c r="K728" s="3" t="s">
        <v>33</v>
      </c>
      <c r="L728" s="3"/>
      <c r="M728" s="3" t="s">
        <v>131</v>
      </c>
      <c r="N728" s="3" t="str">
        <f>CONCATENATE("MNTMRC65D18D749D")</f>
        <v>MNTMRC65D18D749D</v>
      </c>
      <c r="O728" s="3" t="s">
        <v>848</v>
      </c>
      <c r="P728" s="3" t="s">
        <v>36</v>
      </c>
      <c r="Q728" s="3"/>
      <c r="R728" s="4">
        <v>45996</v>
      </c>
      <c r="S728" s="3" t="s">
        <v>37</v>
      </c>
      <c r="T728" s="3" t="s">
        <v>38</v>
      </c>
      <c r="U728" s="3" t="s">
        <v>39</v>
      </c>
      <c r="V728" s="3">
        <v>313.04000000000002</v>
      </c>
      <c r="W728" s="3">
        <v>133.04</v>
      </c>
      <c r="X728" s="3">
        <v>126</v>
      </c>
      <c r="Y728" s="3">
        <v>54</v>
      </c>
    </row>
    <row r="729" spans="1:25" ht="60.75" x14ac:dyDescent="0.25">
      <c r="A729" s="3" t="s">
        <v>26</v>
      </c>
      <c r="B729" s="3" t="s">
        <v>27</v>
      </c>
      <c r="C729" s="3" t="s">
        <v>28</v>
      </c>
      <c r="D729" s="3" t="s">
        <v>29</v>
      </c>
      <c r="E729" s="3" t="s">
        <v>68</v>
      </c>
      <c r="F729" s="3" t="s">
        <v>31</v>
      </c>
      <c r="G729" s="3" t="s">
        <v>68</v>
      </c>
      <c r="H729" s="3" t="s">
        <v>32</v>
      </c>
      <c r="I729" s="3">
        <v>2025</v>
      </c>
      <c r="J729" s="3" t="str">
        <f>CONCATENATE("54820075452")</f>
        <v>54820075452</v>
      </c>
      <c r="K729" s="3" t="s">
        <v>33</v>
      </c>
      <c r="L729" s="3"/>
      <c r="M729" s="3" t="s">
        <v>131</v>
      </c>
      <c r="N729" s="3" t="str">
        <f>CONCATENATE("GCNFNC80C26I156D")</f>
        <v>GCNFNC80C26I156D</v>
      </c>
      <c r="O729" s="3" t="s">
        <v>849</v>
      </c>
      <c r="P729" s="3" t="s">
        <v>36</v>
      </c>
      <c r="Q729" s="3"/>
      <c r="R729" s="4">
        <v>45996</v>
      </c>
      <c r="S729" s="3" t="s">
        <v>37</v>
      </c>
      <c r="T729" s="3" t="s">
        <v>38</v>
      </c>
      <c r="U729" s="3" t="s">
        <v>39</v>
      </c>
      <c r="V729" s="3">
        <v>403.42</v>
      </c>
      <c r="W729" s="3">
        <v>171.45</v>
      </c>
      <c r="X729" s="3">
        <v>162.38</v>
      </c>
      <c r="Y729" s="3">
        <v>69.59</v>
      </c>
    </row>
    <row r="730" spans="1:25" ht="60.75" x14ac:dyDescent="0.25">
      <c r="A730" s="3" t="s">
        <v>26</v>
      </c>
      <c r="B730" s="3" t="s">
        <v>27</v>
      </c>
      <c r="C730" s="3" t="s">
        <v>28</v>
      </c>
      <c r="D730" s="3" t="s">
        <v>29</v>
      </c>
      <c r="E730" s="3" t="s">
        <v>56</v>
      </c>
      <c r="F730" s="3" t="s">
        <v>31</v>
      </c>
      <c r="G730" s="3" t="s">
        <v>56</v>
      </c>
      <c r="H730" s="3" t="s">
        <v>32</v>
      </c>
      <c r="I730" s="3">
        <v>2025</v>
      </c>
      <c r="J730" s="3" t="str">
        <f>CONCATENATE("54820148473")</f>
        <v>54820148473</v>
      </c>
      <c r="K730" s="3" t="s">
        <v>33</v>
      </c>
      <c r="L730" s="3"/>
      <c r="M730" s="3" t="s">
        <v>131</v>
      </c>
      <c r="N730" s="3" t="str">
        <f>CONCATENATE("SPRFNN39P30B474S")</f>
        <v>SPRFNN39P30B474S</v>
      </c>
      <c r="O730" s="3" t="s">
        <v>850</v>
      </c>
      <c r="P730" s="3" t="s">
        <v>36</v>
      </c>
      <c r="Q730" s="3"/>
      <c r="R730" s="4">
        <v>45996</v>
      </c>
      <c r="S730" s="3" t="s">
        <v>37</v>
      </c>
      <c r="T730" s="3" t="s">
        <v>38</v>
      </c>
      <c r="U730" s="3" t="s">
        <v>39</v>
      </c>
      <c r="V730" s="3">
        <v>124.36</v>
      </c>
      <c r="W730" s="3">
        <v>52.85</v>
      </c>
      <c r="X730" s="3">
        <v>50.05</v>
      </c>
      <c r="Y730" s="3">
        <v>21.46</v>
      </c>
    </row>
    <row r="731" spans="1:25" ht="60.75" x14ac:dyDescent="0.25">
      <c r="A731" s="3" t="s">
        <v>26</v>
      </c>
      <c r="B731" s="3" t="s">
        <v>27</v>
      </c>
      <c r="C731" s="3" t="s">
        <v>28</v>
      </c>
      <c r="D731" s="3" t="s">
        <v>29</v>
      </c>
      <c r="E731" s="3" t="s">
        <v>119</v>
      </c>
      <c r="F731" s="3" t="s">
        <v>31</v>
      </c>
      <c r="G731" s="3" t="s">
        <v>119</v>
      </c>
      <c r="H731" s="3" t="s">
        <v>96</v>
      </c>
      <c r="I731" s="3">
        <v>2025</v>
      </c>
      <c r="J731" s="3" t="str">
        <f>CONCATENATE("54820087051")</f>
        <v>54820087051</v>
      </c>
      <c r="K731" s="3" t="s">
        <v>33</v>
      </c>
      <c r="L731" s="3"/>
      <c r="M731" s="3" t="s">
        <v>131</v>
      </c>
      <c r="N731" s="3" t="str">
        <f>CONCATENATE("PRGMNL82T11A252Z")</f>
        <v>PRGMNL82T11A252Z</v>
      </c>
      <c r="O731" s="3" t="s">
        <v>851</v>
      </c>
      <c r="P731" s="3" t="s">
        <v>36</v>
      </c>
      <c r="Q731" s="3"/>
      <c r="R731" s="4">
        <v>45996</v>
      </c>
      <c r="S731" s="3" t="s">
        <v>37</v>
      </c>
      <c r="T731" s="3" t="s">
        <v>38</v>
      </c>
      <c r="U731" s="3" t="s">
        <v>39</v>
      </c>
      <c r="V731" s="3">
        <v>268.20999999999998</v>
      </c>
      <c r="W731" s="3">
        <v>113.99</v>
      </c>
      <c r="X731" s="3">
        <v>107.95</v>
      </c>
      <c r="Y731" s="3">
        <v>46.27</v>
      </c>
    </row>
    <row r="732" spans="1:25" ht="36.75" x14ac:dyDescent="0.25">
      <c r="A732" s="3" t="s">
        <v>26</v>
      </c>
      <c r="B732" s="3" t="s">
        <v>27</v>
      </c>
      <c r="C732" s="3" t="s">
        <v>28</v>
      </c>
      <c r="D732" s="3" t="s">
        <v>50</v>
      </c>
      <c r="E732" s="3" t="s">
        <v>51</v>
      </c>
      <c r="F732" s="3" t="s">
        <v>52</v>
      </c>
      <c r="G732" s="3" t="s">
        <v>51</v>
      </c>
      <c r="H732" s="3" t="s">
        <v>48</v>
      </c>
      <c r="I732" s="3">
        <v>2025</v>
      </c>
      <c r="J732" s="3" t="str">
        <f>CONCATENATE("54820053558")</f>
        <v>54820053558</v>
      </c>
      <c r="K732" s="3" t="s">
        <v>33</v>
      </c>
      <c r="L732" s="3"/>
      <c r="M732" s="3" t="s">
        <v>131</v>
      </c>
      <c r="N732" s="3" t="str">
        <f>CONCATENATE("02781250424")</f>
        <v>02781250424</v>
      </c>
      <c r="O732" s="3" t="s">
        <v>852</v>
      </c>
      <c r="P732" s="3" t="s">
        <v>36</v>
      </c>
      <c r="Q732" s="3"/>
      <c r="R732" s="4">
        <v>45996</v>
      </c>
      <c r="S732" s="3" t="s">
        <v>37</v>
      </c>
      <c r="T732" s="3" t="s">
        <v>38</v>
      </c>
      <c r="U732" s="3" t="s">
        <v>39</v>
      </c>
      <c r="V732" s="3">
        <v>166.83</v>
      </c>
      <c r="W732" s="3">
        <v>70.900000000000006</v>
      </c>
      <c r="X732" s="3">
        <v>67.150000000000006</v>
      </c>
      <c r="Y732" s="3">
        <v>28.78</v>
      </c>
    </row>
    <row r="733" spans="1:25" ht="72.75" x14ac:dyDescent="0.25">
      <c r="A733" s="3" t="s">
        <v>26</v>
      </c>
      <c r="B733" s="3" t="s">
        <v>27</v>
      </c>
      <c r="C733" s="3" t="s">
        <v>28</v>
      </c>
      <c r="D733" s="3" t="s">
        <v>29</v>
      </c>
      <c r="E733" s="3" t="s">
        <v>56</v>
      </c>
      <c r="F733" s="3" t="s">
        <v>31</v>
      </c>
      <c r="G733" s="3" t="s">
        <v>56</v>
      </c>
      <c r="H733" s="3" t="s">
        <v>32</v>
      </c>
      <c r="I733" s="3">
        <v>2025</v>
      </c>
      <c r="J733" s="3" t="str">
        <f>CONCATENATE("54820140256")</f>
        <v>54820140256</v>
      </c>
      <c r="K733" s="3" t="s">
        <v>33</v>
      </c>
      <c r="L733" s="3"/>
      <c r="M733" s="3" t="s">
        <v>131</v>
      </c>
      <c r="N733" s="3" t="str">
        <f>CONCATENATE("FRNDNL97H09B474U")</f>
        <v>FRNDNL97H09B474U</v>
      </c>
      <c r="O733" s="3" t="s">
        <v>853</v>
      </c>
      <c r="P733" s="3" t="s">
        <v>36</v>
      </c>
      <c r="Q733" s="3"/>
      <c r="R733" s="4">
        <v>45996</v>
      </c>
      <c r="S733" s="3" t="s">
        <v>37</v>
      </c>
      <c r="T733" s="3" t="s">
        <v>38</v>
      </c>
      <c r="U733" s="3" t="s">
        <v>39</v>
      </c>
      <c r="V733" s="3">
        <v>714.6</v>
      </c>
      <c r="W733" s="3">
        <v>303.70999999999998</v>
      </c>
      <c r="X733" s="3">
        <v>287.63</v>
      </c>
      <c r="Y733" s="3">
        <v>123.26</v>
      </c>
    </row>
    <row r="734" spans="1:25" ht="60.75" x14ac:dyDescent="0.25">
      <c r="A734" s="3" t="s">
        <v>26</v>
      </c>
      <c r="B734" s="3" t="s">
        <v>27</v>
      </c>
      <c r="C734" s="3" t="s">
        <v>28</v>
      </c>
      <c r="D734" s="3" t="s">
        <v>29</v>
      </c>
      <c r="E734" s="3" t="s">
        <v>72</v>
      </c>
      <c r="F734" s="3" t="s">
        <v>31</v>
      </c>
      <c r="G734" s="3" t="s">
        <v>72</v>
      </c>
      <c r="H734" s="3" t="s">
        <v>45</v>
      </c>
      <c r="I734" s="3">
        <v>2025</v>
      </c>
      <c r="J734" s="3" t="str">
        <f>CONCATENATE("54820061965")</f>
        <v>54820061965</v>
      </c>
      <c r="K734" s="3" t="s">
        <v>33</v>
      </c>
      <c r="L734" s="3"/>
      <c r="M734" s="3" t="s">
        <v>131</v>
      </c>
      <c r="N734" s="3" t="str">
        <f>CONCATENATE("VLPDNL73A07B352K")</f>
        <v>VLPDNL73A07B352K</v>
      </c>
      <c r="O734" s="3" t="s">
        <v>854</v>
      </c>
      <c r="P734" s="3" t="s">
        <v>36</v>
      </c>
      <c r="Q734" s="3"/>
      <c r="R734" s="4">
        <v>45996</v>
      </c>
      <c r="S734" s="3" t="s">
        <v>37</v>
      </c>
      <c r="T734" s="3" t="s">
        <v>38</v>
      </c>
      <c r="U734" s="3" t="s">
        <v>39</v>
      </c>
      <c r="V734" s="3">
        <v>177.25</v>
      </c>
      <c r="W734" s="3">
        <v>75.33</v>
      </c>
      <c r="X734" s="3">
        <v>71.34</v>
      </c>
      <c r="Y734" s="3">
        <v>30.58</v>
      </c>
    </row>
    <row r="735" spans="1:25" ht="60.75" x14ac:dyDescent="0.25">
      <c r="A735" s="3" t="s">
        <v>26</v>
      </c>
      <c r="B735" s="3" t="s">
        <v>27</v>
      </c>
      <c r="C735" s="3" t="s">
        <v>28</v>
      </c>
      <c r="D735" s="3" t="s">
        <v>50</v>
      </c>
      <c r="E735" s="3" t="s">
        <v>147</v>
      </c>
      <c r="F735" s="3" t="s">
        <v>52</v>
      </c>
      <c r="G735" s="3" t="s">
        <v>147</v>
      </c>
      <c r="H735" s="3" t="s">
        <v>45</v>
      </c>
      <c r="I735" s="3">
        <v>2025</v>
      </c>
      <c r="J735" s="3" t="str">
        <f>CONCATENATE("54820124524")</f>
        <v>54820124524</v>
      </c>
      <c r="K735" s="3" t="s">
        <v>33</v>
      </c>
      <c r="L735" s="3"/>
      <c r="M735" s="3" t="s">
        <v>131</v>
      </c>
      <c r="N735" s="3" t="str">
        <f>CONCATENATE("SCLGFR67H04L500X")</f>
        <v>SCLGFR67H04L500X</v>
      </c>
      <c r="O735" s="3" t="s">
        <v>855</v>
      </c>
      <c r="P735" s="3" t="s">
        <v>36</v>
      </c>
      <c r="Q735" s="3"/>
      <c r="R735" s="4">
        <v>45996</v>
      </c>
      <c r="S735" s="3" t="s">
        <v>37</v>
      </c>
      <c r="T735" s="3" t="s">
        <v>38</v>
      </c>
      <c r="U735" s="3" t="s">
        <v>39</v>
      </c>
      <c r="V735" s="3">
        <v>107.04</v>
      </c>
      <c r="W735" s="3">
        <v>45.49</v>
      </c>
      <c r="X735" s="3">
        <v>43.08</v>
      </c>
      <c r="Y735" s="3">
        <v>18.47</v>
      </c>
    </row>
    <row r="736" spans="1:25" ht="48.75" x14ac:dyDescent="0.25">
      <c r="A736" s="3" t="s">
        <v>26</v>
      </c>
      <c r="B736" s="3" t="s">
        <v>27</v>
      </c>
      <c r="C736" s="3" t="s">
        <v>28</v>
      </c>
      <c r="D736" s="3" t="s">
        <v>29</v>
      </c>
      <c r="E736" s="3" t="s">
        <v>47</v>
      </c>
      <c r="F736" s="3" t="s">
        <v>31</v>
      </c>
      <c r="G736" s="3" t="s">
        <v>47</v>
      </c>
      <c r="H736" s="3" t="s">
        <v>48</v>
      </c>
      <c r="I736" s="3">
        <v>2025</v>
      </c>
      <c r="J736" s="3" t="str">
        <f>CONCATENATE("54820085600")</f>
        <v>54820085600</v>
      </c>
      <c r="K736" s="3" t="s">
        <v>33</v>
      </c>
      <c r="L736" s="3"/>
      <c r="M736" s="3" t="s">
        <v>131</v>
      </c>
      <c r="N736" s="3" t="str">
        <f>CONCATENATE("CCLBSL62E04I608I")</f>
        <v>CCLBSL62E04I608I</v>
      </c>
      <c r="O736" s="3" t="s">
        <v>856</v>
      </c>
      <c r="P736" s="3" t="s">
        <v>36</v>
      </c>
      <c r="Q736" s="3"/>
      <c r="R736" s="4">
        <v>45996</v>
      </c>
      <c r="S736" s="3" t="s">
        <v>37</v>
      </c>
      <c r="T736" s="3" t="s">
        <v>38</v>
      </c>
      <c r="U736" s="3" t="s">
        <v>39</v>
      </c>
      <c r="V736" s="3">
        <v>333.38</v>
      </c>
      <c r="W736" s="3">
        <v>141.69</v>
      </c>
      <c r="X736" s="3">
        <v>134.19</v>
      </c>
      <c r="Y736" s="3">
        <v>57.5</v>
      </c>
    </row>
    <row r="737" spans="1:25" ht="60.75" x14ac:dyDescent="0.25">
      <c r="A737" s="3" t="s">
        <v>26</v>
      </c>
      <c r="B737" s="3" t="s">
        <v>27</v>
      </c>
      <c r="C737" s="3" t="s">
        <v>28</v>
      </c>
      <c r="D737" s="3" t="s">
        <v>29</v>
      </c>
      <c r="E737" s="3" t="s">
        <v>47</v>
      </c>
      <c r="F737" s="3" t="s">
        <v>31</v>
      </c>
      <c r="G737" s="3" t="s">
        <v>47</v>
      </c>
      <c r="H737" s="3" t="s">
        <v>48</v>
      </c>
      <c r="I737" s="3">
        <v>2025</v>
      </c>
      <c r="J737" s="3" t="str">
        <f>CONCATENATE("54820115464")</f>
        <v>54820115464</v>
      </c>
      <c r="K737" s="3" t="s">
        <v>33</v>
      </c>
      <c r="L737" s="3"/>
      <c r="M737" s="3" t="s">
        <v>131</v>
      </c>
      <c r="N737" s="3" t="str">
        <f>CONCATENATE("GBNSMN87P14D451L")</f>
        <v>GBNSMN87P14D451L</v>
      </c>
      <c r="O737" s="3" t="s">
        <v>857</v>
      </c>
      <c r="P737" s="3" t="s">
        <v>36</v>
      </c>
      <c r="Q737" s="3"/>
      <c r="R737" s="4">
        <v>45996</v>
      </c>
      <c r="S737" s="3" t="s">
        <v>37</v>
      </c>
      <c r="T737" s="3" t="s">
        <v>38</v>
      </c>
      <c r="U737" s="3" t="s">
        <v>39</v>
      </c>
      <c r="V737" s="3">
        <v>107.14</v>
      </c>
      <c r="W737" s="3">
        <v>45.53</v>
      </c>
      <c r="X737" s="3">
        <v>43.12</v>
      </c>
      <c r="Y737" s="3">
        <v>18.489999999999998</v>
      </c>
    </row>
    <row r="738" spans="1:25" ht="60.75" x14ac:dyDescent="0.25">
      <c r="A738" s="3" t="s">
        <v>26</v>
      </c>
      <c r="B738" s="3" t="s">
        <v>27</v>
      </c>
      <c r="C738" s="3" t="s">
        <v>28</v>
      </c>
      <c r="D738" s="3" t="s">
        <v>29</v>
      </c>
      <c r="E738" s="3" t="s">
        <v>72</v>
      </c>
      <c r="F738" s="3" t="s">
        <v>31</v>
      </c>
      <c r="G738" s="3" t="s">
        <v>72</v>
      </c>
      <c r="H738" s="3" t="s">
        <v>45</v>
      </c>
      <c r="I738" s="3">
        <v>2025</v>
      </c>
      <c r="J738" s="3" t="str">
        <f>CONCATENATE("54820075650")</f>
        <v>54820075650</v>
      </c>
      <c r="K738" s="3" t="s">
        <v>33</v>
      </c>
      <c r="L738" s="3"/>
      <c r="M738" s="3" t="s">
        <v>131</v>
      </c>
      <c r="N738" s="3" t="str">
        <f>CONCATENATE("VLPRNT46C04B352X")</f>
        <v>VLPRNT46C04B352X</v>
      </c>
      <c r="O738" s="3" t="s">
        <v>858</v>
      </c>
      <c r="P738" s="3" t="s">
        <v>36</v>
      </c>
      <c r="Q738" s="3"/>
      <c r="R738" s="4">
        <v>45996</v>
      </c>
      <c r="S738" s="3" t="s">
        <v>37</v>
      </c>
      <c r="T738" s="3" t="s">
        <v>38</v>
      </c>
      <c r="U738" s="3" t="s">
        <v>39</v>
      </c>
      <c r="V738" s="3">
        <v>978.44</v>
      </c>
      <c r="W738" s="3">
        <v>415.84</v>
      </c>
      <c r="X738" s="3">
        <v>393.82</v>
      </c>
      <c r="Y738" s="3">
        <v>168.78</v>
      </c>
    </row>
    <row r="739" spans="1:25" ht="60.75" x14ac:dyDescent="0.25">
      <c r="A739" s="3" t="s">
        <v>26</v>
      </c>
      <c r="B739" s="3" t="s">
        <v>27</v>
      </c>
      <c r="C739" s="3" t="s">
        <v>28</v>
      </c>
      <c r="D739" s="3" t="s">
        <v>50</v>
      </c>
      <c r="E739" s="3" t="s">
        <v>51</v>
      </c>
      <c r="F739" s="3" t="s">
        <v>52</v>
      </c>
      <c r="G739" s="3" t="s">
        <v>51</v>
      </c>
      <c r="H739" s="3" t="s">
        <v>48</v>
      </c>
      <c r="I739" s="3">
        <v>2025</v>
      </c>
      <c r="J739" s="3" t="str">
        <f>CONCATENATE("54820106737")</f>
        <v>54820106737</v>
      </c>
      <c r="K739" s="3" t="s">
        <v>33</v>
      </c>
      <c r="L739" s="3"/>
      <c r="M739" s="3" t="s">
        <v>131</v>
      </c>
      <c r="N739" s="3" t="str">
        <f>CONCATENATE("MNRNRT54E70A366L")</f>
        <v>MNRNRT54E70A366L</v>
      </c>
      <c r="O739" s="3" t="s">
        <v>859</v>
      </c>
      <c r="P739" s="3" t="s">
        <v>36</v>
      </c>
      <c r="Q739" s="3"/>
      <c r="R739" s="4">
        <v>45996</v>
      </c>
      <c r="S739" s="3" t="s">
        <v>37</v>
      </c>
      <c r="T739" s="3" t="s">
        <v>38</v>
      </c>
      <c r="U739" s="3" t="s">
        <v>39</v>
      </c>
      <c r="V739" s="3">
        <v>72.5</v>
      </c>
      <c r="W739" s="3">
        <v>30.81</v>
      </c>
      <c r="X739" s="3">
        <v>29.18</v>
      </c>
      <c r="Y739" s="3">
        <v>12.51</v>
      </c>
    </row>
    <row r="740" spans="1:25" ht="36.75" x14ac:dyDescent="0.25">
      <c r="A740" s="3" t="s">
        <v>26</v>
      </c>
      <c r="B740" s="3" t="s">
        <v>27</v>
      </c>
      <c r="C740" s="3" t="s">
        <v>28</v>
      </c>
      <c r="D740" s="3" t="s">
        <v>29</v>
      </c>
      <c r="E740" s="3" t="s">
        <v>47</v>
      </c>
      <c r="F740" s="3" t="s">
        <v>31</v>
      </c>
      <c r="G740" s="3" t="s">
        <v>47</v>
      </c>
      <c r="H740" s="3" t="s">
        <v>48</v>
      </c>
      <c r="I740" s="3">
        <v>2025</v>
      </c>
      <c r="J740" s="3" t="str">
        <f>CONCATENATE("54820040811")</f>
        <v>54820040811</v>
      </c>
      <c r="K740" s="3" t="s">
        <v>33</v>
      </c>
      <c r="L740" s="3"/>
      <c r="M740" s="3" t="s">
        <v>131</v>
      </c>
      <c r="N740" s="3" t="str">
        <f>CONCATENATE("00406290429")</f>
        <v>00406290429</v>
      </c>
      <c r="O740" s="3" t="s">
        <v>860</v>
      </c>
      <c r="P740" s="3" t="s">
        <v>36</v>
      </c>
      <c r="Q740" s="3"/>
      <c r="R740" s="4">
        <v>45996</v>
      </c>
      <c r="S740" s="3" t="s">
        <v>37</v>
      </c>
      <c r="T740" s="3" t="s">
        <v>38</v>
      </c>
      <c r="U740" s="3" t="s">
        <v>39</v>
      </c>
      <c r="V740" s="5">
        <v>1065.74</v>
      </c>
      <c r="W740" s="3">
        <v>452.94</v>
      </c>
      <c r="X740" s="3">
        <v>428.96</v>
      </c>
      <c r="Y740" s="3">
        <v>183.84</v>
      </c>
    </row>
    <row r="741" spans="1:25" ht="72.75" x14ac:dyDescent="0.25">
      <c r="A741" s="3" t="s">
        <v>26</v>
      </c>
      <c r="B741" s="3" t="s">
        <v>27</v>
      </c>
      <c r="C741" s="3" t="s">
        <v>28</v>
      </c>
      <c r="D741" s="3" t="s">
        <v>104</v>
      </c>
      <c r="E741" s="3" t="s">
        <v>691</v>
      </c>
      <c r="F741" s="3" t="s">
        <v>104</v>
      </c>
      <c r="G741" s="3" t="s">
        <v>691</v>
      </c>
      <c r="H741" s="3" t="s">
        <v>48</v>
      </c>
      <c r="I741" s="3">
        <v>2025</v>
      </c>
      <c r="J741" s="3" t="str">
        <f>CONCATENATE("54820138821")</f>
        <v>54820138821</v>
      </c>
      <c r="K741" s="3" t="s">
        <v>33</v>
      </c>
      <c r="L741" s="3"/>
      <c r="M741" s="3" t="s">
        <v>131</v>
      </c>
      <c r="N741" s="3" t="str">
        <f>CONCATENATE("ZMPPRM74B23D451Q")</f>
        <v>ZMPPRM74B23D451Q</v>
      </c>
      <c r="O741" s="3" t="s">
        <v>861</v>
      </c>
      <c r="P741" s="3" t="s">
        <v>36</v>
      </c>
      <c r="Q741" s="3"/>
      <c r="R741" s="4">
        <v>45996</v>
      </c>
      <c r="S741" s="3" t="s">
        <v>37</v>
      </c>
      <c r="T741" s="3" t="s">
        <v>38</v>
      </c>
      <c r="U741" s="3" t="s">
        <v>39</v>
      </c>
      <c r="V741" s="3">
        <v>280.66000000000003</v>
      </c>
      <c r="W741" s="3">
        <v>119.28</v>
      </c>
      <c r="X741" s="3">
        <v>112.97</v>
      </c>
      <c r="Y741" s="3">
        <v>48.41</v>
      </c>
    </row>
    <row r="742" spans="1:25" ht="60.75" x14ac:dyDescent="0.25">
      <c r="A742" s="3" t="s">
        <v>26</v>
      </c>
      <c r="B742" s="3" t="s">
        <v>27</v>
      </c>
      <c r="C742" s="3" t="s">
        <v>28</v>
      </c>
      <c r="D742" s="3" t="s">
        <v>29</v>
      </c>
      <c r="E742" s="3" t="s">
        <v>80</v>
      </c>
      <c r="F742" s="3" t="s">
        <v>31</v>
      </c>
      <c r="G742" s="3" t="s">
        <v>80</v>
      </c>
      <c r="H742" s="3" t="s">
        <v>45</v>
      </c>
      <c r="I742" s="3">
        <v>2025</v>
      </c>
      <c r="J742" s="3" t="str">
        <f>CONCATENATE("54820085626")</f>
        <v>54820085626</v>
      </c>
      <c r="K742" s="3" t="s">
        <v>33</v>
      </c>
      <c r="L742" s="3"/>
      <c r="M742" s="3" t="s">
        <v>131</v>
      </c>
      <c r="N742" s="3" t="str">
        <f>CONCATENATE("BRTGTN67B06G453Y")</f>
        <v>BRTGTN67B06G453Y</v>
      </c>
      <c r="O742" s="3" t="s">
        <v>862</v>
      </c>
      <c r="P742" s="3" t="s">
        <v>36</v>
      </c>
      <c r="Q742" s="3"/>
      <c r="R742" s="4">
        <v>45996</v>
      </c>
      <c r="S742" s="3" t="s">
        <v>37</v>
      </c>
      <c r="T742" s="3" t="s">
        <v>38</v>
      </c>
      <c r="U742" s="3" t="s">
        <v>39</v>
      </c>
      <c r="V742" s="3">
        <v>492.54</v>
      </c>
      <c r="W742" s="3">
        <v>209.33</v>
      </c>
      <c r="X742" s="3">
        <v>198.25</v>
      </c>
      <c r="Y742" s="3">
        <v>84.96</v>
      </c>
    </row>
    <row r="743" spans="1:25" ht="60.75" x14ac:dyDescent="0.25">
      <c r="A743" s="3" t="s">
        <v>26</v>
      </c>
      <c r="B743" s="3" t="s">
        <v>27</v>
      </c>
      <c r="C743" s="3" t="s">
        <v>28</v>
      </c>
      <c r="D743" s="3" t="s">
        <v>50</v>
      </c>
      <c r="E743" s="3" t="s">
        <v>51</v>
      </c>
      <c r="F743" s="3" t="s">
        <v>52</v>
      </c>
      <c r="G743" s="3" t="s">
        <v>51</v>
      </c>
      <c r="H743" s="3" t="s">
        <v>48</v>
      </c>
      <c r="I743" s="3">
        <v>2025</v>
      </c>
      <c r="J743" s="3" t="str">
        <f>CONCATENATE("54820066949")</f>
        <v>54820066949</v>
      </c>
      <c r="K743" s="3" t="s">
        <v>33</v>
      </c>
      <c r="L743" s="3"/>
      <c r="M743" s="3" t="s">
        <v>131</v>
      </c>
      <c r="N743" s="3" t="str">
        <f>CONCATENATE("BSSBRN51P08G453L")</f>
        <v>BSSBRN51P08G453L</v>
      </c>
      <c r="O743" s="3" t="s">
        <v>863</v>
      </c>
      <c r="P743" s="3" t="s">
        <v>36</v>
      </c>
      <c r="Q743" s="3"/>
      <c r="R743" s="4">
        <v>45996</v>
      </c>
      <c r="S743" s="3" t="s">
        <v>37</v>
      </c>
      <c r="T743" s="3" t="s">
        <v>38</v>
      </c>
      <c r="U743" s="3" t="s">
        <v>39</v>
      </c>
      <c r="V743" s="3">
        <v>176.76</v>
      </c>
      <c r="W743" s="3">
        <v>75.12</v>
      </c>
      <c r="X743" s="3">
        <v>71.150000000000006</v>
      </c>
      <c r="Y743" s="3">
        <v>30.49</v>
      </c>
    </row>
    <row r="744" spans="1:25" ht="60.75" x14ac:dyDescent="0.25">
      <c r="A744" s="3" t="s">
        <v>26</v>
      </c>
      <c r="B744" s="3" t="s">
        <v>27</v>
      </c>
      <c r="C744" s="3" t="s">
        <v>28</v>
      </c>
      <c r="D744" s="3" t="s">
        <v>29</v>
      </c>
      <c r="E744" s="3" t="s">
        <v>182</v>
      </c>
      <c r="F744" s="3" t="s">
        <v>31</v>
      </c>
      <c r="G744" s="3" t="s">
        <v>182</v>
      </c>
      <c r="H744" s="3" t="s">
        <v>45</v>
      </c>
      <c r="I744" s="3">
        <v>2025</v>
      </c>
      <c r="J744" s="3" t="str">
        <f>CONCATENATE("54820045661")</f>
        <v>54820045661</v>
      </c>
      <c r="K744" s="3" t="s">
        <v>33</v>
      </c>
      <c r="L744" s="3"/>
      <c r="M744" s="3" t="s">
        <v>131</v>
      </c>
      <c r="N744" s="3" t="str">
        <f>CONCATENATE("LSSGPR48B23L500H")</f>
        <v>LSSGPR48B23L500H</v>
      </c>
      <c r="O744" s="3" t="s">
        <v>864</v>
      </c>
      <c r="P744" s="3" t="s">
        <v>36</v>
      </c>
      <c r="Q744" s="3"/>
      <c r="R744" s="4">
        <v>45996</v>
      </c>
      <c r="S744" s="3" t="s">
        <v>37</v>
      </c>
      <c r="T744" s="3" t="s">
        <v>38</v>
      </c>
      <c r="U744" s="3" t="s">
        <v>39</v>
      </c>
      <c r="V744" s="3">
        <v>318.06</v>
      </c>
      <c r="W744" s="3">
        <v>135.18</v>
      </c>
      <c r="X744" s="3">
        <v>128.02000000000001</v>
      </c>
      <c r="Y744" s="3">
        <v>54.86</v>
      </c>
    </row>
    <row r="745" spans="1:25" ht="60.75" x14ac:dyDescent="0.25">
      <c r="A745" s="3" t="s">
        <v>26</v>
      </c>
      <c r="B745" s="3" t="s">
        <v>27</v>
      </c>
      <c r="C745" s="3" t="s">
        <v>28</v>
      </c>
      <c r="D745" s="3" t="s">
        <v>29</v>
      </c>
      <c r="E745" s="3" t="s">
        <v>72</v>
      </c>
      <c r="F745" s="3" t="s">
        <v>31</v>
      </c>
      <c r="G745" s="3" t="s">
        <v>72</v>
      </c>
      <c r="H745" s="3" t="s">
        <v>45</v>
      </c>
      <c r="I745" s="3">
        <v>2025</v>
      </c>
      <c r="J745" s="3" t="str">
        <f>CONCATENATE("54820023072")</f>
        <v>54820023072</v>
      </c>
      <c r="K745" s="3" t="s">
        <v>33</v>
      </c>
      <c r="L745" s="3"/>
      <c r="M745" s="3" t="s">
        <v>131</v>
      </c>
      <c r="N745" s="3" t="str">
        <f>CONCATENATE("PSCPLA91M09L500B")</f>
        <v>PSCPLA91M09L500B</v>
      </c>
      <c r="O745" s="3" t="s">
        <v>865</v>
      </c>
      <c r="P745" s="3" t="s">
        <v>36</v>
      </c>
      <c r="Q745" s="3"/>
      <c r="R745" s="4">
        <v>45996</v>
      </c>
      <c r="S745" s="3" t="s">
        <v>37</v>
      </c>
      <c r="T745" s="3" t="s">
        <v>38</v>
      </c>
      <c r="U745" s="3" t="s">
        <v>39</v>
      </c>
      <c r="V745" s="3">
        <v>310.08</v>
      </c>
      <c r="W745" s="3">
        <v>131.78</v>
      </c>
      <c r="X745" s="3">
        <v>124.81</v>
      </c>
      <c r="Y745" s="3">
        <v>53.49</v>
      </c>
    </row>
    <row r="746" spans="1:25" ht="36.75" x14ac:dyDescent="0.25">
      <c r="A746" s="3" t="s">
        <v>26</v>
      </c>
      <c r="B746" s="3" t="s">
        <v>27</v>
      </c>
      <c r="C746" s="3" t="s">
        <v>28</v>
      </c>
      <c r="D746" s="3" t="s">
        <v>40</v>
      </c>
      <c r="E746" s="3" t="s">
        <v>218</v>
      </c>
      <c r="F746" s="3" t="s">
        <v>42</v>
      </c>
      <c r="G746" s="3" t="s">
        <v>218</v>
      </c>
      <c r="H746" s="3" t="s">
        <v>45</v>
      </c>
      <c r="I746" s="3">
        <v>2025</v>
      </c>
      <c r="J746" s="3" t="str">
        <f>CONCATENATE("54820029947")</f>
        <v>54820029947</v>
      </c>
      <c r="K746" s="3" t="s">
        <v>33</v>
      </c>
      <c r="L746" s="3"/>
      <c r="M746" s="3" t="s">
        <v>131</v>
      </c>
      <c r="N746" s="3" t="str">
        <f>CONCATENATE("01476740418")</f>
        <v>01476740418</v>
      </c>
      <c r="O746" s="3" t="s">
        <v>866</v>
      </c>
      <c r="P746" s="3" t="s">
        <v>36</v>
      </c>
      <c r="Q746" s="3"/>
      <c r="R746" s="4">
        <v>45996</v>
      </c>
      <c r="S746" s="3" t="s">
        <v>37</v>
      </c>
      <c r="T746" s="3" t="s">
        <v>38</v>
      </c>
      <c r="U746" s="3" t="s">
        <v>39</v>
      </c>
      <c r="V746" s="3">
        <v>322.19</v>
      </c>
      <c r="W746" s="3">
        <v>136.93</v>
      </c>
      <c r="X746" s="3">
        <v>129.68</v>
      </c>
      <c r="Y746" s="3">
        <v>55.58</v>
      </c>
    </row>
    <row r="747" spans="1:25" ht="60.75" x14ac:dyDescent="0.25">
      <c r="A747" s="3" t="s">
        <v>26</v>
      </c>
      <c r="B747" s="3" t="s">
        <v>27</v>
      </c>
      <c r="C747" s="3" t="s">
        <v>28</v>
      </c>
      <c r="D747" s="3" t="s">
        <v>29</v>
      </c>
      <c r="E747" s="3" t="s">
        <v>119</v>
      </c>
      <c r="F747" s="3" t="s">
        <v>31</v>
      </c>
      <c r="G747" s="3" t="s">
        <v>119</v>
      </c>
      <c r="H747" s="3" t="s">
        <v>96</v>
      </c>
      <c r="I747" s="3">
        <v>2025</v>
      </c>
      <c r="J747" s="3" t="str">
        <f>CONCATENATE("54820018031")</f>
        <v>54820018031</v>
      </c>
      <c r="K747" s="3" t="s">
        <v>33</v>
      </c>
      <c r="L747" s="3"/>
      <c r="M747" s="3" t="s">
        <v>131</v>
      </c>
      <c r="N747" s="3" t="str">
        <f>CONCATENATE("GNGNTN41T11A252T")</f>
        <v>GNGNTN41T11A252T</v>
      </c>
      <c r="O747" s="3" t="s">
        <v>867</v>
      </c>
      <c r="P747" s="3" t="s">
        <v>36</v>
      </c>
      <c r="Q747" s="3"/>
      <c r="R747" s="4">
        <v>45996</v>
      </c>
      <c r="S747" s="3" t="s">
        <v>37</v>
      </c>
      <c r="T747" s="3" t="s">
        <v>38</v>
      </c>
      <c r="U747" s="3" t="s">
        <v>39</v>
      </c>
      <c r="V747" s="3">
        <v>54.79</v>
      </c>
      <c r="W747" s="3">
        <v>23.29</v>
      </c>
      <c r="X747" s="3">
        <v>22.05</v>
      </c>
      <c r="Y747" s="3">
        <v>9.4499999999999993</v>
      </c>
    </row>
    <row r="748" spans="1:25" ht="60.75" x14ac:dyDescent="0.25">
      <c r="A748" s="3" t="s">
        <v>26</v>
      </c>
      <c r="B748" s="3" t="s">
        <v>27</v>
      </c>
      <c r="C748" s="3" t="s">
        <v>28</v>
      </c>
      <c r="D748" s="3" t="s">
        <v>29</v>
      </c>
      <c r="E748" s="3" t="s">
        <v>47</v>
      </c>
      <c r="F748" s="3" t="s">
        <v>31</v>
      </c>
      <c r="G748" s="3" t="s">
        <v>47</v>
      </c>
      <c r="H748" s="3" t="s">
        <v>48</v>
      </c>
      <c r="I748" s="3">
        <v>2025</v>
      </c>
      <c r="J748" s="3" t="str">
        <f>CONCATENATE("54820033931")</f>
        <v>54820033931</v>
      </c>
      <c r="K748" s="3" t="s">
        <v>33</v>
      </c>
      <c r="L748" s="3"/>
      <c r="M748" s="3" t="s">
        <v>131</v>
      </c>
      <c r="N748" s="3" t="str">
        <f>CONCATENATE("TSSVNT56D50D451X")</f>
        <v>TSSVNT56D50D451X</v>
      </c>
      <c r="O748" s="3" t="s">
        <v>868</v>
      </c>
      <c r="P748" s="3" t="s">
        <v>36</v>
      </c>
      <c r="Q748" s="3"/>
      <c r="R748" s="4">
        <v>45996</v>
      </c>
      <c r="S748" s="3" t="s">
        <v>37</v>
      </c>
      <c r="T748" s="3" t="s">
        <v>38</v>
      </c>
      <c r="U748" s="3" t="s">
        <v>39</v>
      </c>
      <c r="V748" s="3">
        <v>227.44</v>
      </c>
      <c r="W748" s="3">
        <v>96.66</v>
      </c>
      <c r="X748" s="3">
        <v>91.54</v>
      </c>
      <c r="Y748" s="3">
        <v>39.24</v>
      </c>
    </row>
    <row r="749" spans="1:25" ht="60.75" x14ac:dyDescent="0.25">
      <c r="A749" s="3" t="s">
        <v>26</v>
      </c>
      <c r="B749" s="3" t="s">
        <v>27</v>
      </c>
      <c r="C749" s="3" t="s">
        <v>28</v>
      </c>
      <c r="D749" s="3" t="s">
        <v>29</v>
      </c>
      <c r="E749" s="3" t="s">
        <v>119</v>
      </c>
      <c r="F749" s="3" t="s">
        <v>31</v>
      </c>
      <c r="G749" s="3" t="s">
        <v>119</v>
      </c>
      <c r="H749" s="3" t="s">
        <v>96</v>
      </c>
      <c r="I749" s="3">
        <v>2025</v>
      </c>
      <c r="J749" s="3" t="str">
        <f>CONCATENATE("54820022959")</f>
        <v>54820022959</v>
      </c>
      <c r="K749" s="3" t="s">
        <v>33</v>
      </c>
      <c r="L749" s="3"/>
      <c r="M749" s="3" t="s">
        <v>131</v>
      </c>
      <c r="N749" s="3" t="str">
        <f>CONCATENATE("MRTPTR33T19D691M")</f>
        <v>MRTPTR33T19D691M</v>
      </c>
      <c r="O749" s="3" t="s">
        <v>869</v>
      </c>
      <c r="P749" s="3" t="s">
        <v>36</v>
      </c>
      <c r="Q749" s="3"/>
      <c r="R749" s="4">
        <v>45996</v>
      </c>
      <c r="S749" s="3" t="s">
        <v>37</v>
      </c>
      <c r="T749" s="3" t="s">
        <v>38</v>
      </c>
      <c r="U749" s="3" t="s">
        <v>39</v>
      </c>
      <c r="V749" s="3">
        <v>173.73</v>
      </c>
      <c r="W749" s="3">
        <v>73.84</v>
      </c>
      <c r="X749" s="3">
        <v>69.930000000000007</v>
      </c>
      <c r="Y749" s="3">
        <v>29.96</v>
      </c>
    </row>
    <row r="750" spans="1:25" ht="72.75" x14ac:dyDescent="0.25">
      <c r="A750" s="3" t="s">
        <v>26</v>
      </c>
      <c r="B750" s="3" t="s">
        <v>27</v>
      </c>
      <c r="C750" s="3" t="s">
        <v>28</v>
      </c>
      <c r="D750" s="3" t="s">
        <v>50</v>
      </c>
      <c r="E750" s="3" t="s">
        <v>149</v>
      </c>
      <c r="F750" s="3" t="s">
        <v>52</v>
      </c>
      <c r="G750" s="3" t="s">
        <v>149</v>
      </c>
      <c r="H750" s="3" t="s">
        <v>96</v>
      </c>
      <c r="I750" s="3">
        <v>2025</v>
      </c>
      <c r="J750" s="3" t="str">
        <f>CONCATENATE("54820030937")</f>
        <v>54820030937</v>
      </c>
      <c r="K750" s="3" t="s">
        <v>33</v>
      </c>
      <c r="L750" s="3"/>
      <c r="M750" s="3" t="s">
        <v>131</v>
      </c>
      <c r="N750" s="3" t="str">
        <f>CONCATENATE("BLLGLC72A02A462U")</f>
        <v>BLLGLC72A02A462U</v>
      </c>
      <c r="O750" s="3" t="s">
        <v>870</v>
      </c>
      <c r="P750" s="3" t="s">
        <v>36</v>
      </c>
      <c r="Q750" s="3"/>
      <c r="R750" s="4">
        <v>45996</v>
      </c>
      <c r="S750" s="3" t="s">
        <v>37</v>
      </c>
      <c r="T750" s="3" t="s">
        <v>38</v>
      </c>
      <c r="U750" s="3" t="s">
        <v>39</v>
      </c>
      <c r="V750" s="3">
        <v>197.4</v>
      </c>
      <c r="W750" s="3">
        <v>83.9</v>
      </c>
      <c r="X750" s="3">
        <v>79.45</v>
      </c>
      <c r="Y750" s="3">
        <v>34.049999999999997</v>
      </c>
    </row>
    <row r="751" spans="1:25" ht="72.75" x14ac:dyDescent="0.25">
      <c r="A751" s="3" t="s">
        <v>26</v>
      </c>
      <c r="B751" s="3" t="s">
        <v>27</v>
      </c>
      <c r="C751" s="3" t="s">
        <v>28</v>
      </c>
      <c r="D751" s="3" t="s">
        <v>29</v>
      </c>
      <c r="E751" s="3" t="s">
        <v>119</v>
      </c>
      <c r="F751" s="3" t="s">
        <v>31</v>
      </c>
      <c r="G751" s="3" t="s">
        <v>119</v>
      </c>
      <c r="H751" s="3" t="s">
        <v>96</v>
      </c>
      <c r="I751" s="3">
        <v>2025</v>
      </c>
      <c r="J751" s="3" t="str">
        <f>CONCATENATE("54820024823")</f>
        <v>54820024823</v>
      </c>
      <c r="K751" s="3" t="s">
        <v>33</v>
      </c>
      <c r="L751" s="3"/>
      <c r="M751" s="3" t="s">
        <v>131</v>
      </c>
      <c r="N751" s="3" t="str">
        <f>CONCATENATE("PLNPNL57A23D691H")</f>
        <v>PLNPNL57A23D691H</v>
      </c>
      <c r="O751" s="3" t="s">
        <v>871</v>
      </c>
      <c r="P751" s="3" t="s">
        <v>36</v>
      </c>
      <c r="Q751" s="3"/>
      <c r="R751" s="4">
        <v>45996</v>
      </c>
      <c r="S751" s="3" t="s">
        <v>37</v>
      </c>
      <c r="T751" s="3" t="s">
        <v>38</v>
      </c>
      <c r="U751" s="3" t="s">
        <v>39</v>
      </c>
      <c r="V751" s="3">
        <v>63.29</v>
      </c>
      <c r="W751" s="3">
        <v>26.9</v>
      </c>
      <c r="X751" s="3">
        <v>25.47</v>
      </c>
      <c r="Y751" s="3">
        <v>10.92</v>
      </c>
    </row>
    <row r="752" spans="1:25" ht="48.75" x14ac:dyDescent="0.25">
      <c r="A752" s="3" t="s">
        <v>26</v>
      </c>
      <c r="B752" s="3" t="s">
        <v>27</v>
      </c>
      <c r="C752" s="3" t="s">
        <v>28</v>
      </c>
      <c r="D752" s="3" t="s">
        <v>29</v>
      </c>
      <c r="E752" s="3" t="s">
        <v>119</v>
      </c>
      <c r="F752" s="3" t="s">
        <v>31</v>
      </c>
      <c r="G752" s="3" t="s">
        <v>119</v>
      </c>
      <c r="H752" s="3" t="s">
        <v>96</v>
      </c>
      <c r="I752" s="3">
        <v>2025</v>
      </c>
      <c r="J752" s="3" t="str">
        <f>CONCATENATE("54820017926")</f>
        <v>54820017926</v>
      </c>
      <c r="K752" s="3" t="s">
        <v>33</v>
      </c>
      <c r="L752" s="3"/>
      <c r="M752" s="3" t="s">
        <v>131</v>
      </c>
      <c r="N752" s="3" t="str">
        <f>CONCATENATE("PCTPFC39S15I774C")</f>
        <v>PCTPFC39S15I774C</v>
      </c>
      <c r="O752" s="3" t="s">
        <v>872</v>
      </c>
      <c r="P752" s="3" t="s">
        <v>36</v>
      </c>
      <c r="Q752" s="3"/>
      <c r="R752" s="4">
        <v>45996</v>
      </c>
      <c r="S752" s="3" t="s">
        <v>37</v>
      </c>
      <c r="T752" s="3" t="s">
        <v>38</v>
      </c>
      <c r="U752" s="3" t="s">
        <v>39</v>
      </c>
      <c r="V752" s="3">
        <v>272.82</v>
      </c>
      <c r="W752" s="3">
        <v>115.95</v>
      </c>
      <c r="X752" s="3">
        <v>109.81</v>
      </c>
      <c r="Y752" s="3">
        <v>47.06</v>
      </c>
    </row>
    <row r="753" spans="1:25" ht="72.75" x14ac:dyDescent="0.25">
      <c r="A753" s="3" t="s">
        <v>26</v>
      </c>
      <c r="B753" s="3" t="s">
        <v>27</v>
      </c>
      <c r="C753" s="3" t="s">
        <v>28</v>
      </c>
      <c r="D753" s="3" t="s">
        <v>29</v>
      </c>
      <c r="E753" s="3" t="s">
        <v>72</v>
      </c>
      <c r="F753" s="3" t="s">
        <v>31</v>
      </c>
      <c r="G753" s="3" t="s">
        <v>72</v>
      </c>
      <c r="H753" s="3" t="s">
        <v>45</v>
      </c>
      <c r="I753" s="3">
        <v>2025</v>
      </c>
      <c r="J753" s="3" t="str">
        <f>CONCATENATE("54820079355")</f>
        <v>54820079355</v>
      </c>
      <c r="K753" s="3" t="s">
        <v>33</v>
      </c>
      <c r="L753" s="3"/>
      <c r="M753" s="3" t="s">
        <v>131</v>
      </c>
      <c r="N753" s="3" t="str">
        <f>CONCATENATE("BCCGRD41D05B352U")</f>
        <v>BCCGRD41D05B352U</v>
      </c>
      <c r="O753" s="3" t="s">
        <v>873</v>
      </c>
      <c r="P753" s="3" t="s">
        <v>36</v>
      </c>
      <c r="Q753" s="3"/>
      <c r="R753" s="4">
        <v>45996</v>
      </c>
      <c r="S753" s="3" t="s">
        <v>37</v>
      </c>
      <c r="T753" s="3" t="s">
        <v>38</v>
      </c>
      <c r="U753" s="3" t="s">
        <v>39</v>
      </c>
      <c r="V753" s="3">
        <v>206.02</v>
      </c>
      <c r="W753" s="3">
        <v>87.56</v>
      </c>
      <c r="X753" s="3">
        <v>82.92</v>
      </c>
      <c r="Y753" s="3">
        <v>35.54</v>
      </c>
    </row>
    <row r="754" spans="1:25" ht="60.75" x14ac:dyDescent="0.25">
      <c r="A754" s="3" t="s">
        <v>26</v>
      </c>
      <c r="B754" s="3" t="s">
        <v>27</v>
      </c>
      <c r="C754" s="3" t="s">
        <v>28</v>
      </c>
      <c r="D754" s="3" t="s">
        <v>29</v>
      </c>
      <c r="E754" s="3" t="s">
        <v>47</v>
      </c>
      <c r="F754" s="3" t="s">
        <v>31</v>
      </c>
      <c r="G754" s="3" t="s">
        <v>47</v>
      </c>
      <c r="H754" s="3" t="s">
        <v>48</v>
      </c>
      <c r="I754" s="3">
        <v>2025</v>
      </c>
      <c r="J754" s="3" t="str">
        <f>CONCATENATE("54820052378")</f>
        <v>54820052378</v>
      </c>
      <c r="K754" s="3" t="s">
        <v>33</v>
      </c>
      <c r="L754" s="3"/>
      <c r="M754" s="3" t="s">
        <v>131</v>
      </c>
      <c r="N754" s="3" t="str">
        <f>CONCATENATE("TRZDBR76P50D451T")</f>
        <v>TRZDBR76P50D451T</v>
      </c>
      <c r="O754" s="3" t="s">
        <v>874</v>
      </c>
      <c r="P754" s="3" t="s">
        <v>36</v>
      </c>
      <c r="Q754" s="3"/>
      <c r="R754" s="4">
        <v>45996</v>
      </c>
      <c r="S754" s="3" t="s">
        <v>37</v>
      </c>
      <c r="T754" s="3" t="s">
        <v>38</v>
      </c>
      <c r="U754" s="3" t="s">
        <v>39</v>
      </c>
      <c r="V754" s="3">
        <v>72.290000000000006</v>
      </c>
      <c r="W754" s="3">
        <v>30.72</v>
      </c>
      <c r="X754" s="3">
        <v>29.1</v>
      </c>
      <c r="Y754" s="3">
        <v>12.47</v>
      </c>
    </row>
    <row r="755" spans="1:25" ht="60.75" x14ac:dyDescent="0.25">
      <c r="A755" s="3" t="s">
        <v>26</v>
      </c>
      <c r="B755" s="3" t="s">
        <v>27</v>
      </c>
      <c r="C755" s="3" t="s">
        <v>28</v>
      </c>
      <c r="D755" s="3" t="s">
        <v>29</v>
      </c>
      <c r="E755" s="3" t="s">
        <v>233</v>
      </c>
      <c r="F755" s="3" t="s">
        <v>31</v>
      </c>
      <c r="G755" s="3" t="s">
        <v>233</v>
      </c>
      <c r="H755" s="3" t="s">
        <v>96</v>
      </c>
      <c r="I755" s="3">
        <v>2025</v>
      </c>
      <c r="J755" s="3" t="str">
        <f>CONCATENATE("54820050331")</f>
        <v>54820050331</v>
      </c>
      <c r="K755" s="3" t="s">
        <v>33</v>
      </c>
      <c r="L755" s="3"/>
      <c r="M755" s="3" t="s">
        <v>131</v>
      </c>
      <c r="N755" s="3" t="str">
        <f>CONCATENATE("LNEVRC71S69D643N")</f>
        <v>LNEVRC71S69D643N</v>
      </c>
      <c r="O755" s="3" t="s">
        <v>875</v>
      </c>
      <c r="P755" s="3" t="s">
        <v>36</v>
      </c>
      <c r="Q755" s="3"/>
      <c r="R755" s="4">
        <v>45996</v>
      </c>
      <c r="S755" s="3" t="s">
        <v>37</v>
      </c>
      <c r="T755" s="3" t="s">
        <v>38</v>
      </c>
      <c r="U755" s="3" t="s">
        <v>39</v>
      </c>
      <c r="V755" s="3">
        <v>101.59</v>
      </c>
      <c r="W755" s="3">
        <v>43.18</v>
      </c>
      <c r="X755" s="3">
        <v>40.89</v>
      </c>
      <c r="Y755" s="3">
        <v>17.52</v>
      </c>
    </row>
    <row r="756" spans="1:25" ht="60.75" x14ac:dyDescent="0.25">
      <c r="A756" s="3" t="s">
        <v>26</v>
      </c>
      <c r="B756" s="3" t="s">
        <v>27</v>
      </c>
      <c r="C756" s="3" t="s">
        <v>28</v>
      </c>
      <c r="D756" s="3" t="s">
        <v>29</v>
      </c>
      <c r="E756" s="3" t="s">
        <v>72</v>
      </c>
      <c r="F756" s="3" t="s">
        <v>31</v>
      </c>
      <c r="G756" s="3" t="s">
        <v>72</v>
      </c>
      <c r="H756" s="3" t="s">
        <v>45</v>
      </c>
      <c r="I756" s="3">
        <v>2025</v>
      </c>
      <c r="J756" s="3" t="str">
        <f>CONCATENATE("54820055066")</f>
        <v>54820055066</v>
      </c>
      <c r="K756" s="3" t="s">
        <v>33</v>
      </c>
      <c r="L756" s="3"/>
      <c r="M756" s="3" t="s">
        <v>131</v>
      </c>
      <c r="N756" s="3" t="str">
        <f>CONCATENATE("PLNDRD01A02L500D")</f>
        <v>PLNDRD01A02L500D</v>
      </c>
      <c r="O756" s="3" t="s">
        <v>876</v>
      </c>
      <c r="P756" s="3" t="s">
        <v>36</v>
      </c>
      <c r="Q756" s="3"/>
      <c r="R756" s="4">
        <v>45996</v>
      </c>
      <c r="S756" s="3" t="s">
        <v>37</v>
      </c>
      <c r="T756" s="3" t="s">
        <v>38</v>
      </c>
      <c r="U756" s="3" t="s">
        <v>39</v>
      </c>
      <c r="V756" s="3">
        <v>243.93</v>
      </c>
      <c r="W756" s="3">
        <v>103.67</v>
      </c>
      <c r="X756" s="3">
        <v>98.18</v>
      </c>
      <c r="Y756" s="3">
        <v>42.08</v>
      </c>
    </row>
    <row r="757" spans="1:25" ht="60.75" x14ac:dyDescent="0.25">
      <c r="A757" s="3" t="s">
        <v>26</v>
      </c>
      <c r="B757" s="3" t="s">
        <v>27</v>
      </c>
      <c r="C757" s="3" t="s">
        <v>28</v>
      </c>
      <c r="D757" s="3" t="s">
        <v>29</v>
      </c>
      <c r="E757" s="3" t="s">
        <v>182</v>
      </c>
      <c r="F757" s="3" t="s">
        <v>31</v>
      </c>
      <c r="G757" s="3" t="s">
        <v>182</v>
      </c>
      <c r="H757" s="3" t="s">
        <v>45</v>
      </c>
      <c r="I757" s="3">
        <v>2025</v>
      </c>
      <c r="J757" s="3" t="str">
        <f>CONCATENATE("54820146980")</f>
        <v>54820146980</v>
      </c>
      <c r="K757" s="3" t="s">
        <v>33</v>
      </c>
      <c r="L757" s="3"/>
      <c r="M757" s="3" t="s">
        <v>131</v>
      </c>
      <c r="N757" s="3" t="str">
        <f>CONCATENATE("MCHGRG54R10L500F")</f>
        <v>MCHGRG54R10L500F</v>
      </c>
      <c r="O757" s="3" t="s">
        <v>877</v>
      </c>
      <c r="P757" s="3" t="s">
        <v>36</v>
      </c>
      <c r="Q757" s="3"/>
      <c r="R757" s="4">
        <v>45996</v>
      </c>
      <c r="S757" s="3" t="s">
        <v>37</v>
      </c>
      <c r="T757" s="3" t="s">
        <v>38</v>
      </c>
      <c r="U757" s="3" t="s">
        <v>39</v>
      </c>
      <c r="V757" s="3">
        <v>115.15</v>
      </c>
      <c r="W757" s="3">
        <v>48.94</v>
      </c>
      <c r="X757" s="3">
        <v>46.35</v>
      </c>
      <c r="Y757" s="3">
        <v>19.86</v>
      </c>
    </row>
    <row r="758" spans="1:25" ht="36.75" x14ac:dyDescent="0.25">
      <c r="A758" s="3" t="s">
        <v>26</v>
      </c>
      <c r="B758" s="3" t="s">
        <v>27</v>
      </c>
      <c r="C758" s="3" t="s">
        <v>28</v>
      </c>
      <c r="D758" s="3" t="s">
        <v>50</v>
      </c>
      <c r="E758" s="3" t="s">
        <v>51</v>
      </c>
      <c r="F758" s="3" t="s">
        <v>52</v>
      </c>
      <c r="G758" s="3" t="s">
        <v>51</v>
      </c>
      <c r="H758" s="3" t="s">
        <v>48</v>
      </c>
      <c r="I758" s="3">
        <v>2025</v>
      </c>
      <c r="J758" s="3" t="str">
        <f>CONCATENATE("54820045950")</f>
        <v>54820045950</v>
      </c>
      <c r="K758" s="3" t="s">
        <v>33</v>
      </c>
      <c r="L758" s="3"/>
      <c r="M758" s="3" t="s">
        <v>131</v>
      </c>
      <c r="N758" s="3" t="str">
        <f>CONCATENATE("02870340425")</f>
        <v>02870340425</v>
      </c>
      <c r="O758" s="3" t="s">
        <v>878</v>
      </c>
      <c r="P758" s="3" t="s">
        <v>36</v>
      </c>
      <c r="Q758" s="3"/>
      <c r="R758" s="4">
        <v>45996</v>
      </c>
      <c r="S758" s="3" t="s">
        <v>37</v>
      </c>
      <c r="T758" s="3" t="s">
        <v>38</v>
      </c>
      <c r="U758" s="3" t="s">
        <v>39</v>
      </c>
      <c r="V758" s="3">
        <v>770.25</v>
      </c>
      <c r="W758" s="3">
        <v>327.36</v>
      </c>
      <c r="X758" s="3">
        <v>310.02999999999997</v>
      </c>
      <c r="Y758" s="3">
        <v>132.86000000000001</v>
      </c>
    </row>
    <row r="759" spans="1:25" ht="60.75" x14ac:dyDescent="0.25">
      <c r="A759" s="3" t="s">
        <v>26</v>
      </c>
      <c r="B759" s="3" t="s">
        <v>27</v>
      </c>
      <c r="C759" s="3" t="s">
        <v>28</v>
      </c>
      <c r="D759" s="3" t="s">
        <v>50</v>
      </c>
      <c r="E759" s="3" t="s">
        <v>51</v>
      </c>
      <c r="F759" s="3" t="s">
        <v>52</v>
      </c>
      <c r="G759" s="3" t="s">
        <v>51</v>
      </c>
      <c r="H759" s="3" t="s">
        <v>48</v>
      </c>
      <c r="I759" s="3">
        <v>2025</v>
      </c>
      <c r="J759" s="3" t="str">
        <f>CONCATENATE("54820108642")</f>
        <v>54820108642</v>
      </c>
      <c r="K759" s="3" t="s">
        <v>33</v>
      </c>
      <c r="L759" s="3"/>
      <c r="M759" s="3" t="s">
        <v>131</v>
      </c>
      <c r="N759" s="3" t="str">
        <f>CONCATENATE("RTLGLN60S13I653U")</f>
        <v>RTLGLN60S13I653U</v>
      </c>
      <c r="O759" s="3" t="s">
        <v>879</v>
      </c>
      <c r="P759" s="3" t="s">
        <v>36</v>
      </c>
      <c r="Q759" s="3"/>
      <c r="R759" s="4">
        <v>45996</v>
      </c>
      <c r="S759" s="3" t="s">
        <v>37</v>
      </c>
      <c r="T759" s="3" t="s">
        <v>38</v>
      </c>
      <c r="U759" s="3" t="s">
        <v>39</v>
      </c>
      <c r="V759" s="3">
        <v>50.75</v>
      </c>
      <c r="W759" s="3">
        <v>21.57</v>
      </c>
      <c r="X759" s="3">
        <v>20.43</v>
      </c>
      <c r="Y759" s="3">
        <v>8.75</v>
      </c>
    </row>
    <row r="760" spans="1:25" ht="60.75" x14ac:dyDescent="0.25">
      <c r="A760" s="3" t="s">
        <v>26</v>
      </c>
      <c r="B760" s="3" t="s">
        <v>27</v>
      </c>
      <c r="C760" s="3" t="s">
        <v>28</v>
      </c>
      <c r="D760" s="3" t="s">
        <v>50</v>
      </c>
      <c r="E760" s="3" t="s">
        <v>60</v>
      </c>
      <c r="F760" s="3" t="s">
        <v>52</v>
      </c>
      <c r="G760" s="3" t="s">
        <v>60</v>
      </c>
      <c r="H760" s="3" t="s">
        <v>45</v>
      </c>
      <c r="I760" s="3">
        <v>2025</v>
      </c>
      <c r="J760" s="3" t="str">
        <f>CONCATENATE("54820109400")</f>
        <v>54820109400</v>
      </c>
      <c r="K760" s="3" t="s">
        <v>33</v>
      </c>
      <c r="L760" s="3"/>
      <c r="M760" s="3" t="s">
        <v>131</v>
      </c>
      <c r="N760" s="3" t="str">
        <f>CONCATENATE("CLMRNI56L18B352K")</f>
        <v>CLMRNI56L18B352K</v>
      </c>
      <c r="O760" s="3" t="s">
        <v>880</v>
      </c>
      <c r="P760" s="3" t="s">
        <v>36</v>
      </c>
      <c r="Q760" s="3"/>
      <c r="R760" s="4">
        <v>45996</v>
      </c>
      <c r="S760" s="3" t="s">
        <v>37</v>
      </c>
      <c r="T760" s="3" t="s">
        <v>38</v>
      </c>
      <c r="U760" s="3" t="s">
        <v>39</v>
      </c>
      <c r="V760" s="3">
        <v>109.91</v>
      </c>
      <c r="W760" s="3">
        <v>46.71</v>
      </c>
      <c r="X760" s="3">
        <v>44.24</v>
      </c>
      <c r="Y760" s="3">
        <v>18.96</v>
      </c>
    </row>
    <row r="761" spans="1:25" ht="60.75" x14ac:dyDescent="0.25">
      <c r="A761" s="3" t="s">
        <v>26</v>
      </c>
      <c r="B761" s="3" t="s">
        <v>27</v>
      </c>
      <c r="C761" s="3" t="s">
        <v>28</v>
      </c>
      <c r="D761" s="3" t="s">
        <v>29</v>
      </c>
      <c r="E761" s="3" t="s">
        <v>101</v>
      </c>
      <c r="F761" s="3" t="s">
        <v>31</v>
      </c>
      <c r="G761" s="3" t="s">
        <v>101</v>
      </c>
      <c r="H761" s="3" t="s">
        <v>32</v>
      </c>
      <c r="I761" s="3">
        <v>2025</v>
      </c>
      <c r="J761" s="3" t="str">
        <f>CONCATENATE("54820083043")</f>
        <v>54820083043</v>
      </c>
      <c r="K761" s="3" t="s">
        <v>33</v>
      </c>
      <c r="L761" s="3"/>
      <c r="M761" s="3" t="s">
        <v>131</v>
      </c>
      <c r="N761" s="3" t="str">
        <f>CONCATENATE("DRSGBR60D25C321D")</f>
        <v>DRSGBR60D25C321D</v>
      </c>
      <c r="O761" s="3" t="s">
        <v>881</v>
      </c>
      <c r="P761" s="3" t="s">
        <v>36</v>
      </c>
      <c r="Q761" s="3"/>
      <c r="R761" s="4">
        <v>45996</v>
      </c>
      <c r="S761" s="3" t="s">
        <v>37</v>
      </c>
      <c r="T761" s="3" t="s">
        <v>38</v>
      </c>
      <c r="U761" s="3" t="s">
        <v>39</v>
      </c>
      <c r="V761" s="3">
        <v>95.06</v>
      </c>
      <c r="W761" s="3">
        <v>40.4</v>
      </c>
      <c r="X761" s="3">
        <v>38.26</v>
      </c>
      <c r="Y761" s="3">
        <v>16.399999999999999</v>
      </c>
    </row>
    <row r="762" spans="1:25" ht="60.75" x14ac:dyDescent="0.25">
      <c r="A762" s="3" t="s">
        <v>26</v>
      </c>
      <c r="B762" s="3" t="s">
        <v>27</v>
      </c>
      <c r="C762" s="3" t="s">
        <v>28</v>
      </c>
      <c r="D762" s="3" t="s">
        <v>29</v>
      </c>
      <c r="E762" s="3" t="s">
        <v>228</v>
      </c>
      <c r="F762" s="3" t="s">
        <v>31</v>
      </c>
      <c r="G762" s="3" t="s">
        <v>228</v>
      </c>
      <c r="H762" s="3" t="s">
        <v>45</v>
      </c>
      <c r="I762" s="3">
        <v>2025</v>
      </c>
      <c r="J762" s="3" t="str">
        <f>CONCATENATE("54820134424")</f>
        <v>54820134424</v>
      </c>
      <c r="K762" s="3" t="s">
        <v>33</v>
      </c>
      <c r="L762" s="3"/>
      <c r="M762" s="3" t="s">
        <v>131</v>
      </c>
      <c r="N762" s="3" t="str">
        <f>CONCATENATE("RFFJCB96T25L500S")</f>
        <v>RFFJCB96T25L500S</v>
      </c>
      <c r="O762" s="3" t="s">
        <v>882</v>
      </c>
      <c r="P762" s="3" t="s">
        <v>36</v>
      </c>
      <c r="Q762" s="3"/>
      <c r="R762" s="4">
        <v>45996</v>
      </c>
      <c r="S762" s="3" t="s">
        <v>37</v>
      </c>
      <c r="T762" s="3" t="s">
        <v>38</v>
      </c>
      <c r="U762" s="3" t="s">
        <v>39</v>
      </c>
      <c r="V762" s="3">
        <v>412.32</v>
      </c>
      <c r="W762" s="3">
        <v>175.24</v>
      </c>
      <c r="X762" s="3">
        <v>165.96</v>
      </c>
      <c r="Y762" s="3">
        <v>71.12</v>
      </c>
    </row>
    <row r="763" spans="1:25" ht="60.75" x14ac:dyDescent="0.25">
      <c r="A763" s="3" t="s">
        <v>26</v>
      </c>
      <c r="B763" s="3" t="s">
        <v>27</v>
      </c>
      <c r="C763" s="3" t="s">
        <v>28</v>
      </c>
      <c r="D763" s="3" t="s">
        <v>29</v>
      </c>
      <c r="E763" s="3" t="s">
        <v>182</v>
      </c>
      <c r="F763" s="3" t="s">
        <v>31</v>
      </c>
      <c r="G763" s="3" t="s">
        <v>182</v>
      </c>
      <c r="H763" s="3" t="s">
        <v>45</v>
      </c>
      <c r="I763" s="3">
        <v>2025</v>
      </c>
      <c r="J763" s="3" t="str">
        <f>CONCATENATE("54820073366")</f>
        <v>54820073366</v>
      </c>
      <c r="K763" s="3" t="s">
        <v>33</v>
      </c>
      <c r="L763" s="3"/>
      <c r="M763" s="3" t="s">
        <v>131</v>
      </c>
      <c r="N763" s="3" t="str">
        <f>CONCATENATE("BNDPGR60P05L500T")</f>
        <v>BNDPGR60P05L500T</v>
      </c>
      <c r="O763" s="3" t="s">
        <v>883</v>
      </c>
      <c r="P763" s="3" t="s">
        <v>36</v>
      </c>
      <c r="Q763" s="3"/>
      <c r="R763" s="4">
        <v>45996</v>
      </c>
      <c r="S763" s="3" t="s">
        <v>37</v>
      </c>
      <c r="T763" s="3" t="s">
        <v>38</v>
      </c>
      <c r="U763" s="3" t="s">
        <v>39</v>
      </c>
      <c r="V763" s="3">
        <v>59.37</v>
      </c>
      <c r="W763" s="3">
        <v>25.23</v>
      </c>
      <c r="X763" s="3">
        <v>23.9</v>
      </c>
      <c r="Y763" s="3">
        <v>10.24</v>
      </c>
    </row>
    <row r="764" spans="1:25" ht="60.75" x14ac:dyDescent="0.25">
      <c r="A764" s="3" t="s">
        <v>26</v>
      </c>
      <c r="B764" s="3" t="s">
        <v>27</v>
      </c>
      <c r="C764" s="3" t="s">
        <v>28</v>
      </c>
      <c r="D764" s="3" t="s">
        <v>29</v>
      </c>
      <c r="E764" s="3" t="s">
        <v>72</v>
      </c>
      <c r="F764" s="3" t="s">
        <v>31</v>
      </c>
      <c r="G764" s="3" t="s">
        <v>72</v>
      </c>
      <c r="H764" s="3" t="s">
        <v>45</v>
      </c>
      <c r="I764" s="3">
        <v>2025</v>
      </c>
      <c r="J764" s="3" t="str">
        <f>CONCATENATE("54820078514")</f>
        <v>54820078514</v>
      </c>
      <c r="K764" s="3" t="s">
        <v>33</v>
      </c>
      <c r="L764" s="3"/>
      <c r="M764" s="3" t="s">
        <v>131</v>
      </c>
      <c r="N764" s="3" t="str">
        <f>CONCATENATE("BTTGZN65H12A035F")</f>
        <v>BTTGZN65H12A035F</v>
      </c>
      <c r="O764" s="3" t="s">
        <v>884</v>
      </c>
      <c r="P764" s="3" t="s">
        <v>36</v>
      </c>
      <c r="Q764" s="3"/>
      <c r="R764" s="4">
        <v>45996</v>
      </c>
      <c r="S764" s="3" t="s">
        <v>37</v>
      </c>
      <c r="T764" s="3" t="s">
        <v>38</v>
      </c>
      <c r="U764" s="3" t="s">
        <v>39</v>
      </c>
      <c r="V764" s="3">
        <v>147.07</v>
      </c>
      <c r="W764" s="3">
        <v>62.5</v>
      </c>
      <c r="X764" s="3">
        <v>59.2</v>
      </c>
      <c r="Y764" s="3">
        <v>25.37</v>
      </c>
    </row>
    <row r="765" spans="1:25" ht="72.75" x14ac:dyDescent="0.25">
      <c r="A765" s="3" t="s">
        <v>26</v>
      </c>
      <c r="B765" s="3" t="s">
        <v>27</v>
      </c>
      <c r="C765" s="3" t="s">
        <v>28</v>
      </c>
      <c r="D765" s="3" t="s">
        <v>50</v>
      </c>
      <c r="E765" s="3" t="s">
        <v>147</v>
      </c>
      <c r="F765" s="3" t="s">
        <v>52</v>
      </c>
      <c r="G765" s="3" t="s">
        <v>147</v>
      </c>
      <c r="H765" s="3" t="s">
        <v>45</v>
      </c>
      <c r="I765" s="3">
        <v>2025</v>
      </c>
      <c r="J765" s="3" t="str">
        <f>CONCATENATE("54820099791")</f>
        <v>54820099791</v>
      </c>
      <c r="K765" s="3" t="s">
        <v>33</v>
      </c>
      <c r="L765" s="3"/>
      <c r="M765" s="3" t="s">
        <v>131</v>
      </c>
      <c r="N765" s="3" t="str">
        <f>CONCATENATE("CRDFRZ68M04G514Q")</f>
        <v>CRDFRZ68M04G514Q</v>
      </c>
      <c r="O765" s="3" t="s">
        <v>885</v>
      </c>
      <c r="P765" s="3" t="s">
        <v>36</v>
      </c>
      <c r="Q765" s="3"/>
      <c r="R765" s="4">
        <v>45996</v>
      </c>
      <c r="S765" s="3" t="s">
        <v>37</v>
      </c>
      <c r="T765" s="3" t="s">
        <v>38</v>
      </c>
      <c r="U765" s="3" t="s">
        <v>39</v>
      </c>
      <c r="V765" s="3">
        <v>591.94000000000005</v>
      </c>
      <c r="W765" s="3">
        <v>251.57</v>
      </c>
      <c r="X765" s="3">
        <v>238.26</v>
      </c>
      <c r="Y765" s="3">
        <v>102.11</v>
      </c>
    </row>
    <row r="766" spans="1:25" ht="60.75" x14ac:dyDescent="0.25">
      <c r="A766" s="3" t="s">
        <v>26</v>
      </c>
      <c r="B766" s="3" t="s">
        <v>27</v>
      </c>
      <c r="C766" s="3" t="s">
        <v>28</v>
      </c>
      <c r="D766" s="3" t="s">
        <v>50</v>
      </c>
      <c r="E766" s="3" t="s">
        <v>60</v>
      </c>
      <c r="F766" s="3" t="s">
        <v>52</v>
      </c>
      <c r="G766" s="3" t="s">
        <v>60</v>
      </c>
      <c r="H766" s="3" t="s">
        <v>45</v>
      </c>
      <c r="I766" s="3">
        <v>2025</v>
      </c>
      <c r="J766" s="3" t="str">
        <f>CONCATENATE("54820143433")</f>
        <v>54820143433</v>
      </c>
      <c r="K766" s="3" t="s">
        <v>33</v>
      </c>
      <c r="L766" s="3"/>
      <c r="M766" s="3" t="s">
        <v>131</v>
      </c>
      <c r="N766" s="3" t="str">
        <f>CONCATENATE("BLDLGA57A30B352J")</f>
        <v>BLDLGA57A30B352J</v>
      </c>
      <c r="O766" s="3" t="s">
        <v>886</v>
      </c>
      <c r="P766" s="3" t="s">
        <v>36</v>
      </c>
      <c r="Q766" s="3"/>
      <c r="R766" s="4">
        <v>45996</v>
      </c>
      <c r="S766" s="3" t="s">
        <v>37</v>
      </c>
      <c r="T766" s="3" t="s">
        <v>38</v>
      </c>
      <c r="U766" s="3" t="s">
        <v>39</v>
      </c>
      <c r="V766" s="3">
        <v>49.14</v>
      </c>
      <c r="W766" s="3">
        <v>20.88</v>
      </c>
      <c r="X766" s="3">
        <v>19.78</v>
      </c>
      <c r="Y766" s="3">
        <v>8.48</v>
      </c>
    </row>
    <row r="767" spans="1:25" ht="60.75" x14ac:dyDescent="0.25">
      <c r="A767" s="3" t="s">
        <v>26</v>
      </c>
      <c r="B767" s="3" t="s">
        <v>27</v>
      </c>
      <c r="C767" s="3" t="s">
        <v>28</v>
      </c>
      <c r="D767" s="3" t="s">
        <v>50</v>
      </c>
      <c r="E767" s="3" t="s">
        <v>51</v>
      </c>
      <c r="F767" s="3" t="s">
        <v>52</v>
      </c>
      <c r="G767" s="3" t="s">
        <v>51</v>
      </c>
      <c r="H767" s="3" t="s">
        <v>48</v>
      </c>
      <c r="I767" s="3">
        <v>2025</v>
      </c>
      <c r="J767" s="3" t="str">
        <f>CONCATENATE("54820116744")</f>
        <v>54820116744</v>
      </c>
      <c r="K767" s="3" t="s">
        <v>33</v>
      </c>
      <c r="L767" s="3"/>
      <c r="M767" s="3" t="s">
        <v>131</v>
      </c>
      <c r="N767" s="3" t="str">
        <f>CONCATENATE("MNFCRS92C49D451M")</f>
        <v>MNFCRS92C49D451M</v>
      </c>
      <c r="O767" s="3" t="s">
        <v>887</v>
      </c>
      <c r="P767" s="3" t="s">
        <v>36</v>
      </c>
      <c r="Q767" s="3"/>
      <c r="R767" s="4">
        <v>45996</v>
      </c>
      <c r="S767" s="3" t="s">
        <v>37</v>
      </c>
      <c r="T767" s="3" t="s">
        <v>38</v>
      </c>
      <c r="U767" s="3" t="s">
        <v>39</v>
      </c>
      <c r="V767" s="3">
        <v>131.22999999999999</v>
      </c>
      <c r="W767" s="3">
        <v>55.77</v>
      </c>
      <c r="X767" s="3">
        <v>52.82</v>
      </c>
      <c r="Y767" s="3">
        <v>22.64</v>
      </c>
    </row>
    <row r="768" spans="1:25" ht="60.75" x14ac:dyDescent="0.25">
      <c r="A768" s="3" t="s">
        <v>26</v>
      </c>
      <c r="B768" s="3" t="s">
        <v>27</v>
      </c>
      <c r="C768" s="3" t="s">
        <v>28</v>
      </c>
      <c r="D768" s="3" t="s">
        <v>50</v>
      </c>
      <c r="E768" s="3" t="s">
        <v>51</v>
      </c>
      <c r="F768" s="3" t="s">
        <v>52</v>
      </c>
      <c r="G768" s="3" t="s">
        <v>51</v>
      </c>
      <c r="H768" s="3" t="s">
        <v>48</v>
      </c>
      <c r="I768" s="3">
        <v>2025</v>
      </c>
      <c r="J768" s="3" t="str">
        <f>CONCATENATE("54820067988")</f>
        <v>54820067988</v>
      </c>
      <c r="K768" s="3" t="s">
        <v>33</v>
      </c>
      <c r="L768" s="3"/>
      <c r="M768" s="3" t="s">
        <v>131</v>
      </c>
      <c r="N768" s="3" t="str">
        <f>CONCATENATE("BRDFBA75E21I461H")</f>
        <v>BRDFBA75E21I461H</v>
      </c>
      <c r="O768" s="3" t="s">
        <v>888</v>
      </c>
      <c r="P768" s="3" t="s">
        <v>36</v>
      </c>
      <c r="Q768" s="3"/>
      <c r="R768" s="4">
        <v>45996</v>
      </c>
      <c r="S768" s="3" t="s">
        <v>37</v>
      </c>
      <c r="T768" s="3" t="s">
        <v>38</v>
      </c>
      <c r="U768" s="3" t="s">
        <v>39</v>
      </c>
      <c r="V768" s="3">
        <v>84.24</v>
      </c>
      <c r="W768" s="3">
        <v>35.799999999999997</v>
      </c>
      <c r="X768" s="3">
        <v>33.909999999999997</v>
      </c>
      <c r="Y768" s="3">
        <v>14.53</v>
      </c>
    </row>
    <row r="769" spans="1:25" ht="60.75" x14ac:dyDescent="0.25">
      <c r="A769" s="3" t="s">
        <v>26</v>
      </c>
      <c r="B769" s="3" t="s">
        <v>27</v>
      </c>
      <c r="C769" s="3" t="s">
        <v>28</v>
      </c>
      <c r="D769" s="3" t="s">
        <v>29</v>
      </c>
      <c r="E769" s="3" t="s">
        <v>233</v>
      </c>
      <c r="F769" s="3" t="s">
        <v>31</v>
      </c>
      <c r="G769" s="3" t="s">
        <v>233</v>
      </c>
      <c r="H769" s="3" t="s">
        <v>96</v>
      </c>
      <c r="I769" s="3">
        <v>2025</v>
      </c>
      <c r="J769" s="3" t="str">
        <f>CONCATENATE("54820050562")</f>
        <v>54820050562</v>
      </c>
      <c r="K769" s="3" t="s">
        <v>33</v>
      </c>
      <c r="L769" s="3"/>
      <c r="M769" s="3" t="s">
        <v>131</v>
      </c>
      <c r="N769" s="3" t="str">
        <f>CONCATENATE("LPRGNN67R20G289J")</f>
        <v>LPRGNN67R20G289J</v>
      </c>
      <c r="O769" s="3" t="s">
        <v>889</v>
      </c>
      <c r="P769" s="3" t="s">
        <v>36</v>
      </c>
      <c r="Q769" s="3"/>
      <c r="R769" s="4">
        <v>45996</v>
      </c>
      <c r="S769" s="3" t="s">
        <v>37</v>
      </c>
      <c r="T769" s="3" t="s">
        <v>38</v>
      </c>
      <c r="U769" s="3" t="s">
        <v>39</v>
      </c>
      <c r="V769" s="3">
        <v>126.22</v>
      </c>
      <c r="W769" s="3">
        <v>53.64</v>
      </c>
      <c r="X769" s="3">
        <v>50.8</v>
      </c>
      <c r="Y769" s="3">
        <v>21.78</v>
      </c>
    </row>
    <row r="770" spans="1:25" ht="60.75" x14ac:dyDescent="0.25">
      <c r="A770" s="3" t="s">
        <v>26</v>
      </c>
      <c r="B770" s="3" t="s">
        <v>27</v>
      </c>
      <c r="C770" s="3" t="s">
        <v>28</v>
      </c>
      <c r="D770" s="3" t="s">
        <v>29</v>
      </c>
      <c r="E770" s="3" t="s">
        <v>119</v>
      </c>
      <c r="F770" s="3" t="s">
        <v>31</v>
      </c>
      <c r="G770" s="3" t="s">
        <v>119</v>
      </c>
      <c r="H770" s="3" t="s">
        <v>96</v>
      </c>
      <c r="I770" s="3">
        <v>2025</v>
      </c>
      <c r="J770" s="3" t="str">
        <f>CONCATENATE("54820074158")</f>
        <v>54820074158</v>
      </c>
      <c r="K770" s="3" t="s">
        <v>33</v>
      </c>
      <c r="L770" s="3"/>
      <c r="M770" s="3" t="s">
        <v>131</v>
      </c>
      <c r="N770" s="3" t="str">
        <f>CONCATENATE("BSSDNC52S30A252X")</f>
        <v>BSSDNC52S30A252X</v>
      </c>
      <c r="O770" s="3" t="s">
        <v>890</v>
      </c>
      <c r="P770" s="3" t="s">
        <v>36</v>
      </c>
      <c r="Q770" s="3"/>
      <c r="R770" s="4">
        <v>45996</v>
      </c>
      <c r="S770" s="3" t="s">
        <v>37</v>
      </c>
      <c r="T770" s="3" t="s">
        <v>38</v>
      </c>
      <c r="U770" s="3" t="s">
        <v>39</v>
      </c>
      <c r="V770" s="3">
        <v>79.44</v>
      </c>
      <c r="W770" s="3">
        <v>33.76</v>
      </c>
      <c r="X770" s="3">
        <v>31.97</v>
      </c>
      <c r="Y770" s="3">
        <v>13.71</v>
      </c>
    </row>
    <row r="771" spans="1:25" ht="60.75" x14ac:dyDescent="0.25">
      <c r="A771" s="3" t="s">
        <v>26</v>
      </c>
      <c r="B771" s="3" t="s">
        <v>27</v>
      </c>
      <c r="C771" s="3" t="s">
        <v>28</v>
      </c>
      <c r="D771" s="3" t="s">
        <v>50</v>
      </c>
      <c r="E771" s="3" t="s">
        <v>173</v>
      </c>
      <c r="F771" s="3" t="s">
        <v>52</v>
      </c>
      <c r="G771" s="3" t="s">
        <v>173</v>
      </c>
      <c r="H771" s="3" t="s">
        <v>45</v>
      </c>
      <c r="I771" s="3">
        <v>2025</v>
      </c>
      <c r="J771" s="3" t="str">
        <f>CONCATENATE("54820050083")</f>
        <v>54820050083</v>
      </c>
      <c r="K771" s="3" t="s">
        <v>33</v>
      </c>
      <c r="L771" s="3"/>
      <c r="M771" s="3" t="s">
        <v>131</v>
      </c>
      <c r="N771" s="3" t="str">
        <f>CONCATENATE("LZZNNA61T64F524D")</f>
        <v>LZZNNA61T64F524D</v>
      </c>
      <c r="O771" s="3" t="s">
        <v>891</v>
      </c>
      <c r="P771" s="3" t="s">
        <v>36</v>
      </c>
      <c r="Q771" s="3"/>
      <c r="R771" s="4">
        <v>45996</v>
      </c>
      <c r="S771" s="3" t="s">
        <v>37</v>
      </c>
      <c r="T771" s="3" t="s">
        <v>38</v>
      </c>
      <c r="U771" s="3" t="s">
        <v>39</v>
      </c>
      <c r="V771" s="3">
        <v>57.93</v>
      </c>
      <c r="W771" s="3">
        <v>24.62</v>
      </c>
      <c r="X771" s="3">
        <v>23.32</v>
      </c>
      <c r="Y771" s="3">
        <v>9.99</v>
      </c>
    </row>
    <row r="772" spans="1:25" ht="60.75" x14ac:dyDescent="0.25">
      <c r="A772" s="3" t="s">
        <v>26</v>
      </c>
      <c r="B772" s="3" t="s">
        <v>27</v>
      </c>
      <c r="C772" s="3" t="s">
        <v>28</v>
      </c>
      <c r="D772" s="3" t="s">
        <v>40</v>
      </c>
      <c r="E772" s="3" t="s">
        <v>287</v>
      </c>
      <c r="F772" s="3" t="s">
        <v>42</v>
      </c>
      <c r="G772" s="3" t="s">
        <v>287</v>
      </c>
      <c r="H772" s="3" t="s">
        <v>32</v>
      </c>
      <c r="I772" s="3">
        <v>2025</v>
      </c>
      <c r="J772" s="3" t="str">
        <f>CONCATENATE("54820017439")</f>
        <v>54820017439</v>
      </c>
      <c r="K772" s="3" t="s">
        <v>33</v>
      </c>
      <c r="L772" s="3"/>
      <c r="M772" s="3" t="s">
        <v>131</v>
      </c>
      <c r="N772" s="3" t="str">
        <f>CONCATENATE("SNTPRL82A46B474K")</f>
        <v>SNTPRL82A46B474K</v>
      </c>
      <c r="O772" s="3" t="s">
        <v>892</v>
      </c>
      <c r="P772" s="3" t="s">
        <v>36</v>
      </c>
      <c r="Q772" s="3"/>
      <c r="R772" s="4">
        <v>45996</v>
      </c>
      <c r="S772" s="3" t="s">
        <v>37</v>
      </c>
      <c r="T772" s="3" t="s">
        <v>38</v>
      </c>
      <c r="U772" s="3" t="s">
        <v>39</v>
      </c>
      <c r="V772" s="3">
        <v>249.59</v>
      </c>
      <c r="W772" s="3">
        <v>106.08</v>
      </c>
      <c r="X772" s="3">
        <v>100.46</v>
      </c>
      <c r="Y772" s="3">
        <v>43.05</v>
      </c>
    </row>
    <row r="773" spans="1:25" ht="60.75" x14ac:dyDescent="0.25">
      <c r="A773" s="3" t="s">
        <v>26</v>
      </c>
      <c r="B773" s="3" t="s">
        <v>27</v>
      </c>
      <c r="C773" s="3" t="s">
        <v>28</v>
      </c>
      <c r="D773" s="3" t="s">
        <v>29</v>
      </c>
      <c r="E773" s="3" t="s">
        <v>47</v>
      </c>
      <c r="F773" s="3" t="s">
        <v>31</v>
      </c>
      <c r="G773" s="3" t="s">
        <v>47</v>
      </c>
      <c r="H773" s="3" t="s">
        <v>48</v>
      </c>
      <c r="I773" s="3">
        <v>2025</v>
      </c>
      <c r="J773" s="3" t="str">
        <f>CONCATENATE("54820052196")</f>
        <v>54820052196</v>
      </c>
      <c r="K773" s="3" t="s">
        <v>33</v>
      </c>
      <c r="L773" s="3"/>
      <c r="M773" s="3" t="s">
        <v>131</v>
      </c>
      <c r="N773" s="3" t="str">
        <f>CONCATENATE("GGLGCR43S16C524P")</f>
        <v>GGLGCR43S16C524P</v>
      </c>
      <c r="O773" s="3" t="s">
        <v>893</v>
      </c>
      <c r="P773" s="3" t="s">
        <v>36</v>
      </c>
      <c r="Q773" s="3"/>
      <c r="R773" s="4">
        <v>45996</v>
      </c>
      <c r="S773" s="3" t="s">
        <v>37</v>
      </c>
      <c r="T773" s="3" t="s">
        <v>38</v>
      </c>
      <c r="U773" s="3" t="s">
        <v>39</v>
      </c>
      <c r="V773" s="3">
        <v>164.56</v>
      </c>
      <c r="W773" s="3">
        <v>69.94</v>
      </c>
      <c r="X773" s="3">
        <v>66.239999999999995</v>
      </c>
      <c r="Y773" s="3">
        <v>28.38</v>
      </c>
    </row>
    <row r="774" spans="1:25" ht="60.75" x14ac:dyDescent="0.25">
      <c r="A774" s="3" t="s">
        <v>26</v>
      </c>
      <c r="B774" s="3" t="s">
        <v>27</v>
      </c>
      <c r="C774" s="3" t="s">
        <v>28</v>
      </c>
      <c r="D774" s="3" t="s">
        <v>29</v>
      </c>
      <c r="E774" s="3" t="s">
        <v>182</v>
      </c>
      <c r="F774" s="3" t="s">
        <v>31</v>
      </c>
      <c r="G774" s="3" t="s">
        <v>182</v>
      </c>
      <c r="H774" s="3" t="s">
        <v>45</v>
      </c>
      <c r="I774" s="3">
        <v>2025</v>
      </c>
      <c r="J774" s="3" t="str">
        <f>CONCATENATE("54820060918")</f>
        <v>54820060918</v>
      </c>
      <c r="K774" s="3" t="s">
        <v>33</v>
      </c>
      <c r="L774" s="3"/>
      <c r="M774" s="3" t="s">
        <v>131</v>
      </c>
      <c r="N774" s="3" t="str">
        <f>CONCATENATE("DDALTT57L63F346T")</f>
        <v>DDALTT57L63F346T</v>
      </c>
      <c r="O774" s="3" t="s">
        <v>894</v>
      </c>
      <c r="P774" s="3" t="s">
        <v>36</v>
      </c>
      <c r="Q774" s="3"/>
      <c r="R774" s="4">
        <v>45996</v>
      </c>
      <c r="S774" s="3" t="s">
        <v>37</v>
      </c>
      <c r="T774" s="3" t="s">
        <v>38</v>
      </c>
      <c r="U774" s="3" t="s">
        <v>39</v>
      </c>
      <c r="V774" s="3">
        <v>787.54</v>
      </c>
      <c r="W774" s="3">
        <v>334.7</v>
      </c>
      <c r="X774" s="3">
        <v>316.98</v>
      </c>
      <c r="Y774" s="3">
        <v>135.86000000000001</v>
      </c>
    </row>
    <row r="775" spans="1:25" ht="36.75" x14ac:dyDescent="0.25">
      <c r="A775" s="3" t="s">
        <v>26</v>
      </c>
      <c r="B775" s="3" t="s">
        <v>27</v>
      </c>
      <c r="C775" s="3" t="s">
        <v>28</v>
      </c>
      <c r="D775" s="3" t="s">
        <v>50</v>
      </c>
      <c r="E775" s="3" t="s">
        <v>51</v>
      </c>
      <c r="F775" s="3" t="s">
        <v>52</v>
      </c>
      <c r="G775" s="3" t="s">
        <v>51</v>
      </c>
      <c r="H775" s="3" t="s">
        <v>48</v>
      </c>
      <c r="I775" s="3">
        <v>2025</v>
      </c>
      <c r="J775" s="3" t="str">
        <f>CONCATENATE("54820131198")</f>
        <v>54820131198</v>
      </c>
      <c r="K775" s="3" t="s">
        <v>33</v>
      </c>
      <c r="L775" s="3"/>
      <c r="M775" s="3" t="s">
        <v>131</v>
      </c>
      <c r="N775" s="3" t="str">
        <f>CONCATENATE("01467980411")</f>
        <v>01467980411</v>
      </c>
      <c r="O775" s="3" t="s">
        <v>895</v>
      </c>
      <c r="P775" s="3" t="s">
        <v>36</v>
      </c>
      <c r="Q775" s="3"/>
      <c r="R775" s="4">
        <v>45996</v>
      </c>
      <c r="S775" s="3" t="s">
        <v>37</v>
      </c>
      <c r="T775" s="3" t="s">
        <v>38</v>
      </c>
      <c r="U775" s="3" t="s">
        <v>39</v>
      </c>
      <c r="V775" s="3">
        <v>205.57</v>
      </c>
      <c r="W775" s="3">
        <v>87.37</v>
      </c>
      <c r="X775" s="3">
        <v>82.74</v>
      </c>
      <c r="Y775" s="3">
        <v>35.46</v>
      </c>
    </row>
    <row r="776" spans="1:25" ht="72.75" x14ac:dyDescent="0.25">
      <c r="A776" s="3" t="s">
        <v>26</v>
      </c>
      <c r="B776" s="3" t="s">
        <v>27</v>
      </c>
      <c r="C776" s="3" t="s">
        <v>28</v>
      </c>
      <c r="D776" s="3" t="s">
        <v>29</v>
      </c>
      <c r="E776" s="3" t="s">
        <v>233</v>
      </c>
      <c r="F776" s="3" t="s">
        <v>31</v>
      </c>
      <c r="G776" s="3" t="s">
        <v>233</v>
      </c>
      <c r="H776" s="3" t="s">
        <v>96</v>
      </c>
      <c r="I776" s="3">
        <v>2025</v>
      </c>
      <c r="J776" s="3" t="str">
        <f>CONCATENATE("54820029889")</f>
        <v>54820029889</v>
      </c>
      <c r="K776" s="3" t="s">
        <v>33</v>
      </c>
      <c r="L776" s="3"/>
      <c r="M776" s="3" t="s">
        <v>131</v>
      </c>
      <c r="N776" s="3" t="str">
        <f>CONCATENATE("TSTNGL37A30A044O")</f>
        <v>TSTNGL37A30A044O</v>
      </c>
      <c r="O776" s="3" t="s">
        <v>896</v>
      </c>
      <c r="P776" s="3" t="s">
        <v>36</v>
      </c>
      <c r="Q776" s="3"/>
      <c r="R776" s="4">
        <v>45996</v>
      </c>
      <c r="S776" s="3" t="s">
        <v>37</v>
      </c>
      <c r="T776" s="3" t="s">
        <v>38</v>
      </c>
      <c r="U776" s="3" t="s">
        <v>39</v>
      </c>
      <c r="V776" s="3">
        <v>99.92</v>
      </c>
      <c r="W776" s="3">
        <v>42.47</v>
      </c>
      <c r="X776" s="3">
        <v>40.22</v>
      </c>
      <c r="Y776" s="3">
        <v>17.23</v>
      </c>
    </row>
    <row r="777" spans="1:25" ht="60.75" x14ac:dyDescent="0.25">
      <c r="A777" s="3" t="s">
        <v>26</v>
      </c>
      <c r="B777" s="3" t="s">
        <v>27</v>
      </c>
      <c r="C777" s="3" t="s">
        <v>28</v>
      </c>
      <c r="D777" s="3" t="s">
        <v>29</v>
      </c>
      <c r="E777" s="3" t="s">
        <v>228</v>
      </c>
      <c r="F777" s="3" t="s">
        <v>31</v>
      </c>
      <c r="G777" s="3" t="s">
        <v>228</v>
      </c>
      <c r="H777" s="3" t="s">
        <v>45</v>
      </c>
      <c r="I777" s="3">
        <v>2025</v>
      </c>
      <c r="J777" s="3" t="str">
        <f>CONCATENATE("54820038781")</f>
        <v>54820038781</v>
      </c>
      <c r="K777" s="3" t="s">
        <v>33</v>
      </c>
      <c r="L777" s="3"/>
      <c r="M777" s="3" t="s">
        <v>131</v>
      </c>
      <c r="N777" s="3" t="str">
        <f>CONCATENATE("LRNSNT53L50D749N")</f>
        <v>LRNSNT53L50D749N</v>
      </c>
      <c r="O777" s="3" t="s">
        <v>897</v>
      </c>
      <c r="P777" s="3" t="s">
        <v>36</v>
      </c>
      <c r="Q777" s="3"/>
      <c r="R777" s="4">
        <v>45996</v>
      </c>
      <c r="S777" s="3" t="s">
        <v>37</v>
      </c>
      <c r="T777" s="3" t="s">
        <v>38</v>
      </c>
      <c r="U777" s="3" t="s">
        <v>39</v>
      </c>
      <c r="V777" s="3">
        <v>55.96</v>
      </c>
      <c r="W777" s="3">
        <v>23.78</v>
      </c>
      <c r="X777" s="3">
        <v>22.52</v>
      </c>
      <c r="Y777" s="3">
        <v>9.66</v>
      </c>
    </row>
    <row r="778" spans="1:25" ht="60.75" x14ac:dyDescent="0.25">
      <c r="A778" s="3" t="s">
        <v>26</v>
      </c>
      <c r="B778" s="3" t="s">
        <v>27</v>
      </c>
      <c r="C778" s="3" t="s">
        <v>28</v>
      </c>
      <c r="D778" s="3" t="s">
        <v>40</v>
      </c>
      <c r="E778" s="3" t="s">
        <v>44</v>
      </c>
      <c r="F778" s="3" t="s">
        <v>42</v>
      </c>
      <c r="G778" s="3" t="s">
        <v>44</v>
      </c>
      <c r="H778" s="3" t="s">
        <v>32</v>
      </c>
      <c r="I778" s="3">
        <v>2025</v>
      </c>
      <c r="J778" s="3" t="str">
        <f>CONCATENATE("54820043211")</f>
        <v>54820043211</v>
      </c>
      <c r="K778" s="3" t="s">
        <v>33</v>
      </c>
      <c r="L778" s="3"/>
      <c r="M778" s="3" t="s">
        <v>131</v>
      </c>
      <c r="N778" s="3" t="str">
        <f>CONCATENATE("SCGGPP58P41I651F")</f>
        <v>SCGGPP58P41I651F</v>
      </c>
      <c r="O778" s="3" t="s">
        <v>898</v>
      </c>
      <c r="P778" s="3" t="s">
        <v>36</v>
      </c>
      <c r="Q778" s="3"/>
      <c r="R778" s="4">
        <v>45996</v>
      </c>
      <c r="S778" s="3" t="s">
        <v>37</v>
      </c>
      <c r="T778" s="3" t="s">
        <v>38</v>
      </c>
      <c r="U778" s="3" t="s">
        <v>39</v>
      </c>
      <c r="V778" s="3">
        <v>80.05</v>
      </c>
      <c r="W778" s="3">
        <v>34.020000000000003</v>
      </c>
      <c r="X778" s="3">
        <v>32.22</v>
      </c>
      <c r="Y778" s="3">
        <v>13.81</v>
      </c>
    </row>
    <row r="779" spans="1:25" ht="48.75" x14ac:dyDescent="0.25">
      <c r="A779" s="3" t="s">
        <v>26</v>
      </c>
      <c r="B779" s="3" t="s">
        <v>27</v>
      </c>
      <c r="C779" s="3" t="s">
        <v>28</v>
      </c>
      <c r="D779" s="3" t="s">
        <v>40</v>
      </c>
      <c r="E779" s="3" t="s">
        <v>54</v>
      </c>
      <c r="F779" s="3" t="s">
        <v>42</v>
      </c>
      <c r="G779" s="3" t="s">
        <v>54</v>
      </c>
      <c r="H779" s="3" t="s">
        <v>45</v>
      </c>
      <c r="I779" s="3">
        <v>2025</v>
      </c>
      <c r="J779" s="3" t="str">
        <f>CONCATENATE("54820071493")</f>
        <v>54820071493</v>
      </c>
      <c r="K779" s="3" t="s">
        <v>33</v>
      </c>
      <c r="L779" s="3"/>
      <c r="M779" s="3" t="s">
        <v>131</v>
      </c>
      <c r="N779" s="3" t="str">
        <f>CONCATENATE("JNSSTP79E17Z105C")</f>
        <v>JNSSTP79E17Z105C</v>
      </c>
      <c r="O779" s="3" t="s">
        <v>899</v>
      </c>
      <c r="P779" s="3" t="s">
        <v>36</v>
      </c>
      <c r="Q779" s="3"/>
      <c r="R779" s="4">
        <v>45996</v>
      </c>
      <c r="S779" s="3" t="s">
        <v>37</v>
      </c>
      <c r="T779" s="3" t="s">
        <v>38</v>
      </c>
      <c r="U779" s="3" t="s">
        <v>39</v>
      </c>
      <c r="V779" s="3">
        <v>242.61</v>
      </c>
      <c r="W779" s="3">
        <v>103.11</v>
      </c>
      <c r="X779" s="3">
        <v>97.65</v>
      </c>
      <c r="Y779" s="3">
        <v>41.85</v>
      </c>
    </row>
    <row r="780" spans="1:25" ht="72.75" x14ac:dyDescent="0.25">
      <c r="A780" s="3" t="s">
        <v>26</v>
      </c>
      <c r="B780" s="3" t="s">
        <v>27</v>
      </c>
      <c r="C780" s="3" t="s">
        <v>28</v>
      </c>
      <c r="D780" s="3" t="s">
        <v>29</v>
      </c>
      <c r="E780" s="3" t="s">
        <v>136</v>
      </c>
      <c r="F780" s="3" t="s">
        <v>31</v>
      </c>
      <c r="G780" s="3" t="s">
        <v>136</v>
      </c>
      <c r="H780" s="3" t="s">
        <v>48</v>
      </c>
      <c r="I780" s="3">
        <v>2025</v>
      </c>
      <c r="J780" s="3" t="str">
        <f>CONCATENATE("54820077094")</f>
        <v>54820077094</v>
      </c>
      <c r="K780" s="3" t="s">
        <v>33</v>
      </c>
      <c r="L780" s="3"/>
      <c r="M780" s="3" t="s">
        <v>131</v>
      </c>
      <c r="N780" s="3" t="str">
        <f>CONCATENATE("LMNMSM70H21I461B")</f>
        <v>LMNMSM70H21I461B</v>
      </c>
      <c r="O780" s="3" t="s">
        <v>900</v>
      </c>
      <c r="P780" s="3" t="s">
        <v>36</v>
      </c>
      <c r="Q780" s="3"/>
      <c r="R780" s="4">
        <v>45996</v>
      </c>
      <c r="S780" s="3" t="s">
        <v>37</v>
      </c>
      <c r="T780" s="3" t="s">
        <v>38</v>
      </c>
      <c r="U780" s="3" t="s">
        <v>39</v>
      </c>
      <c r="V780" s="3">
        <v>347.57</v>
      </c>
      <c r="W780" s="3">
        <v>147.72</v>
      </c>
      <c r="X780" s="3">
        <v>139.9</v>
      </c>
      <c r="Y780" s="3">
        <v>59.95</v>
      </c>
    </row>
    <row r="781" spans="1:25" ht="60.75" x14ac:dyDescent="0.25">
      <c r="A781" s="3" t="s">
        <v>26</v>
      </c>
      <c r="B781" s="3" t="s">
        <v>27</v>
      </c>
      <c r="C781" s="3" t="s">
        <v>28</v>
      </c>
      <c r="D781" s="3" t="s">
        <v>50</v>
      </c>
      <c r="E781" s="3" t="s">
        <v>51</v>
      </c>
      <c r="F781" s="3" t="s">
        <v>52</v>
      </c>
      <c r="G781" s="3" t="s">
        <v>51</v>
      </c>
      <c r="H781" s="3" t="s">
        <v>48</v>
      </c>
      <c r="I781" s="3">
        <v>2025</v>
      </c>
      <c r="J781" s="3" t="str">
        <f>CONCATENATE("54820089081")</f>
        <v>54820089081</v>
      </c>
      <c r="K781" s="3" t="s">
        <v>33</v>
      </c>
      <c r="L781" s="3"/>
      <c r="M781" s="3" t="s">
        <v>131</v>
      </c>
      <c r="N781" s="3" t="str">
        <f>CONCATENATE("PNTMLL50P59I653E")</f>
        <v>PNTMLL50P59I653E</v>
      </c>
      <c r="O781" s="3" t="s">
        <v>901</v>
      </c>
      <c r="P781" s="3" t="s">
        <v>36</v>
      </c>
      <c r="Q781" s="3"/>
      <c r="R781" s="4">
        <v>45996</v>
      </c>
      <c r="S781" s="3" t="s">
        <v>37</v>
      </c>
      <c r="T781" s="3" t="s">
        <v>38</v>
      </c>
      <c r="U781" s="3" t="s">
        <v>39</v>
      </c>
      <c r="V781" s="3">
        <v>438.41</v>
      </c>
      <c r="W781" s="3">
        <v>186.32</v>
      </c>
      <c r="X781" s="3">
        <v>176.46</v>
      </c>
      <c r="Y781" s="3">
        <v>75.63</v>
      </c>
    </row>
    <row r="782" spans="1:25" ht="60.75" x14ac:dyDescent="0.25">
      <c r="A782" s="3" t="s">
        <v>26</v>
      </c>
      <c r="B782" s="3" t="s">
        <v>27</v>
      </c>
      <c r="C782" s="3" t="s">
        <v>28</v>
      </c>
      <c r="D782" s="3" t="s">
        <v>29</v>
      </c>
      <c r="E782" s="3" t="s">
        <v>72</v>
      </c>
      <c r="F782" s="3" t="s">
        <v>31</v>
      </c>
      <c r="G782" s="3" t="s">
        <v>72</v>
      </c>
      <c r="H782" s="3" t="s">
        <v>45</v>
      </c>
      <c r="I782" s="3">
        <v>2025</v>
      </c>
      <c r="J782" s="3" t="str">
        <f>CONCATENATE("54820078134")</f>
        <v>54820078134</v>
      </c>
      <c r="K782" s="3" t="s">
        <v>33</v>
      </c>
      <c r="L782" s="3"/>
      <c r="M782" s="3" t="s">
        <v>131</v>
      </c>
      <c r="N782" s="3" t="str">
        <f>CONCATENATE("BEIMTT88R07A271C")</f>
        <v>BEIMTT88R07A271C</v>
      </c>
      <c r="O782" s="3" t="s">
        <v>902</v>
      </c>
      <c r="P782" s="3" t="s">
        <v>36</v>
      </c>
      <c r="Q782" s="3"/>
      <c r="R782" s="4">
        <v>45996</v>
      </c>
      <c r="S782" s="3" t="s">
        <v>37</v>
      </c>
      <c r="T782" s="3" t="s">
        <v>38</v>
      </c>
      <c r="U782" s="3" t="s">
        <v>39</v>
      </c>
      <c r="V782" s="3">
        <v>235.52</v>
      </c>
      <c r="W782" s="3">
        <v>100.1</v>
      </c>
      <c r="X782" s="3">
        <v>94.8</v>
      </c>
      <c r="Y782" s="3">
        <v>40.619999999999997</v>
      </c>
    </row>
    <row r="783" spans="1:25" ht="60.75" x14ac:dyDescent="0.25">
      <c r="A783" s="3" t="s">
        <v>26</v>
      </c>
      <c r="B783" s="3" t="s">
        <v>27</v>
      </c>
      <c r="C783" s="3" t="s">
        <v>28</v>
      </c>
      <c r="D783" s="3" t="s">
        <v>29</v>
      </c>
      <c r="E783" s="3" t="s">
        <v>56</v>
      </c>
      <c r="F783" s="3" t="s">
        <v>31</v>
      </c>
      <c r="G783" s="3" t="s">
        <v>56</v>
      </c>
      <c r="H783" s="3" t="s">
        <v>32</v>
      </c>
      <c r="I783" s="3">
        <v>2025</v>
      </c>
      <c r="J783" s="3" t="str">
        <f>CONCATENATE("54820089750")</f>
        <v>54820089750</v>
      </c>
      <c r="K783" s="3" t="s">
        <v>33</v>
      </c>
      <c r="L783" s="3"/>
      <c r="M783" s="3" t="s">
        <v>131</v>
      </c>
      <c r="N783" s="3" t="str">
        <f>CONCATENATE("GZZNDA44S53B474Q")</f>
        <v>GZZNDA44S53B474Q</v>
      </c>
      <c r="O783" s="3" t="s">
        <v>903</v>
      </c>
      <c r="P783" s="3" t="s">
        <v>36</v>
      </c>
      <c r="Q783" s="3"/>
      <c r="R783" s="4">
        <v>45996</v>
      </c>
      <c r="S783" s="3" t="s">
        <v>37</v>
      </c>
      <c r="T783" s="3" t="s">
        <v>38</v>
      </c>
      <c r="U783" s="3" t="s">
        <v>39</v>
      </c>
      <c r="V783" s="3">
        <v>47.29</v>
      </c>
      <c r="W783" s="3">
        <v>20.100000000000001</v>
      </c>
      <c r="X783" s="3">
        <v>19.03</v>
      </c>
      <c r="Y783" s="3">
        <v>8.16</v>
      </c>
    </row>
    <row r="784" spans="1:25" ht="60.75" x14ac:dyDescent="0.25">
      <c r="A784" s="3" t="s">
        <v>26</v>
      </c>
      <c r="B784" s="3" t="s">
        <v>27</v>
      </c>
      <c r="C784" s="3" t="s">
        <v>28</v>
      </c>
      <c r="D784" s="3" t="s">
        <v>29</v>
      </c>
      <c r="E784" s="3" t="s">
        <v>904</v>
      </c>
      <c r="F784" s="3" t="s">
        <v>31</v>
      </c>
      <c r="G784" s="3" t="s">
        <v>904</v>
      </c>
      <c r="H784" s="3" t="s">
        <v>32</v>
      </c>
      <c r="I784" s="3">
        <v>2025</v>
      </c>
      <c r="J784" s="3" t="str">
        <f>CONCATENATE("54820117015")</f>
        <v>54820117015</v>
      </c>
      <c r="K784" s="3" t="s">
        <v>33</v>
      </c>
      <c r="L784" s="3"/>
      <c r="M784" s="3" t="s">
        <v>131</v>
      </c>
      <c r="N784" s="3" t="str">
        <f>CONCATENATE("BRNMRK03D23I156L")</f>
        <v>BRNMRK03D23I156L</v>
      </c>
      <c r="O784" s="3" t="s">
        <v>905</v>
      </c>
      <c r="P784" s="3" t="s">
        <v>36</v>
      </c>
      <c r="Q784" s="3"/>
      <c r="R784" s="4">
        <v>45996</v>
      </c>
      <c r="S784" s="3" t="s">
        <v>37</v>
      </c>
      <c r="T784" s="3" t="s">
        <v>38</v>
      </c>
      <c r="U784" s="3" t="s">
        <v>39</v>
      </c>
      <c r="V784" s="3">
        <v>73.959999999999994</v>
      </c>
      <c r="W784" s="3">
        <v>31.43</v>
      </c>
      <c r="X784" s="3">
        <v>29.77</v>
      </c>
      <c r="Y784" s="3">
        <v>12.76</v>
      </c>
    </row>
    <row r="785" spans="1:25" ht="36.75" x14ac:dyDescent="0.25">
      <c r="A785" s="3" t="s">
        <v>26</v>
      </c>
      <c r="B785" s="3" t="s">
        <v>27</v>
      </c>
      <c r="C785" s="3" t="s">
        <v>28</v>
      </c>
      <c r="D785" s="3" t="s">
        <v>91</v>
      </c>
      <c r="E785" s="3" t="s">
        <v>522</v>
      </c>
      <c r="F785" s="3" t="s">
        <v>93</v>
      </c>
      <c r="G785" s="3" t="s">
        <v>522</v>
      </c>
      <c r="H785" s="3" t="s">
        <v>45</v>
      </c>
      <c r="I785" s="3">
        <v>2025</v>
      </c>
      <c r="J785" s="3" t="str">
        <f>CONCATENATE("54820020227")</f>
        <v>54820020227</v>
      </c>
      <c r="K785" s="3" t="s">
        <v>33</v>
      </c>
      <c r="L785" s="3"/>
      <c r="M785" s="3" t="s">
        <v>131</v>
      </c>
      <c r="N785" s="3" t="str">
        <f>CONCATENATE("02229300419")</f>
        <v>02229300419</v>
      </c>
      <c r="O785" s="3" t="s">
        <v>906</v>
      </c>
      <c r="P785" s="3" t="s">
        <v>36</v>
      </c>
      <c r="Q785" s="3"/>
      <c r="R785" s="4">
        <v>45996</v>
      </c>
      <c r="S785" s="3" t="s">
        <v>37</v>
      </c>
      <c r="T785" s="3" t="s">
        <v>38</v>
      </c>
      <c r="U785" s="3" t="s">
        <v>39</v>
      </c>
      <c r="V785" s="3">
        <v>198.37</v>
      </c>
      <c r="W785" s="3">
        <v>84.31</v>
      </c>
      <c r="X785" s="3">
        <v>79.84</v>
      </c>
      <c r="Y785" s="3">
        <v>34.22</v>
      </c>
    </row>
    <row r="786" spans="1:25" ht="72.75" x14ac:dyDescent="0.25">
      <c r="A786" s="3" t="s">
        <v>26</v>
      </c>
      <c r="B786" s="3" t="s">
        <v>27</v>
      </c>
      <c r="C786" s="3" t="s">
        <v>28</v>
      </c>
      <c r="D786" s="3" t="s">
        <v>29</v>
      </c>
      <c r="E786" s="3" t="s">
        <v>80</v>
      </c>
      <c r="F786" s="3" t="s">
        <v>31</v>
      </c>
      <c r="G786" s="3" t="s">
        <v>80</v>
      </c>
      <c r="H786" s="3" t="s">
        <v>45</v>
      </c>
      <c r="I786" s="3">
        <v>2025</v>
      </c>
      <c r="J786" s="3" t="str">
        <f>CONCATENATE("54820157888")</f>
        <v>54820157888</v>
      </c>
      <c r="K786" s="3" t="s">
        <v>33</v>
      </c>
      <c r="L786" s="3"/>
      <c r="M786" s="3" t="s">
        <v>131</v>
      </c>
      <c r="N786" s="3" t="str">
        <f>CONCATENATE("PRNTZN66A70G453W")</f>
        <v>PRNTZN66A70G453W</v>
      </c>
      <c r="O786" s="3" t="s">
        <v>907</v>
      </c>
      <c r="P786" s="3" t="s">
        <v>36</v>
      </c>
      <c r="Q786" s="3"/>
      <c r="R786" s="4">
        <v>45996</v>
      </c>
      <c r="S786" s="3" t="s">
        <v>37</v>
      </c>
      <c r="T786" s="3" t="s">
        <v>38</v>
      </c>
      <c r="U786" s="3" t="s">
        <v>39</v>
      </c>
      <c r="V786" s="3">
        <v>441.31</v>
      </c>
      <c r="W786" s="3">
        <v>187.56</v>
      </c>
      <c r="X786" s="3">
        <v>177.63</v>
      </c>
      <c r="Y786" s="3">
        <v>76.12</v>
      </c>
    </row>
    <row r="787" spans="1:25" ht="72.75" x14ac:dyDescent="0.25">
      <c r="A787" s="3" t="s">
        <v>26</v>
      </c>
      <c r="B787" s="3" t="s">
        <v>27</v>
      </c>
      <c r="C787" s="3" t="s">
        <v>28</v>
      </c>
      <c r="D787" s="3" t="s">
        <v>29</v>
      </c>
      <c r="E787" s="3" t="s">
        <v>182</v>
      </c>
      <c r="F787" s="3" t="s">
        <v>31</v>
      </c>
      <c r="G787" s="3" t="s">
        <v>182</v>
      </c>
      <c r="H787" s="3" t="s">
        <v>45</v>
      </c>
      <c r="I787" s="3">
        <v>2025</v>
      </c>
      <c r="J787" s="3" t="str">
        <f>CONCATENATE("54820159827")</f>
        <v>54820159827</v>
      </c>
      <c r="K787" s="3" t="s">
        <v>33</v>
      </c>
      <c r="L787" s="3"/>
      <c r="M787" s="3" t="s">
        <v>131</v>
      </c>
      <c r="N787" s="3" t="str">
        <f>CONCATENATE("SRFTRS50B46A035G")</f>
        <v>SRFTRS50B46A035G</v>
      </c>
      <c r="O787" s="3" t="s">
        <v>908</v>
      </c>
      <c r="P787" s="3" t="s">
        <v>36</v>
      </c>
      <c r="Q787" s="3"/>
      <c r="R787" s="4">
        <v>45996</v>
      </c>
      <c r="S787" s="3" t="s">
        <v>37</v>
      </c>
      <c r="T787" s="3" t="s">
        <v>38</v>
      </c>
      <c r="U787" s="3" t="s">
        <v>39</v>
      </c>
      <c r="V787" s="3">
        <v>136.13999999999999</v>
      </c>
      <c r="W787" s="3">
        <v>57.86</v>
      </c>
      <c r="X787" s="3">
        <v>54.8</v>
      </c>
      <c r="Y787" s="3">
        <v>23.48</v>
      </c>
    </row>
    <row r="788" spans="1:25" ht="60.75" x14ac:dyDescent="0.25">
      <c r="A788" s="3" t="s">
        <v>26</v>
      </c>
      <c r="B788" s="3" t="s">
        <v>27</v>
      </c>
      <c r="C788" s="3" t="s">
        <v>28</v>
      </c>
      <c r="D788" s="3" t="s">
        <v>29</v>
      </c>
      <c r="E788" s="3" t="s">
        <v>72</v>
      </c>
      <c r="F788" s="3" t="s">
        <v>31</v>
      </c>
      <c r="G788" s="3" t="s">
        <v>72</v>
      </c>
      <c r="H788" s="3" t="s">
        <v>45</v>
      </c>
      <c r="I788" s="3">
        <v>2025</v>
      </c>
      <c r="J788" s="3" t="str">
        <f>CONCATENATE("54820079652")</f>
        <v>54820079652</v>
      </c>
      <c r="K788" s="3" t="s">
        <v>33</v>
      </c>
      <c r="L788" s="3"/>
      <c r="M788" s="3" t="s">
        <v>131</v>
      </c>
      <c r="N788" s="3" t="str">
        <f>CONCATENATE("CNCGRL76D03C745R")</f>
        <v>CNCGRL76D03C745R</v>
      </c>
      <c r="O788" s="3" t="s">
        <v>909</v>
      </c>
      <c r="P788" s="3" t="s">
        <v>36</v>
      </c>
      <c r="Q788" s="3"/>
      <c r="R788" s="4">
        <v>45996</v>
      </c>
      <c r="S788" s="3" t="s">
        <v>37</v>
      </c>
      <c r="T788" s="3" t="s">
        <v>38</v>
      </c>
      <c r="U788" s="3" t="s">
        <v>39</v>
      </c>
      <c r="V788" s="3">
        <v>56.88</v>
      </c>
      <c r="W788" s="3">
        <v>24.17</v>
      </c>
      <c r="X788" s="3">
        <v>22.89</v>
      </c>
      <c r="Y788" s="3">
        <v>9.82</v>
      </c>
    </row>
    <row r="789" spans="1:25" ht="60.75" x14ac:dyDescent="0.25">
      <c r="A789" s="3" t="s">
        <v>26</v>
      </c>
      <c r="B789" s="3" t="s">
        <v>27</v>
      </c>
      <c r="C789" s="3" t="s">
        <v>28</v>
      </c>
      <c r="D789" s="3" t="s">
        <v>29</v>
      </c>
      <c r="E789" s="3" t="s">
        <v>233</v>
      </c>
      <c r="F789" s="3" t="s">
        <v>31</v>
      </c>
      <c r="G789" s="3" t="s">
        <v>233</v>
      </c>
      <c r="H789" s="3" t="s">
        <v>96</v>
      </c>
      <c r="I789" s="3">
        <v>2025</v>
      </c>
      <c r="J789" s="3" t="str">
        <f>CONCATENATE("54820066550")</f>
        <v>54820066550</v>
      </c>
      <c r="K789" s="3" t="s">
        <v>33</v>
      </c>
      <c r="L789" s="3"/>
      <c r="M789" s="3" t="s">
        <v>131</v>
      </c>
      <c r="N789" s="3" t="str">
        <f>CONCATENATE("RTNMRA63T71L103U")</f>
        <v>RTNMRA63T71L103U</v>
      </c>
      <c r="O789" s="3" t="s">
        <v>910</v>
      </c>
      <c r="P789" s="3" t="s">
        <v>36</v>
      </c>
      <c r="Q789" s="3"/>
      <c r="R789" s="4">
        <v>45996</v>
      </c>
      <c r="S789" s="3" t="s">
        <v>37</v>
      </c>
      <c r="T789" s="3" t="s">
        <v>38</v>
      </c>
      <c r="U789" s="3" t="s">
        <v>39</v>
      </c>
      <c r="V789" s="3">
        <v>178.47</v>
      </c>
      <c r="W789" s="3">
        <v>75.849999999999994</v>
      </c>
      <c r="X789" s="3">
        <v>71.83</v>
      </c>
      <c r="Y789" s="3">
        <v>30.79</v>
      </c>
    </row>
    <row r="790" spans="1:25" ht="60.75" x14ac:dyDescent="0.25">
      <c r="A790" s="3" t="s">
        <v>26</v>
      </c>
      <c r="B790" s="3" t="s">
        <v>27</v>
      </c>
      <c r="C790" s="3" t="s">
        <v>28</v>
      </c>
      <c r="D790" s="3" t="s">
        <v>29</v>
      </c>
      <c r="E790" s="3" t="s">
        <v>119</v>
      </c>
      <c r="F790" s="3" t="s">
        <v>31</v>
      </c>
      <c r="G790" s="3" t="s">
        <v>119</v>
      </c>
      <c r="H790" s="3" t="s">
        <v>96</v>
      </c>
      <c r="I790" s="3">
        <v>2025</v>
      </c>
      <c r="J790" s="3" t="str">
        <f>CONCATENATE("54820068713")</f>
        <v>54820068713</v>
      </c>
      <c r="K790" s="3" t="s">
        <v>33</v>
      </c>
      <c r="L790" s="3"/>
      <c r="M790" s="3" t="s">
        <v>131</v>
      </c>
      <c r="N790" s="3" t="str">
        <f>CONCATENATE("NGLRTI44C51D691P")</f>
        <v>NGLRTI44C51D691P</v>
      </c>
      <c r="O790" s="3" t="s">
        <v>911</v>
      </c>
      <c r="P790" s="3" t="s">
        <v>36</v>
      </c>
      <c r="Q790" s="3"/>
      <c r="R790" s="4">
        <v>45996</v>
      </c>
      <c r="S790" s="3" t="s">
        <v>37</v>
      </c>
      <c r="T790" s="3" t="s">
        <v>38</v>
      </c>
      <c r="U790" s="3" t="s">
        <v>39</v>
      </c>
      <c r="V790" s="3">
        <v>121.06</v>
      </c>
      <c r="W790" s="3">
        <v>51.45</v>
      </c>
      <c r="X790" s="3">
        <v>48.73</v>
      </c>
      <c r="Y790" s="3">
        <v>20.88</v>
      </c>
    </row>
    <row r="791" spans="1:25" ht="36.75" x14ac:dyDescent="0.25">
      <c r="A791" s="3" t="s">
        <v>26</v>
      </c>
      <c r="B791" s="3" t="s">
        <v>27</v>
      </c>
      <c r="C791" s="3" t="s">
        <v>28</v>
      </c>
      <c r="D791" s="3" t="s">
        <v>40</v>
      </c>
      <c r="E791" s="3" t="s">
        <v>44</v>
      </c>
      <c r="F791" s="3" t="s">
        <v>42</v>
      </c>
      <c r="G791" s="3" t="s">
        <v>44</v>
      </c>
      <c r="H791" s="3" t="s">
        <v>32</v>
      </c>
      <c r="I791" s="3">
        <v>2025</v>
      </c>
      <c r="J791" s="3" t="str">
        <f>CONCATENATE("54820115944")</f>
        <v>54820115944</v>
      </c>
      <c r="K791" s="3" t="s">
        <v>33</v>
      </c>
      <c r="L791" s="3"/>
      <c r="M791" s="3" t="s">
        <v>131</v>
      </c>
      <c r="N791" s="3" t="str">
        <f>CONCATENATE("01976250439")</f>
        <v>01976250439</v>
      </c>
      <c r="O791" s="3" t="s">
        <v>912</v>
      </c>
      <c r="P791" s="3" t="s">
        <v>36</v>
      </c>
      <c r="Q791" s="3"/>
      <c r="R791" s="4">
        <v>45996</v>
      </c>
      <c r="S791" s="3" t="s">
        <v>37</v>
      </c>
      <c r="T791" s="3" t="s">
        <v>38</v>
      </c>
      <c r="U791" s="3" t="s">
        <v>39</v>
      </c>
      <c r="V791" s="3">
        <v>149.55000000000001</v>
      </c>
      <c r="W791" s="3">
        <v>63.56</v>
      </c>
      <c r="X791" s="3">
        <v>60.19</v>
      </c>
      <c r="Y791" s="3">
        <v>25.8</v>
      </c>
    </row>
    <row r="792" spans="1:25" ht="60.75" x14ac:dyDescent="0.25">
      <c r="A792" s="3" t="s">
        <v>26</v>
      </c>
      <c r="B792" s="3" t="s">
        <v>27</v>
      </c>
      <c r="C792" s="3" t="s">
        <v>28</v>
      </c>
      <c r="D792" s="3" t="s">
        <v>29</v>
      </c>
      <c r="E792" s="3" t="s">
        <v>136</v>
      </c>
      <c r="F792" s="3" t="s">
        <v>31</v>
      </c>
      <c r="G792" s="3" t="s">
        <v>136</v>
      </c>
      <c r="H792" s="3" t="s">
        <v>48</v>
      </c>
      <c r="I792" s="3">
        <v>2025</v>
      </c>
      <c r="J792" s="3" t="str">
        <f>CONCATENATE("54820127477")</f>
        <v>54820127477</v>
      </c>
      <c r="K792" s="3" t="s">
        <v>33</v>
      </c>
      <c r="L792" s="3"/>
      <c r="M792" s="3" t="s">
        <v>131</v>
      </c>
      <c r="N792" s="3" t="str">
        <f>CONCATENATE("GVGSMN03C05D451J")</f>
        <v>GVGSMN03C05D451J</v>
      </c>
      <c r="O792" s="3" t="s">
        <v>913</v>
      </c>
      <c r="P792" s="3" t="s">
        <v>36</v>
      </c>
      <c r="Q792" s="3"/>
      <c r="R792" s="4">
        <v>45996</v>
      </c>
      <c r="S792" s="3" t="s">
        <v>37</v>
      </c>
      <c r="T792" s="3" t="s">
        <v>38</v>
      </c>
      <c r="U792" s="3" t="s">
        <v>39</v>
      </c>
      <c r="V792" s="3">
        <v>359.24</v>
      </c>
      <c r="W792" s="3">
        <v>152.68</v>
      </c>
      <c r="X792" s="3">
        <v>144.59</v>
      </c>
      <c r="Y792" s="3">
        <v>61.97</v>
      </c>
    </row>
    <row r="793" spans="1:25" ht="60.75" x14ac:dyDescent="0.25">
      <c r="A793" s="3" t="s">
        <v>26</v>
      </c>
      <c r="B793" s="3" t="s">
        <v>27</v>
      </c>
      <c r="C793" s="3" t="s">
        <v>28</v>
      </c>
      <c r="D793" s="3" t="s">
        <v>29</v>
      </c>
      <c r="E793" s="3" t="s">
        <v>119</v>
      </c>
      <c r="F793" s="3" t="s">
        <v>31</v>
      </c>
      <c r="G793" s="3" t="s">
        <v>119</v>
      </c>
      <c r="H793" s="3" t="s">
        <v>96</v>
      </c>
      <c r="I793" s="3">
        <v>2025</v>
      </c>
      <c r="J793" s="3" t="str">
        <f>CONCATENATE("54820032909")</f>
        <v>54820032909</v>
      </c>
      <c r="K793" s="3" t="s">
        <v>33</v>
      </c>
      <c r="L793" s="3"/>
      <c r="M793" s="3" t="s">
        <v>131</v>
      </c>
      <c r="N793" s="3" t="str">
        <f>CONCATENATE("MSSFNC57C15A252Z")</f>
        <v>MSSFNC57C15A252Z</v>
      </c>
      <c r="O793" s="3" t="s">
        <v>914</v>
      </c>
      <c r="P793" s="3" t="s">
        <v>36</v>
      </c>
      <c r="Q793" s="3"/>
      <c r="R793" s="4">
        <v>45996</v>
      </c>
      <c r="S793" s="3" t="s">
        <v>37</v>
      </c>
      <c r="T793" s="3" t="s">
        <v>38</v>
      </c>
      <c r="U793" s="3" t="s">
        <v>39</v>
      </c>
      <c r="V793" s="3">
        <v>79.42</v>
      </c>
      <c r="W793" s="3">
        <v>33.75</v>
      </c>
      <c r="X793" s="3">
        <v>31.97</v>
      </c>
      <c r="Y793" s="3">
        <v>13.7</v>
      </c>
    </row>
    <row r="794" spans="1:25" ht="60.75" x14ac:dyDescent="0.25">
      <c r="A794" s="3" t="s">
        <v>26</v>
      </c>
      <c r="B794" s="3" t="s">
        <v>27</v>
      </c>
      <c r="C794" s="3" t="s">
        <v>28</v>
      </c>
      <c r="D794" s="3" t="s">
        <v>50</v>
      </c>
      <c r="E794" s="3" t="s">
        <v>51</v>
      </c>
      <c r="F794" s="3" t="s">
        <v>52</v>
      </c>
      <c r="G794" s="3" t="s">
        <v>51</v>
      </c>
      <c r="H794" s="3" t="s">
        <v>48</v>
      </c>
      <c r="I794" s="3">
        <v>2025</v>
      </c>
      <c r="J794" s="3" t="str">
        <f>CONCATENATE("54820143904")</f>
        <v>54820143904</v>
      </c>
      <c r="K794" s="3" t="s">
        <v>33</v>
      </c>
      <c r="L794" s="3"/>
      <c r="M794" s="3" t="s">
        <v>131</v>
      </c>
      <c r="N794" s="3" t="str">
        <f>CONCATENATE("MRSPRZ64S49F581V")</f>
        <v>MRSPRZ64S49F581V</v>
      </c>
      <c r="O794" s="3" t="s">
        <v>915</v>
      </c>
      <c r="P794" s="3" t="s">
        <v>36</v>
      </c>
      <c r="Q794" s="3"/>
      <c r="R794" s="4">
        <v>45996</v>
      </c>
      <c r="S794" s="3" t="s">
        <v>37</v>
      </c>
      <c r="T794" s="3" t="s">
        <v>38</v>
      </c>
      <c r="U794" s="3" t="s">
        <v>39</v>
      </c>
      <c r="V794" s="3">
        <v>61.49</v>
      </c>
      <c r="W794" s="3">
        <v>26.13</v>
      </c>
      <c r="X794" s="3">
        <v>24.75</v>
      </c>
      <c r="Y794" s="3">
        <v>10.61</v>
      </c>
    </row>
    <row r="795" spans="1:25" ht="60.75" x14ac:dyDescent="0.25">
      <c r="A795" s="3" t="s">
        <v>26</v>
      </c>
      <c r="B795" s="3" t="s">
        <v>27</v>
      </c>
      <c r="C795" s="3" t="s">
        <v>28</v>
      </c>
      <c r="D795" s="3" t="s">
        <v>916</v>
      </c>
      <c r="E795" s="3" t="s">
        <v>917</v>
      </c>
      <c r="F795" s="3" t="s">
        <v>918</v>
      </c>
      <c r="G795" s="3" t="s">
        <v>917</v>
      </c>
      <c r="H795" s="3" t="s">
        <v>96</v>
      </c>
      <c r="I795" s="3">
        <v>2025</v>
      </c>
      <c r="J795" s="3" t="str">
        <f>CONCATENATE("54820238720")</f>
        <v>54820238720</v>
      </c>
      <c r="K795" s="3" t="s">
        <v>33</v>
      </c>
      <c r="L795" s="3"/>
      <c r="M795" s="3" t="s">
        <v>131</v>
      </c>
      <c r="N795" s="3" t="str">
        <f>CONCATENATE("MRLGNN90A23A462Z")</f>
        <v>MRLGNN90A23A462Z</v>
      </c>
      <c r="O795" s="3" t="s">
        <v>919</v>
      </c>
      <c r="P795" s="3" t="s">
        <v>36</v>
      </c>
      <c r="Q795" s="3"/>
      <c r="R795" s="4">
        <v>45996</v>
      </c>
      <c r="S795" s="3" t="s">
        <v>37</v>
      </c>
      <c r="T795" s="3" t="s">
        <v>38</v>
      </c>
      <c r="U795" s="3" t="s">
        <v>39</v>
      </c>
      <c r="V795" s="3">
        <v>395.61</v>
      </c>
      <c r="W795" s="3">
        <v>168.13</v>
      </c>
      <c r="X795" s="3">
        <v>159.22999999999999</v>
      </c>
      <c r="Y795" s="3">
        <v>68.25</v>
      </c>
    </row>
    <row r="796" spans="1:25" ht="60.75" x14ac:dyDescent="0.25">
      <c r="A796" s="3" t="s">
        <v>26</v>
      </c>
      <c r="B796" s="3" t="s">
        <v>27</v>
      </c>
      <c r="C796" s="3" t="s">
        <v>28</v>
      </c>
      <c r="D796" s="3" t="s">
        <v>29</v>
      </c>
      <c r="E796" s="3" t="s">
        <v>233</v>
      </c>
      <c r="F796" s="3" t="s">
        <v>31</v>
      </c>
      <c r="G796" s="3" t="s">
        <v>233</v>
      </c>
      <c r="H796" s="3" t="s">
        <v>96</v>
      </c>
      <c r="I796" s="3">
        <v>2025</v>
      </c>
      <c r="J796" s="3" t="str">
        <f>CONCATENATE("54820062658")</f>
        <v>54820062658</v>
      </c>
      <c r="K796" s="3" t="s">
        <v>33</v>
      </c>
      <c r="L796" s="3"/>
      <c r="M796" s="3" t="s">
        <v>131</v>
      </c>
      <c r="N796" s="3" t="str">
        <f>CONCATENATE("MRCLSS96M20A462T")</f>
        <v>MRCLSS96M20A462T</v>
      </c>
      <c r="O796" s="3" t="s">
        <v>920</v>
      </c>
      <c r="P796" s="3" t="s">
        <v>36</v>
      </c>
      <c r="Q796" s="3"/>
      <c r="R796" s="4">
        <v>45996</v>
      </c>
      <c r="S796" s="3" t="s">
        <v>37</v>
      </c>
      <c r="T796" s="3" t="s">
        <v>38</v>
      </c>
      <c r="U796" s="3" t="s">
        <v>39</v>
      </c>
      <c r="V796" s="3">
        <v>166.33</v>
      </c>
      <c r="W796" s="3">
        <v>70.69</v>
      </c>
      <c r="X796" s="3">
        <v>66.95</v>
      </c>
      <c r="Y796" s="3">
        <v>28.69</v>
      </c>
    </row>
    <row r="797" spans="1:25" ht="60.75" x14ac:dyDescent="0.25">
      <c r="A797" s="3" t="s">
        <v>26</v>
      </c>
      <c r="B797" s="3" t="s">
        <v>27</v>
      </c>
      <c r="C797" s="3" t="s">
        <v>28</v>
      </c>
      <c r="D797" s="3" t="s">
        <v>29</v>
      </c>
      <c r="E797" s="3" t="s">
        <v>56</v>
      </c>
      <c r="F797" s="3" t="s">
        <v>31</v>
      </c>
      <c r="G797" s="3" t="s">
        <v>56</v>
      </c>
      <c r="H797" s="3" t="s">
        <v>32</v>
      </c>
      <c r="I797" s="3">
        <v>2025</v>
      </c>
      <c r="J797" s="3" t="str">
        <f>CONCATENATE("54820115217")</f>
        <v>54820115217</v>
      </c>
      <c r="K797" s="3" t="s">
        <v>33</v>
      </c>
      <c r="L797" s="3"/>
      <c r="M797" s="3" t="s">
        <v>131</v>
      </c>
      <c r="N797" s="3" t="str">
        <f>CONCATENATE("NRCPLA50M04B474X")</f>
        <v>NRCPLA50M04B474X</v>
      </c>
      <c r="O797" s="3" t="s">
        <v>921</v>
      </c>
      <c r="P797" s="3" t="s">
        <v>36</v>
      </c>
      <c r="Q797" s="3"/>
      <c r="R797" s="4">
        <v>45996</v>
      </c>
      <c r="S797" s="3" t="s">
        <v>37</v>
      </c>
      <c r="T797" s="3" t="s">
        <v>38</v>
      </c>
      <c r="U797" s="3" t="s">
        <v>39</v>
      </c>
      <c r="V797" s="3">
        <v>168.18</v>
      </c>
      <c r="W797" s="3">
        <v>71.48</v>
      </c>
      <c r="X797" s="3">
        <v>67.69</v>
      </c>
      <c r="Y797" s="3">
        <v>29.01</v>
      </c>
    </row>
    <row r="798" spans="1:25" ht="60.75" x14ac:dyDescent="0.25">
      <c r="A798" s="3" t="s">
        <v>26</v>
      </c>
      <c r="B798" s="3" t="s">
        <v>27</v>
      </c>
      <c r="C798" s="3" t="s">
        <v>28</v>
      </c>
      <c r="D798" s="3" t="s">
        <v>29</v>
      </c>
      <c r="E798" s="3" t="s">
        <v>47</v>
      </c>
      <c r="F798" s="3" t="s">
        <v>31</v>
      </c>
      <c r="G798" s="3" t="s">
        <v>47</v>
      </c>
      <c r="H798" s="3" t="s">
        <v>48</v>
      </c>
      <c r="I798" s="3">
        <v>2025</v>
      </c>
      <c r="J798" s="3" t="str">
        <f>CONCATENATE("54820146634")</f>
        <v>54820146634</v>
      </c>
      <c r="K798" s="3" t="s">
        <v>33</v>
      </c>
      <c r="L798" s="3"/>
      <c r="M798" s="3" t="s">
        <v>131</v>
      </c>
      <c r="N798" s="3" t="str">
        <f>CONCATENATE("GLDNZE58H26D451P")</f>
        <v>GLDNZE58H26D451P</v>
      </c>
      <c r="O798" s="3" t="s">
        <v>922</v>
      </c>
      <c r="P798" s="3" t="s">
        <v>36</v>
      </c>
      <c r="Q798" s="3"/>
      <c r="R798" s="4">
        <v>45996</v>
      </c>
      <c r="S798" s="3" t="s">
        <v>37</v>
      </c>
      <c r="T798" s="3" t="s">
        <v>38</v>
      </c>
      <c r="U798" s="3" t="s">
        <v>39</v>
      </c>
      <c r="V798" s="3">
        <v>58.08</v>
      </c>
      <c r="W798" s="3">
        <v>24.68</v>
      </c>
      <c r="X798" s="3">
        <v>23.38</v>
      </c>
      <c r="Y798" s="3">
        <v>10.02</v>
      </c>
    </row>
    <row r="799" spans="1:25" ht="60.75" x14ac:dyDescent="0.25">
      <c r="A799" s="3" t="s">
        <v>26</v>
      </c>
      <c r="B799" s="3" t="s">
        <v>27</v>
      </c>
      <c r="C799" s="3" t="s">
        <v>28</v>
      </c>
      <c r="D799" s="3" t="s">
        <v>29</v>
      </c>
      <c r="E799" s="3" t="s">
        <v>72</v>
      </c>
      <c r="F799" s="3" t="s">
        <v>31</v>
      </c>
      <c r="G799" s="3" t="s">
        <v>72</v>
      </c>
      <c r="H799" s="3" t="s">
        <v>45</v>
      </c>
      <c r="I799" s="3">
        <v>2025</v>
      </c>
      <c r="J799" s="3" t="str">
        <f>CONCATENATE("54820200316")</f>
        <v>54820200316</v>
      </c>
      <c r="K799" s="3" t="s">
        <v>33</v>
      </c>
      <c r="L799" s="3"/>
      <c r="M799" s="3" t="s">
        <v>131</v>
      </c>
      <c r="N799" s="3" t="str">
        <f>CONCATENATE("DRNSLA98D20L500A")</f>
        <v>DRNSLA98D20L500A</v>
      </c>
      <c r="O799" s="3" t="s">
        <v>923</v>
      </c>
      <c r="P799" s="3" t="s">
        <v>36</v>
      </c>
      <c r="Q799" s="3"/>
      <c r="R799" s="4">
        <v>45996</v>
      </c>
      <c r="S799" s="3" t="s">
        <v>37</v>
      </c>
      <c r="T799" s="3" t="s">
        <v>38</v>
      </c>
      <c r="U799" s="3" t="s">
        <v>39</v>
      </c>
      <c r="V799" s="3">
        <v>230.77</v>
      </c>
      <c r="W799" s="3">
        <v>98.08</v>
      </c>
      <c r="X799" s="3">
        <v>92.88</v>
      </c>
      <c r="Y799" s="3">
        <v>39.81</v>
      </c>
    </row>
    <row r="800" spans="1:25" ht="60.75" x14ac:dyDescent="0.25">
      <c r="A800" s="3" t="s">
        <v>26</v>
      </c>
      <c r="B800" s="3" t="s">
        <v>27</v>
      </c>
      <c r="C800" s="3" t="s">
        <v>28</v>
      </c>
      <c r="D800" s="3" t="s">
        <v>29</v>
      </c>
      <c r="E800" s="3" t="s">
        <v>182</v>
      </c>
      <c r="F800" s="3" t="s">
        <v>31</v>
      </c>
      <c r="G800" s="3" t="s">
        <v>182</v>
      </c>
      <c r="H800" s="3" t="s">
        <v>45</v>
      </c>
      <c r="I800" s="3">
        <v>2025</v>
      </c>
      <c r="J800" s="3" t="str">
        <f>CONCATENATE("54820079611")</f>
        <v>54820079611</v>
      </c>
      <c r="K800" s="3" t="s">
        <v>33</v>
      </c>
      <c r="L800" s="3"/>
      <c r="M800" s="3" t="s">
        <v>131</v>
      </c>
      <c r="N800" s="3" t="str">
        <f>CONCATENATE("TBRSMN03L22L500I")</f>
        <v>TBRSMN03L22L500I</v>
      </c>
      <c r="O800" s="3" t="s">
        <v>924</v>
      </c>
      <c r="P800" s="3" t="s">
        <v>36</v>
      </c>
      <c r="Q800" s="3"/>
      <c r="R800" s="4">
        <v>45996</v>
      </c>
      <c r="S800" s="3" t="s">
        <v>37</v>
      </c>
      <c r="T800" s="3" t="s">
        <v>38</v>
      </c>
      <c r="U800" s="3" t="s">
        <v>39</v>
      </c>
      <c r="V800" s="3">
        <v>331.25</v>
      </c>
      <c r="W800" s="3">
        <v>140.78</v>
      </c>
      <c r="X800" s="3">
        <v>133.33000000000001</v>
      </c>
      <c r="Y800" s="3">
        <v>57.14</v>
      </c>
    </row>
    <row r="801" spans="1:25" ht="60.75" x14ac:dyDescent="0.25">
      <c r="A801" s="3" t="s">
        <v>26</v>
      </c>
      <c r="B801" s="3" t="s">
        <v>27</v>
      </c>
      <c r="C801" s="3" t="s">
        <v>28</v>
      </c>
      <c r="D801" s="3" t="s">
        <v>29</v>
      </c>
      <c r="E801" s="3" t="s">
        <v>136</v>
      </c>
      <c r="F801" s="3" t="s">
        <v>31</v>
      </c>
      <c r="G801" s="3" t="s">
        <v>136</v>
      </c>
      <c r="H801" s="3" t="s">
        <v>48</v>
      </c>
      <c r="I801" s="3">
        <v>2025</v>
      </c>
      <c r="J801" s="3" t="str">
        <f>CONCATENATE("54820110804")</f>
        <v>54820110804</v>
      </c>
      <c r="K801" s="3" t="s">
        <v>33</v>
      </c>
      <c r="L801" s="3"/>
      <c r="M801" s="3" t="s">
        <v>131</v>
      </c>
      <c r="N801" s="3" t="str">
        <f>CONCATENATE("BRNSTR54E47I461A")</f>
        <v>BRNSTR54E47I461A</v>
      </c>
      <c r="O801" s="3" t="s">
        <v>925</v>
      </c>
      <c r="P801" s="3" t="s">
        <v>36</v>
      </c>
      <c r="Q801" s="3"/>
      <c r="R801" s="4">
        <v>45996</v>
      </c>
      <c r="S801" s="3" t="s">
        <v>37</v>
      </c>
      <c r="T801" s="3" t="s">
        <v>38</v>
      </c>
      <c r="U801" s="3" t="s">
        <v>39</v>
      </c>
      <c r="V801" s="3">
        <v>148.83000000000001</v>
      </c>
      <c r="W801" s="3">
        <v>63.25</v>
      </c>
      <c r="X801" s="3">
        <v>59.9</v>
      </c>
      <c r="Y801" s="3">
        <v>25.68</v>
      </c>
    </row>
    <row r="802" spans="1:25" ht="60.75" x14ac:dyDescent="0.25">
      <c r="A802" s="3" t="s">
        <v>26</v>
      </c>
      <c r="B802" s="3" t="s">
        <v>27</v>
      </c>
      <c r="C802" s="3" t="s">
        <v>28</v>
      </c>
      <c r="D802" s="3" t="s">
        <v>29</v>
      </c>
      <c r="E802" s="3" t="s">
        <v>56</v>
      </c>
      <c r="F802" s="3" t="s">
        <v>31</v>
      </c>
      <c r="G802" s="3" t="s">
        <v>56</v>
      </c>
      <c r="H802" s="3" t="s">
        <v>32</v>
      </c>
      <c r="I802" s="3">
        <v>2025</v>
      </c>
      <c r="J802" s="3" t="str">
        <f>CONCATENATE("54820091269")</f>
        <v>54820091269</v>
      </c>
      <c r="K802" s="3" t="s">
        <v>33</v>
      </c>
      <c r="L802" s="3"/>
      <c r="M802" s="3" t="s">
        <v>131</v>
      </c>
      <c r="N802" s="3" t="str">
        <f>CONCATENATE("LBRLSS92P06B474R")</f>
        <v>LBRLSS92P06B474R</v>
      </c>
      <c r="O802" s="3" t="s">
        <v>926</v>
      </c>
      <c r="P802" s="3" t="s">
        <v>36</v>
      </c>
      <c r="Q802" s="3"/>
      <c r="R802" s="4">
        <v>45996</v>
      </c>
      <c r="S802" s="3" t="s">
        <v>37</v>
      </c>
      <c r="T802" s="3" t="s">
        <v>38</v>
      </c>
      <c r="U802" s="3" t="s">
        <v>39</v>
      </c>
      <c r="V802" s="3">
        <v>538.04999999999995</v>
      </c>
      <c r="W802" s="3">
        <v>228.67</v>
      </c>
      <c r="X802" s="3">
        <v>216.57</v>
      </c>
      <c r="Y802" s="3">
        <v>92.81</v>
      </c>
    </row>
    <row r="803" spans="1:25" ht="60.75" x14ac:dyDescent="0.25">
      <c r="A803" s="3" t="s">
        <v>26</v>
      </c>
      <c r="B803" s="3" t="s">
        <v>27</v>
      </c>
      <c r="C803" s="3" t="s">
        <v>28</v>
      </c>
      <c r="D803" s="3" t="s">
        <v>50</v>
      </c>
      <c r="E803" s="3" t="s">
        <v>60</v>
      </c>
      <c r="F803" s="3" t="s">
        <v>52</v>
      </c>
      <c r="G803" s="3" t="s">
        <v>60</v>
      </c>
      <c r="H803" s="3" t="s">
        <v>45</v>
      </c>
      <c r="I803" s="3">
        <v>2025</v>
      </c>
      <c r="J803" s="3" t="str">
        <f>CONCATENATE("54820110184")</f>
        <v>54820110184</v>
      </c>
      <c r="K803" s="3" t="s">
        <v>33</v>
      </c>
      <c r="L803" s="3"/>
      <c r="M803" s="3" t="s">
        <v>131</v>
      </c>
      <c r="N803" s="3" t="str">
        <f>CONCATENATE("FRNLLN50M59G453G")</f>
        <v>FRNLLN50M59G453G</v>
      </c>
      <c r="O803" s="3" t="s">
        <v>927</v>
      </c>
      <c r="P803" s="3" t="s">
        <v>36</v>
      </c>
      <c r="Q803" s="3"/>
      <c r="R803" s="4">
        <v>45996</v>
      </c>
      <c r="S803" s="3" t="s">
        <v>37</v>
      </c>
      <c r="T803" s="3" t="s">
        <v>38</v>
      </c>
      <c r="U803" s="3" t="s">
        <v>39</v>
      </c>
      <c r="V803" s="3">
        <v>115.69</v>
      </c>
      <c r="W803" s="3">
        <v>49.17</v>
      </c>
      <c r="X803" s="3">
        <v>46.57</v>
      </c>
      <c r="Y803" s="3">
        <v>19.95</v>
      </c>
    </row>
    <row r="804" spans="1:25" ht="60.75" x14ac:dyDescent="0.25">
      <c r="A804" s="3" t="s">
        <v>26</v>
      </c>
      <c r="B804" s="3" t="s">
        <v>27</v>
      </c>
      <c r="C804" s="3" t="s">
        <v>28</v>
      </c>
      <c r="D804" s="3" t="s">
        <v>50</v>
      </c>
      <c r="E804" s="3" t="s">
        <v>60</v>
      </c>
      <c r="F804" s="3" t="s">
        <v>52</v>
      </c>
      <c r="G804" s="3" t="s">
        <v>60</v>
      </c>
      <c r="H804" s="3" t="s">
        <v>45</v>
      </c>
      <c r="I804" s="3">
        <v>2025</v>
      </c>
      <c r="J804" s="3" t="str">
        <f>CONCATENATE("54820110101")</f>
        <v>54820110101</v>
      </c>
      <c r="K804" s="3" t="s">
        <v>33</v>
      </c>
      <c r="L804" s="3"/>
      <c r="M804" s="3" t="s">
        <v>131</v>
      </c>
      <c r="N804" s="3" t="str">
        <f>CONCATENATE("CSTMLE50L26B636V")</f>
        <v>CSTMLE50L26B636V</v>
      </c>
      <c r="O804" s="3" t="s">
        <v>928</v>
      </c>
      <c r="P804" s="3" t="s">
        <v>36</v>
      </c>
      <c r="Q804" s="3"/>
      <c r="R804" s="4">
        <v>45996</v>
      </c>
      <c r="S804" s="3" t="s">
        <v>37</v>
      </c>
      <c r="T804" s="3" t="s">
        <v>38</v>
      </c>
      <c r="U804" s="3" t="s">
        <v>39</v>
      </c>
      <c r="V804" s="3">
        <v>233.25</v>
      </c>
      <c r="W804" s="3">
        <v>99.13</v>
      </c>
      <c r="X804" s="3">
        <v>93.88</v>
      </c>
      <c r="Y804" s="3">
        <v>40.24</v>
      </c>
    </row>
    <row r="805" spans="1:25" ht="60.75" x14ac:dyDescent="0.25">
      <c r="A805" s="3" t="s">
        <v>26</v>
      </c>
      <c r="B805" s="3" t="s">
        <v>27</v>
      </c>
      <c r="C805" s="3" t="s">
        <v>28</v>
      </c>
      <c r="D805" s="3" t="s">
        <v>29</v>
      </c>
      <c r="E805" s="3" t="s">
        <v>228</v>
      </c>
      <c r="F805" s="3" t="s">
        <v>31</v>
      </c>
      <c r="G805" s="3" t="s">
        <v>228</v>
      </c>
      <c r="H805" s="3" t="s">
        <v>45</v>
      </c>
      <c r="I805" s="3">
        <v>2025</v>
      </c>
      <c r="J805" s="3" t="str">
        <f>CONCATENATE("54820142872")</f>
        <v>54820142872</v>
      </c>
      <c r="K805" s="3" t="s">
        <v>33</v>
      </c>
      <c r="L805" s="3"/>
      <c r="M805" s="3" t="s">
        <v>131</v>
      </c>
      <c r="N805" s="3" t="str">
        <f>CONCATENATE("LSIRGA38L09F497X")</f>
        <v>LSIRGA38L09F497X</v>
      </c>
      <c r="O805" s="3" t="s">
        <v>929</v>
      </c>
      <c r="P805" s="3" t="s">
        <v>36</v>
      </c>
      <c r="Q805" s="3"/>
      <c r="R805" s="4">
        <v>45996</v>
      </c>
      <c r="S805" s="3" t="s">
        <v>37</v>
      </c>
      <c r="T805" s="3" t="s">
        <v>38</v>
      </c>
      <c r="U805" s="3" t="s">
        <v>39</v>
      </c>
      <c r="V805" s="3">
        <v>627.27</v>
      </c>
      <c r="W805" s="3">
        <v>266.58999999999997</v>
      </c>
      <c r="X805" s="3">
        <v>252.48</v>
      </c>
      <c r="Y805" s="3">
        <v>108.2</v>
      </c>
    </row>
    <row r="806" spans="1:25" ht="60.75" x14ac:dyDescent="0.25">
      <c r="A806" s="3" t="s">
        <v>26</v>
      </c>
      <c r="B806" s="3" t="s">
        <v>27</v>
      </c>
      <c r="C806" s="3" t="s">
        <v>28</v>
      </c>
      <c r="D806" s="3" t="s">
        <v>29</v>
      </c>
      <c r="E806" s="3" t="s">
        <v>341</v>
      </c>
      <c r="F806" s="3" t="s">
        <v>31</v>
      </c>
      <c r="G806" s="3" t="s">
        <v>341</v>
      </c>
      <c r="H806" s="3" t="s">
        <v>45</v>
      </c>
      <c r="I806" s="3">
        <v>2025</v>
      </c>
      <c r="J806" s="3" t="str">
        <f>CONCATENATE("54820121280")</f>
        <v>54820121280</v>
      </c>
      <c r="K806" s="3" t="s">
        <v>33</v>
      </c>
      <c r="L806" s="3"/>
      <c r="M806" s="3" t="s">
        <v>131</v>
      </c>
      <c r="N806" s="3" t="str">
        <f>CONCATENATE("MRCSMN71P15G479L")</f>
        <v>MRCSMN71P15G479L</v>
      </c>
      <c r="O806" s="3" t="s">
        <v>930</v>
      </c>
      <c r="P806" s="3" t="s">
        <v>36</v>
      </c>
      <c r="Q806" s="3"/>
      <c r="R806" s="4">
        <v>45996</v>
      </c>
      <c r="S806" s="3" t="s">
        <v>37</v>
      </c>
      <c r="T806" s="3" t="s">
        <v>38</v>
      </c>
      <c r="U806" s="3" t="s">
        <v>39</v>
      </c>
      <c r="V806" s="3">
        <v>585.45000000000005</v>
      </c>
      <c r="W806" s="3">
        <v>248.82</v>
      </c>
      <c r="X806" s="3">
        <v>235.64</v>
      </c>
      <c r="Y806" s="3">
        <v>100.99</v>
      </c>
    </row>
    <row r="807" spans="1:25" ht="72.75" x14ac:dyDescent="0.25">
      <c r="A807" s="3" t="s">
        <v>26</v>
      </c>
      <c r="B807" s="3" t="s">
        <v>27</v>
      </c>
      <c r="C807" s="3" t="s">
        <v>28</v>
      </c>
      <c r="D807" s="3" t="s">
        <v>50</v>
      </c>
      <c r="E807" s="3" t="s">
        <v>60</v>
      </c>
      <c r="F807" s="3" t="s">
        <v>52</v>
      </c>
      <c r="G807" s="3" t="s">
        <v>60</v>
      </c>
      <c r="H807" s="3" t="s">
        <v>45</v>
      </c>
      <c r="I807" s="3">
        <v>2025</v>
      </c>
      <c r="J807" s="3" t="str">
        <f>CONCATENATE("54820166046")</f>
        <v>54820166046</v>
      </c>
      <c r="K807" s="3" t="s">
        <v>33</v>
      </c>
      <c r="L807" s="3"/>
      <c r="M807" s="3" t="s">
        <v>131</v>
      </c>
      <c r="N807" s="3" t="str">
        <f>CONCATENATE("SCNMSM59H19D808Q")</f>
        <v>SCNMSM59H19D808Q</v>
      </c>
      <c r="O807" s="3" t="s">
        <v>931</v>
      </c>
      <c r="P807" s="3" t="s">
        <v>36</v>
      </c>
      <c r="Q807" s="3"/>
      <c r="R807" s="4">
        <v>45996</v>
      </c>
      <c r="S807" s="3" t="s">
        <v>37</v>
      </c>
      <c r="T807" s="3" t="s">
        <v>38</v>
      </c>
      <c r="U807" s="3" t="s">
        <v>39</v>
      </c>
      <c r="V807" s="3">
        <v>507.65</v>
      </c>
      <c r="W807" s="3">
        <v>215.75</v>
      </c>
      <c r="X807" s="3">
        <v>204.33</v>
      </c>
      <c r="Y807" s="3">
        <v>87.57</v>
      </c>
    </row>
    <row r="808" spans="1:25" ht="36.75" x14ac:dyDescent="0.25">
      <c r="A808" s="3" t="s">
        <v>26</v>
      </c>
      <c r="B808" s="3" t="s">
        <v>27</v>
      </c>
      <c r="C808" s="3" t="s">
        <v>28</v>
      </c>
      <c r="D808" s="3" t="s">
        <v>50</v>
      </c>
      <c r="E808" s="3" t="s">
        <v>51</v>
      </c>
      <c r="F808" s="3" t="s">
        <v>52</v>
      </c>
      <c r="G808" s="3" t="s">
        <v>51</v>
      </c>
      <c r="H808" s="3" t="s">
        <v>48</v>
      </c>
      <c r="I808" s="3">
        <v>2025</v>
      </c>
      <c r="J808" s="3" t="str">
        <f>CONCATENATE("54820182274")</f>
        <v>54820182274</v>
      </c>
      <c r="K808" s="3" t="s">
        <v>33</v>
      </c>
      <c r="L808" s="3"/>
      <c r="M808" s="3" t="s">
        <v>131</v>
      </c>
      <c r="N808" s="3" t="str">
        <f>CONCATENATE("13698851006")</f>
        <v>13698851006</v>
      </c>
      <c r="O808" s="3" t="s">
        <v>932</v>
      </c>
      <c r="P808" s="3" t="s">
        <v>36</v>
      </c>
      <c r="Q808" s="3"/>
      <c r="R808" s="4">
        <v>45996</v>
      </c>
      <c r="S808" s="3" t="s">
        <v>37</v>
      </c>
      <c r="T808" s="3" t="s">
        <v>38</v>
      </c>
      <c r="U808" s="3" t="s">
        <v>39</v>
      </c>
      <c r="V808" s="3">
        <v>103.5</v>
      </c>
      <c r="W808" s="3">
        <v>43.99</v>
      </c>
      <c r="X808" s="3">
        <v>41.66</v>
      </c>
      <c r="Y808" s="3">
        <v>17.850000000000001</v>
      </c>
    </row>
    <row r="809" spans="1:25" ht="60.75" x14ac:dyDescent="0.25">
      <c r="A809" s="3" t="s">
        <v>26</v>
      </c>
      <c r="B809" s="3" t="s">
        <v>27</v>
      </c>
      <c r="C809" s="3" t="s">
        <v>28</v>
      </c>
      <c r="D809" s="3" t="s">
        <v>29</v>
      </c>
      <c r="E809" s="3" t="s">
        <v>47</v>
      </c>
      <c r="F809" s="3" t="s">
        <v>31</v>
      </c>
      <c r="G809" s="3" t="s">
        <v>47</v>
      </c>
      <c r="H809" s="3" t="s">
        <v>48</v>
      </c>
      <c r="I809" s="3">
        <v>2025</v>
      </c>
      <c r="J809" s="3" t="str">
        <f>CONCATENATE("54820195813")</f>
        <v>54820195813</v>
      </c>
      <c r="K809" s="3" t="s">
        <v>33</v>
      </c>
      <c r="L809" s="3"/>
      <c r="M809" s="3" t="s">
        <v>131</v>
      </c>
      <c r="N809" s="3" t="str">
        <f>CONCATENATE("GDRPRI54M28E783T")</f>
        <v>GDRPRI54M28E783T</v>
      </c>
      <c r="O809" s="3" t="s">
        <v>933</v>
      </c>
      <c r="P809" s="3" t="s">
        <v>36</v>
      </c>
      <c r="Q809" s="3"/>
      <c r="R809" s="4">
        <v>45996</v>
      </c>
      <c r="S809" s="3" t="s">
        <v>37</v>
      </c>
      <c r="T809" s="3" t="s">
        <v>38</v>
      </c>
      <c r="U809" s="3" t="s">
        <v>39</v>
      </c>
      <c r="V809" s="3">
        <v>417.99</v>
      </c>
      <c r="W809" s="3">
        <v>177.65</v>
      </c>
      <c r="X809" s="3">
        <v>168.24</v>
      </c>
      <c r="Y809" s="3">
        <v>72.099999999999994</v>
      </c>
    </row>
    <row r="810" spans="1:25" ht="60.75" x14ac:dyDescent="0.25">
      <c r="A810" s="3" t="s">
        <v>26</v>
      </c>
      <c r="B810" s="3" t="s">
        <v>27</v>
      </c>
      <c r="C810" s="3" t="s">
        <v>28</v>
      </c>
      <c r="D810" s="3" t="s">
        <v>29</v>
      </c>
      <c r="E810" s="3" t="s">
        <v>47</v>
      </c>
      <c r="F810" s="3" t="s">
        <v>31</v>
      </c>
      <c r="G810" s="3" t="s">
        <v>47</v>
      </c>
      <c r="H810" s="3" t="s">
        <v>48</v>
      </c>
      <c r="I810" s="3">
        <v>2025</v>
      </c>
      <c r="J810" s="3" t="str">
        <f>CONCATENATE("54820165998")</f>
        <v>54820165998</v>
      </c>
      <c r="K810" s="3" t="s">
        <v>33</v>
      </c>
      <c r="L810" s="3"/>
      <c r="M810" s="3" t="s">
        <v>131</v>
      </c>
      <c r="N810" s="3" t="str">
        <f>CONCATENATE("NTNFNC52H20D451I")</f>
        <v>NTNFNC52H20D451I</v>
      </c>
      <c r="O810" s="3" t="s">
        <v>934</v>
      </c>
      <c r="P810" s="3" t="s">
        <v>36</v>
      </c>
      <c r="Q810" s="3"/>
      <c r="R810" s="4">
        <v>45996</v>
      </c>
      <c r="S810" s="3" t="s">
        <v>37</v>
      </c>
      <c r="T810" s="3" t="s">
        <v>38</v>
      </c>
      <c r="U810" s="3" t="s">
        <v>39</v>
      </c>
      <c r="V810" s="3">
        <v>212.68</v>
      </c>
      <c r="W810" s="3">
        <v>90.39</v>
      </c>
      <c r="X810" s="3">
        <v>85.6</v>
      </c>
      <c r="Y810" s="3">
        <v>36.69</v>
      </c>
    </row>
    <row r="811" spans="1:25" ht="72.75" x14ac:dyDescent="0.25">
      <c r="A811" s="3" t="s">
        <v>26</v>
      </c>
      <c r="B811" s="3" t="s">
        <v>27</v>
      </c>
      <c r="C811" s="3" t="s">
        <v>28</v>
      </c>
      <c r="D811" s="3" t="s">
        <v>50</v>
      </c>
      <c r="E811" s="3" t="s">
        <v>51</v>
      </c>
      <c r="F811" s="3" t="s">
        <v>52</v>
      </c>
      <c r="G811" s="3" t="s">
        <v>51</v>
      </c>
      <c r="H811" s="3" t="s">
        <v>48</v>
      </c>
      <c r="I811" s="3">
        <v>2025</v>
      </c>
      <c r="J811" s="3" t="str">
        <f>CONCATENATE("54820163381")</f>
        <v>54820163381</v>
      </c>
      <c r="K811" s="3" t="s">
        <v>33</v>
      </c>
      <c r="L811" s="3"/>
      <c r="M811" s="3" t="s">
        <v>131</v>
      </c>
      <c r="N811" s="3" t="str">
        <f>CONCATENATE("CFNPTR41A18D451U")</f>
        <v>CFNPTR41A18D451U</v>
      </c>
      <c r="O811" s="3" t="s">
        <v>935</v>
      </c>
      <c r="P811" s="3" t="s">
        <v>36</v>
      </c>
      <c r="Q811" s="3"/>
      <c r="R811" s="4">
        <v>45996</v>
      </c>
      <c r="S811" s="3" t="s">
        <v>37</v>
      </c>
      <c r="T811" s="3" t="s">
        <v>38</v>
      </c>
      <c r="U811" s="3" t="s">
        <v>39</v>
      </c>
      <c r="V811" s="3">
        <v>270.01</v>
      </c>
      <c r="W811" s="3">
        <v>114.75</v>
      </c>
      <c r="X811" s="3">
        <v>108.68</v>
      </c>
      <c r="Y811" s="3">
        <v>46.58</v>
      </c>
    </row>
    <row r="812" spans="1:25" ht="60.75" x14ac:dyDescent="0.25">
      <c r="A812" s="3" t="s">
        <v>26</v>
      </c>
      <c r="B812" s="3" t="s">
        <v>27</v>
      </c>
      <c r="C812" s="3" t="s">
        <v>28</v>
      </c>
      <c r="D812" s="3" t="s">
        <v>50</v>
      </c>
      <c r="E812" s="3" t="s">
        <v>252</v>
      </c>
      <c r="F812" s="3" t="s">
        <v>52</v>
      </c>
      <c r="G812" s="3" t="s">
        <v>252</v>
      </c>
      <c r="H812" s="3" t="s">
        <v>45</v>
      </c>
      <c r="I812" s="3">
        <v>2025</v>
      </c>
      <c r="J812" s="3" t="str">
        <f>CONCATENATE("54820187927")</f>
        <v>54820187927</v>
      </c>
      <c r="K812" s="3" t="s">
        <v>33</v>
      </c>
      <c r="L812" s="3"/>
      <c r="M812" s="3" t="s">
        <v>131</v>
      </c>
      <c r="N812" s="3" t="str">
        <f>CONCATENATE("PGLDRN66E17D749A")</f>
        <v>PGLDRN66E17D749A</v>
      </c>
      <c r="O812" s="3" t="s">
        <v>936</v>
      </c>
      <c r="P812" s="3" t="s">
        <v>36</v>
      </c>
      <c r="Q812" s="3"/>
      <c r="R812" s="4">
        <v>45996</v>
      </c>
      <c r="S812" s="3" t="s">
        <v>37</v>
      </c>
      <c r="T812" s="3" t="s">
        <v>38</v>
      </c>
      <c r="U812" s="3" t="s">
        <v>39</v>
      </c>
      <c r="V812" s="3">
        <v>564.28</v>
      </c>
      <c r="W812" s="3">
        <v>239.82</v>
      </c>
      <c r="X812" s="3">
        <v>227.12</v>
      </c>
      <c r="Y812" s="3">
        <v>97.34</v>
      </c>
    </row>
    <row r="813" spans="1:25" ht="60.75" x14ac:dyDescent="0.25">
      <c r="A813" s="3" t="s">
        <v>26</v>
      </c>
      <c r="B813" s="3" t="s">
        <v>27</v>
      </c>
      <c r="C813" s="3" t="s">
        <v>28</v>
      </c>
      <c r="D813" s="3" t="s">
        <v>312</v>
      </c>
      <c r="E813" s="3" t="s">
        <v>313</v>
      </c>
      <c r="F813" s="3" t="s">
        <v>314</v>
      </c>
      <c r="G813" s="3" t="s">
        <v>313</v>
      </c>
      <c r="H813" s="3" t="s">
        <v>96</v>
      </c>
      <c r="I813" s="3">
        <v>2025</v>
      </c>
      <c r="J813" s="3" t="str">
        <f>CONCATENATE("54820230727")</f>
        <v>54820230727</v>
      </c>
      <c r="K813" s="3" t="s">
        <v>33</v>
      </c>
      <c r="L813" s="3"/>
      <c r="M813" s="3" t="s">
        <v>131</v>
      </c>
      <c r="N813" s="3" t="str">
        <f>CONCATENATE("CNTPPL93C20A462J")</f>
        <v>CNTPPL93C20A462J</v>
      </c>
      <c r="O813" s="3" t="s">
        <v>937</v>
      </c>
      <c r="P813" s="3" t="s">
        <v>36</v>
      </c>
      <c r="Q813" s="3"/>
      <c r="R813" s="4">
        <v>45996</v>
      </c>
      <c r="S813" s="3" t="s">
        <v>37</v>
      </c>
      <c r="T813" s="3" t="s">
        <v>38</v>
      </c>
      <c r="U813" s="3" t="s">
        <v>39</v>
      </c>
      <c r="V813" s="3">
        <v>377.76</v>
      </c>
      <c r="W813" s="3">
        <v>160.55000000000001</v>
      </c>
      <c r="X813" s="3">
        <v>152.05000000000001</v>
      </c>
      <c r="Y813" s="3">
        <v>65.16</v>
      </c>
    </row>
    <row r="814" spans="1:25" ht="72.75" x14ac:dyDescent="0.25">
      <c r="A814" s="3" t="s">
        <v>26</v>
      </c>
      <c r="B814" s="3" t="s">
        <v>27</v>
      </c>
      <c r="C814" s="3" t="s">
        <v>28</v>
      </c>
      <c r="D814" s="3" t="s">
        <v>29</v>
      </c>
      <c r="E814" s="3" t="s">
        <v>72</v>
      </c>
      <c r="F814" s="3" t="s">
        <v>31</v>
      </c>
      <c r="G814" s="3" t="s">
        <v>72</v>
      </c>
      <c r="H814" s="3" t="s">
        <v>45</v>
      </c>
      <c r="I814" s="3">
        <v>2025</v>
      </c>
      <c r="J814" s="3" t="str">
        <f>CONCATENATE("54820073143")</f>
        <v>54820073143</v>
      </c>
      <c r="K814" s="3" t="s">
        <v>33</v>
      </c>
      <c r="L814" s="3"/>
      <c r="M814" s="3" t="s">
        <v>131</v>
      </c>
      <c r="N814" s="3" t="str">
        <f>CONCATENATE("PSQBRN51D19B352G")</f>
        <v>PSQBRN51D19B352G</v>
      </c>
      <c r="O814" s="3" t="s">
        <v>938</v>
      </c>
      <c r="P814" s="3" t="s">
        <v>36</v>
      </c>
      <c r="Q814" s="3"/>
      <c r="R814" s="4">
        <v>45996</v>
      </c>
      <c r="S814" s="3" t="s">
        <v>37</v>
      </c>
      <c r="T814" s="3" t="s">
        <v>38</v>
      </c>
      <c r="U814" s="3" t="s">
        <v>39</v>
      </c>
      <c r="V814" s="3">
        <v>153.57</v>
      </c>
      <c r="W814" s="3">
        <v>65.27</v>
      </c>
      <c r="X814" s="3">
        <v>61.81</v>
      </c>
      <c r="Y814" s="3">
        <v>26.49</v>
      </c>
    </row>
    <row r="815" spans="1:25" ht="72.75" x14ac:dyDescent="0.25">
      <c r="A815" s="3" t="s">
        <v>26</v>
      </c>
      <c r="B815" s="3" t="s">
        <v>27</v>
      </c>
      <c r="C815" s="3" t="s">
        <v>28</v>
      </c>
      <c r="D815" s="3" t="s">
        <v>29</v>
      </c>
      <c r="E815" s="3" t="s">
        <v>47</v>
      </c>
      <c r="F815" s="3" t="s">
        <v>31</v>
      </c>
      <c r="G815" s="3" t="s">
        <v>47</v>
      </c>
      <c r="H815" s="3" t="s">
        <v>48</v>
      </c>
      <c r="I815" s="3">
        <v>2025</v>
      </c>
      <c r="J815" s="3" t="str">
        <f>CONCATENATE("54820197553")</f>
        <v>54820197553</v>
      </c>
      <c r="K815" s="3" t="s">
        <v>33</v>
      </c>
      <c r="L815" s="3"/>
      <c r="M815" s="3" t="s">
        <v>131</v>
      </c>
      <c r="N815" s="3" t="str">
        <f>CONCATENATE("TZZGFR47R03D451Q")</f>
        <v>TZZGFR47R03D451Q</v>
      </c>
      <c r="O815" s="3" t="s">
        <v>939</v>
      </c>
      <c r="P815" s="3" t="s">
        <v>36</v>
      </c>
      <c r="Q815" s="3"/>
      <c r="R815" s="4">
        <v>45996</v>
      </c>
      <c r="S815" s="3" t="s">
        <v>37</v>
      </c>
      <c r="T815" s="3" t="s">
        <v>38</v>
      </c>
      <c r="U815" s="3" t="s">
        <v>39</v>
      </c>
      <c r="V815" s="3">
        <v>137.28</v>
      </c>
      <c r="W815" s="3">
        <v>58.34</v>
      </c>
      <c r="X815" s="3">
        <v>55.26</v>
      </c>
      <c r="Y815" s="3">
        <v>23.68</v>
      </c>
    </row>
    <row r="816" spans="1:25" ht="60.75" x14ac:dyDescent="0.25">
      <c r="A816" s="3" t="s">
        <v>26</v>
      </c>
      <c r="B816" s="3" t="s">
        <v>27</v>
      </c>
      <c r="C816" s="3" t="s">
        <v>28</v>
      </c>
      <c r="D816" s="3" t="s">
        <v>40</v>
      </c>
      <c r="E816" s="3" t="s">
        <v>41</v>
      </c>
      <c r="F816" s="3" t="s">
        <v>42</v>
      </c>
      <c r="G816" s="3" t="s">
        <v>41</v>
      </c>
      <c r="H816" s="3" t="s">
        <v>32</v>
      </c>
      <c r="I816" s="3">
        <v>2025</v>
      </c>
      <c r="J816" s="3" t="str">
        <f>CONCATENATE("54820253265")</f>
        <v>54820253265</v>
      </c>
      <c r="K816" s="3" t="s">
        <v>33</v>
      </c>
      <c r="L816" s="3"/>
      <c r="M816" s="3" t="s">
        <v>131</v>
      </c>
      <c r="N816" s="3" t="str">
        <f>CONCATENATE("MRTDVD79E09I156T")</f>
        <v>MRTDVD79E09I156T</v>
      </c>
      <c r="O816" s="3" t="s">
        <v>940</v>
      </c>
      <c r="P816" s="3" t="s">
        <v>36</v>
      </c>
      <c r="Q816" s="3"/>
      <c r="R816" s="4">
        <v>45996</v>
      </c>
      <c r="S816" s="3" t="s">
        <v>37</v>
      </c>
      <c r="T816" s="3" t="s">
        <v>38</v>
      </c>
      <c r="U816" s="3" t="s">
        <v>39</v>
      </c>
      <c r="V816" s="3">
        <v>182.18</v>
      </c>
      <c r="W816" s="3">
        <v>77.430000000000007</v>
      </c>
      <c r="X816" s="3">
        <v>73.33</v>
      </c>
      <c r="Y816" s="3">
        <v>31.42</v>
      </c>
    </row>
    <row r="817" spans="1:25" ht="72.75" x14ac:dyDescent="0.25">
      <c r="A817" s="3" t="s">
        <v>26</v>
      </c>
      <c r="B817" s="3" t="s">
        <v>27</v>
      </c>
      <c r="C817" s="3" t="s">
        <v>28</v>
      </c>
      <c r="D817" s="3" t="s">
        <v>29</v>
      </c>
      <c r="E817" s="3" t="s">
        <v>136</v>
      </c>
      <c r="F817" s="3" t="s">
        <v>31</v>
      </c>
      <c r="G817" s="3" t="s">
        <v>136</v>
      </c>
      <c r="H817" s="3" t="s">
        <v>48</v>
      </c>
      <c r="I817" s="3">
        <v>2025</v>
      </c>
      <c r="J817" s="3" t="str">
        <f>CONCATENATE("54820206289")</f>
        <v>54820206289</v>
      </c>
      <c r="K817" s="3" t="s">
        <v>33</v>
      </c>
      <c r="L817" s="3"/>
      <c r="M817" s="3" t="s">
        <v>131</v>
      </c>
      <c r="N817" s="3" t="str">
        <f>CONCATENATE("MNGGNN59T27I461H")</f>
        <v>MNGGNN59T27I461H</v>
      </c>
      <c r="O817" s="3" t="s">
        <v>941</v>
      </c>
      <c r="P817" s="3" t="s">
        <v>36</v>
      </c>
      <c r="Q817" s="3"/>
      <c r="R817" s="4">
        <v>45996</v>
      </c>
      <c r="S817" s="3" t="s">
        <v>37</v>
      </c>
      <c r="T817" s="3" t="s">
        <v>38</v>
      </c>
      <c r="U817" s="3" t="s">
        <v>39</v>
      </c>
      <c r="V817" s="3">
        <v>835.12</v>
      </c>
      <c r="W817" s="3">
        <v>354.93</v>
      </c>
      <c r="X817" s="3">
        <v>336.14</v>
      </c>
      <c r="Y817" s="3">
        <v>144.05000000000001</v>
      </c>
    </row>
    <row r="818" spans="1:25" ht="60.75" x14ac:dyDescent="0.25">
      <c r="A818" s="3" t="s">
        <v>26</v>
      </c>
      <c r="B818" s="3" t="s">
        <v>27</v>
      </c>
      <c r="C818" s="3" t="s">
        <v>28</v>
      </c>
      <c r="D818" s="3" t="s">
        <v>50</v>
      </c>
      <c r="E818" s="3" t="s">
        <v>252</v>
      </c>
      <c r="F818" s="3" t="s">
        <v>52</v>
      </c>
      <c r="G818" s="3" t="s">
        <v>252</v>
      </c>
      <c r="H818" s="3" t="s">
        <v>45</v>
      </c>
      <c r="I818" s="3">
        <v>2025</v>
      </c>
      <c r="J818" s="3" t="str">
        <f>CONCATENATE("54820209820")</f>
        <v>54820209820</v>
      </c>
      <c r="K818" s="3" t="s">
        <v>33</v>
      </c>
      <c r="L818" s="3"/>
      <c r="M818" s="3" t="s">
        <v>131</v>
      </c>
      <c r="N818" s="3" t="str">
        <f>CONCATENATE("SRODGI01S17L500T")</f>
        <v>SRODGI01S17L500T</v>
      </c>
      <c r="O818" s="3" t="s">
        <v>942</v>
      </c>
      <c r="P818" s="3" t="s">
        <v>36</v>
      </c>
      <c r="Q818" s="3"/>
      <c r="R818" s="4">
        <v>45996</v>
      </c>
      <c r="S818" s="3" t="s">
        <v>37</v>
      </c>
      <c r="T818" s="3" t="s">
        <v>38</v>
      </c>
      <c r="U818" s="3" t="s">
        <v>39</v>
      </c>
      <c r="V818" s="3">
        <v>221.47</v>
      </c>
      <c r="W818" s="3">
        <v>94.12</v>
      </c>
      <c r="X818" s="3">
        <v>89.14</v>
      </c>
      <c r="Y818" s="3">
        <v>38.21</v>
      </c>
    </row>
    <row r="819" spans="1:25" ht="36.75" x14ac:dyDescent="0.25">
      <c r="A819" s="3" t="s">
        <v>26</v>
      </c>
      <c r="B819" s="3" t="s">
        <v>27</v>
      </c>
      <c r="C819" s="3" t="s">
        <v>28</v>
      </c>
      <c r="D819" s="3" t="s">
        <v>91</v>
      </c>
      <c r="E819" s="3" t="s">
        <v>151</v>
      </c>
      <c r="F819" s="3" t="s">
        <v>93</v>
      </c>
      <c r="G819" s="3" t="s">
        <v>151</v>
      </c>
      <c r="H819" s="3" t="s">
        <v>45</v>
      </c>
      <c r="I819" s="3">
        <v>2025</v>
      </c>
      <c r="J819" s="3" t="str">
        <f>CONCATENATE("54820166194")</f>
        <v>54820166194</v>
      </c>
      <c r="K819" s="3" t="s">
        <v>33</v>
      </c>
      <c r="L819" s="3"/>
      <c r="M819" s="3" t="s">
        <v>131</v>
      </c>
      <c r="N819" s="3" t="str">
        <f>CONCATENATE("02584790410")</f>
        <v>02584790410</v>
      </c>
      <c r="O819" s="3" t="s">
        <v>943</v>
      </c>
      <c r="P819" s="3" t="s">
        <v>36</v>
      </c>
      <c r="Q819" s="3"/>
      <c r="R819" s="4">
        <v>45996</v>
      </c>
      <c r="S819" s="3" t="s">
        <v>37</v>
      </c>
      <c r="T819" s="3" t="s">
        <v>38</v>
      </c>
      <c r="U819" s="3" t="s">
        <v>39</v>
      </c>
      <c r="V819" s="3">
        <v>303.37</v>
      </c>
      <c r="W819" s="3">
        <v>128.93</v>
      </c>
      <c r="X819" s="3">
        <v>122.11</v>
      </c>
      <c r="Y819" s="3">
        <v>52.33</v>
      </c>
    </row>
    <row r="820" spans="1:25" ht="60.75" x14ac:dyDescent="0.25">
      <c r="A820" s="3" t="s">
        <v>26</v>
      </c>
      <c r="B820" s="3" t="s">
        <v>27</v>
      </c>
      <c r="C820" s="3" t="s">
        <v>28</v>
      </c>
      <c r="D820" s="3" t="s">
        <v>50</v>
      </c>
      <c r="E820" s="3" t="s">
        <v>252</v>
      </c>
      <c r="F820" s="3" t="s">
        <v>52</v>
      </c>
      <c r="G820" s="3" t="s">
        <v>252</v>
      </c>
      <c r="H820" s="3" t="s">
        <v>45</v>
      </c>
      <c r="I820" s="3">
        <v>2025</v>
      </c>
      <c r="J820" s="3" t="str">
        <f>CONCATENATE("54820213434")</f>
        <v>54820213434</v>
      </c>
      <c r="K820" s="3" t="s">
        <v>33</v>
      </c>
      <c r="L820" s="3"/>
      <c r="M820" s="3" t="s">
        <v>131</v>
      </c>
      <c r="N820" s="3" t="str">
        <f>CONCATENATE("TNTGTN46C28F497Z")</f>
        <v>TNTGTN46C28F497Z</v>
      </c>
      <c r="O820" s="3" t="s">
        <v>944</v>
      </c>
      <c r="P820" s="3" t="s">
        <v>36</v>
      </c>
      <c r="Q820" s="3"/>
      <c r="R820" s="4">
        <v>45996</v>
      </c>
      <c r="S820" s="3" t="s">
        <v>37</v>
      </c>
      <c r="T820" s="3" t="s">
        <v>38</v>
      </c>
      <c r="U820" s="3" t="s">
        <v>39</v>
      </c>
      <c r="V820" s="3">
        <v>47.92</v>
      </c>
      <c r="W820" s="3">
        <v>20.37</v>
      </c>
      <c r="X820" s="3">
        <v>19.29</v>
      </c>
      <c r="Y820" s="3">
        <v>8.26</v>
      </c>
    </row>
    <row r="821" spans="1:25" ht="60.75" x14ac:dyDescent="0.25">
      <c r="A821" s="3" t="s">
        <v>26</v>
      </c>
      <c r="B821" s="3" t="s">
        <v>27</v>
      </c>
      <c r="C821" s="3" t="s">
        <v>28</v>
      </c>
      <c r="D821" s="3" t="s">
        <v>29</v>
      </c>
      <c r="E821" s="3" t="s">
        <v>47</v>
      </c>
      <c r="F821" s="3" t="s">
        <v>31</v>
      </c>
      <c r="G821" s="3" t="s">
        <v>47</v>
      </c>
      <c r="H821" s="3" t="s">
        <v>48</v>
      </c>
      <c r="I821" s="3">
        <v>2025</v>
      </c>
      <c r="J821" s="3" t="str">
        <f>CONCATENATE("54820203310")</f>
        <v>54820203310</v>
      </c>
      <c r="K821" s="3" t="s">
        <v>33</v>
      </c>
      <c r="L821" s="3"/>
      <c r="M821" s="3" t="s">
        <v>131</v>
      </c>
      <c r="N821" s="3" t="str">
        <f>CONCATENATE("NPENLL48E02D965Q")</f>
        <v>NPENLL48E02D965Q</v>
      </c>
      <c r="O821" s="3" t="s">
        <v>945</v>
      </c>
      <c r="P821" s="3" t="s">
        <v>36</v>
      </c>
      <c r="Q821" s="3"/>
      <c r="R821" s="4">
        <v>45996</v>
      </c>
      <c r="S821" s="3" t="s">
        <v>37</v>
      </c>
      <c r="T821" s="3" t="s">
        <v>38</v>
      </c>
      <c r="U821" s="3" t="s">
        <v>39</v>
      </c>
      <c r="V821" s="3">
        <v>70.849999999999994</v>
      </c>
      <c r="W821" s="3">
        <v>30.11</v>
      </c>
      <c r="X821" s="3">
        <v>28.52</v>
      </c>
      <c r="Y821" s="3">
        <v>12.22</v>
      </c>
    </row>
    <row r="822" spans="1:25" ht="60.75" x14ac:dyDescent="0.25">
      <c r="A822" s="3" t="s">
        <v>26</v>
      </c>
      <c r="B822" s="3" t="s">
        <v>27</v>
      </c>
      <c r="C822" s="3" t="s">
        <v>28</v>
      </c>
      <c r="D822" s="3" t="s">
        <v>50</v>
      </c>
      <c r="E822" s="3" t="s">
        <v>252</v>
      </c>
      <c r="F822" s="3" t="s">
        <v>52</v>
      </c>
      <c r="G822" s="3" t="s">
        <v>252</v>
      </c>
      <c r="H822" s="3" t="s">
        <v>45</v>
      </c>
      <c r="I822" s="3">
        <v>2025</v>
      </c>
      <c r="J822" s="3" t="str">
        <f>CONCATENATE("54820187281")</f>
        <v>54820187281</v>
      </c>
      <c r="K822" s="3" t="s">
        <v>33</v>
      </c>
      <c r="L822" s="3"/>
      <c r="M822" s="3" t="s">
        <v>131</v>
      </c>
      <c r="N822" s="3" t="str">
        <f>CONCATENATE("PRCFNC53A17D749C")</f>
        <v>PRCFNC53A17D749C</v>
      </c>
      <c r="O822" s="3" t="s">
        <v>946</v>
      </c>
      <c r="P822" s="3" t="s">
        <v>36</v>
      </c>
      <c r="Q822" s="3"/>
      <c r="R822" s="4">
        <v>45996</v>
      </c>
      <c r="S822" s="3" t="s">
        <v>37</v>
      </c>
      <c r="T822" s="3" t="s">
        <v>38</v>
      </c>
      <c r="U822" s="3" t="s">
        <v>39</v>
      </c>
      <c r="V822" s="3">
        <v>131.46</v>
      </c>
      <c r="W822" s="3">
        <v>55.87</v>
      </c>
      <c r="X822" s="3">
        <v>52.91</v>
      </c>
      <c r="Y822" s="3">
        <v>22.68</v>
      </c>
    </row>
    <row r="823" spans="1:25" ht="60.75" x14ac:dyDescent="0.25">
      <c r="A823" s="3" t="s">
        <v>26</v>
      </c>
      <c r="B823" s="3" t="s">
        <v>27</v>
      </c>
      <c r="C823" s="3" t="s">
        <v>28</v>
      </c>
      <c r="D823" s="3" t="s">
        <v>40</v>
      </c>
      <c r="E823" s="3" t="s">
        <v>41</v>
      </c>
      <c r="F823" s="3" t="s">
        <v>42</v>
      </c>
      <c r="G823" s="3" t="s">
        <v>41</v>
      </c>
      <c r="H823" s="3" t="s">
        <v>48</v>
      </c>
      <c r="I823" s="3">
        <v>2025</v>
      </c>
      <c r="J823" s="3" t="str">
        <f>CONCATENATE("54820252127")</f>
        <v>54820252127</v>
      </c>
      <c r="K823" s="3" t="s">
        <v>33</v>
      </c>
      <c r="L823" s="3"/>
      <c r="M823" s="3" t="s">
        <v>131</v>
      </c>
      <c r="N823" s="3" t="str">
        <f>CONCATENATE("DLLLRT47A19D451M")</f>
        <v>DLLLRT47A19D451M</v>
      </c>
      <c r="O823" s="3" t="s">
        <v>947</v>
      </c>
      <c r="P823" s="3" t="s">
        <v>36</v>
      </c>
      <c r="Q823" s="3"/>
      <c r="R823" s="4">
        <v>45996</v>
      </c>
      <c r="S823" s="3" t="s">
        <v>37</v>
      </c>
      <c r="T823" s="3" t="s">
        <v>38</v>
      </c>
      <c r="U823" s="3" t="s">
        <v>39</v>
      </c>
      <c r="V823" s="5">
        <v>1019.5</v>
      </c>
      <c r="W823" s="3">
        <v>433.29</v>
      </c>
      <c r="X823" s="3">
        <v>410.35</v>
      </c>
      <c r="Y823" s="3">
        <v>175.86</v>
      </c>
    </row>
    <row r="824" spans="1:25" ht="60.75" x14ac:dyDescent="0.25">
      <c r="A824" s="3" t="s">
        <v>26</v>
      </c>
      <c r="B824" s="3" t="s">
        <v>27</v>
      </c>
      <c r="C824" s="3" t="s">
        <v>28</v>
      </c>
      <c r="D824" s="3" t="s">
        <v>29</v>
      </c>
      <c r="E824" s="3" t="s">
        <v>47</v>
      </c>
      <c r="F824" s="3" t="s">
        <v>31</v>
      </c>
      <c r="G824" s="3" t="s">
        <v>47</v>
      </c>
      <c r="H824" s="3" t="s">
        <v>48</v>
      </c>
      <c r="I824" s="3">
        <v>2025</v>
      </c>
      <c r="J824" s="3" t="str">
        <f>CONCATENATE("54820198825")</f>
        <v>54820198825</v>
      </c>
      <c r="K824" s="3" t="s">
        <v>33</v>
      </c>
      <c r="L824" s="3"/>
      <c r="M824" s="3" t="s">
        <v>131</v>
      </c>
      <c r="N824" s="3" t="str">
        <f>CONCATENATE("LTTNCL57A04D451J")</f>
        <v>LTTNCL57A04D451J</v>
      </c>
      <c r="O824" s="3" t="s">
        <v>948</v>
      </c>
      <c r="P824" s="3" t="s">
        <v>36</v>
      </c>
      <c r="Q824" s="3"/>
      <c r="R824" s="4">
        <v>45996</v>
      </c>
      <c r="S824" s="3" t="s">
        <v>37</v>
      </c>
      <c r="T824" s="3" t="s">
        <v>38</v>
      </c>
      <c r="U824" s="3" t="s">
        <v>39</v>
      </c>
      <c r="V824" s="3">
        <v>72.39</v>
      </c>
      <c r="W824" s="3">
        <v>30.77</v>
      </c>
      <c r="X824" s="3">
        <v>29.14</v>
      </c>
      <c r="Y824" s="3">
        <v>12.48</v>
      </c>
    </row>
    <row r="825" spans="1:25" ht="60.75" x14ac:dyDescent="0.25">
      <c r="A825" s="3" t="s">
        <v>26</v>
      </c>
      <c r="B825" s="3" t="s">
        <v>27</v>
      </c>
      <c r="C825" s="3" t="s">
        <v>28</v>
      </c>
      <c r="D825" s="3" t="s">
        <v>29</v>
      </c>
      <c r="E825" s="3" t="s">
        <v>182</v>
      </c>
      <c r="F825" s="3" t="s">
        <v>31</v>
      </c>
      <c r="G825" s="3" t="s">
        <v>182</v>
      </c>
      <c r="H825" s="3" t="s">
        <v>45</v>
      </c>
      <c r="I825" s="3">
        <v>2025</v>
      </c>
      <c r="J825" s="3" t="str">
        <f>CONCATENATE("54820153135")</f>
        <v>54820153135</v>
      </c>
      <c r="K825" s="3" t="s">
        <v>33</v>
      </c>
      <c r="L825" s="3"/>
      <c r="M825" s="3" t="s">
        <v>131</v>
      </c>
      <c r="N825" s="3" t="str">
        <f>CONCATENATE("PRLMRC88R13L500K")</f>
        <v>PRLMRC88R13L500K</v>
      </c>
      <c r="O825" s="3" t="s">
        <v>949</v>
      </c>
      <c r="P825" s="3" t="s">
        <v>36</v>
      </c>
      <c r="Q825" s="3"/>
      <c r="R825" s="4">
        <v>45996</v>
      </c>
      <c r="S825" s="3" t="s">
        <v>37</v>
      </c>
      <c r="T825" s="3" t="s">
        <v>38</v>
      </c>
      <c r="U825" s="3" t="s">
        <v>39</v>
      </c>
      <c r="V825" s="3">
        <v>245.54</v>
      </c>
      <c r="W825" s="3">
        <v>104.35</v>
      </c>
      <c r="X825" s="3">
        <v>98.83</v>
      </c>
      <c r="Y825" s="3">
        <v>42.36</v>
      </c>
    </row>
    <row r="826" spans="1:25" ht="60.75" x14ac:dyDescent="0.25">
      <c r="A826" s="3" t="s">
        <v>26</v>
      </c>
      <c r="B826" s="3" t="s">
        <v>27</v>
      </c>
      <c r="C826" s="3" t="s">
        <v>28</v>
      </c>
      <c r="D826" s="3" t="s">
        <v>104</v>
      </c>
      <c r="E826" s="3" t="s">
        <v>691</v>
      </c>
      <c r="F826" s="3" t="s">
        <v>104</v>
      </c>
      <c r="G826" s="3" t="s">
        <v>691</v>
      </c>
      <c r="H826" s="3" t="s">
        <v>48</v>
      </c>
      <c r="I826" s="3">
        <v>2025</v>
      </c>
      <c r="J826" s="3" t="str">
        <f>CONCATENATE("54820065842")</f>
        <v>54820065842</v>
      </c>
      <c r="K826" s="3" t="s">
        <v>33</v>
      </c>
      <c r="L826" s="3"/>
      <c r="M826" s="3" t="s">
        <v>131</v>
      </c>
      <c r="N826" s="3" t="str">
        <f>CONCATENATE("MRCLRC52P04E388W")</f>
        <v>MRCLRC52P04E388W</v>
      </c>
      <c r="O826" s="3" t="s">
        <v>950</v>
      </c>
      <c r="P826" s="3" t="s">
        <v>36</v>
      </c>
      <c r="Q826" s="3"/>
      <c r="R826" s="4">
        <v>45996</v>
      </c>
      <c r="S826" s="3" t="s">
        <v>37</v>
      </c>
      <c r="T826" s="3" t="s">
        <v>38</v>
      </c>
      <c r="U826" s="3" t="s">
        <v>39</v>
      </c>
      <c r="V826" s="3">
        <v>75.25</v>
      </c>
      <c r="W826" s="3">
        <v>31.98</v>
      </c>
      <c r="X826" s="3">
        <v>30.29</v>
      </c>
      <c r="Y826" s="3">
        <v>12.98</v>
      </c>
    </row>
    <row r="827" spans="1:25" ht="60.75" x14ac:dyDescent="0.25">
      <c r="A827" s="3" t="s">
        <v>26</v>
      </c>
      <c r="B827" s="3" t="s">
        <v>27</v>
      </c>
      <c r="C827" s="3" t="s">
        <v>28</v>
      </c>
      <c r="D827" s="3" t="s">
        <v>40</v>
      </c>
      <c r="E827" s="3" t="s">
        <v>44</v>
      </c>
      <c r="F827" s="3" t="s">
        <v>42</v>
      </c>
      <c r="G827" s="3" t="s">
        <v>44</v>
      </c>
      <c r="H827" s="3" t="s">
        <v>32</v>
      </c>
      <c r="I827" s="3">
        <v>2025</v>
      </c>
      <c r="J827" s="3" t="str">
        <f>CONCATENATE("54820079843")</f>
        <v>54820079843</v>
      </c>
      <c r="K827" s="3" t="s">
        <v>33</v>
      </c>
      <c r="L827" s="3"/>
      <c r="M827" s="3" t="s">
        <v>131</v>
      </c>
      <c r="N827" s="3" t="str">
        <f>CONCATENATE("GNFFNC89M19E783Q")</f>
        <v>GNFFNC89M19E783Q</v>
      </c>
      <c r="O827" s="3" t="s">
        <v>951</v>
      </c>
      <c r="P827" s="3" t="s">
        <v>36</v>
      </c>
      <c r="Q827" s="3"/>
      <c r="R827" s="4">
        <v>45996</v>
      </c>
      <c r="S827" s="3" t="s">
        <v>37</v>
      </c>
      <c r="T827" s="3" t="s">
        <v>38</v>
      </c>
      <c r="U827" s="3" t="s">
        <v>39</v>
      </c>
      <c r="V827" s="3">
        <v>104.69</v>
      </c>
      <c r="W827" s="3">
        <v>44.49</v>
      </c>
      <c r="X827" s="3">
        <v>42.14</v>
      </c>
      <c r="Y827" s="3">
        <v>18.059999999999999</v>
      </c>
    </row>
    <row r="828" spans="1:25" ht="60.75" x14ac:dyDescent="0.25">
      <c r="A828" s="3" t="s">
        <v>26</v>
      </c>
      <c r="B828" s="3" t="s">
        <v>27</v>
      </c>
      <c r="C828" s="3" t="s">
        <v>28</v>
      </c>
      <c r="D828" s="3" t="s">
        <v>29</v>
      </c>
      <c r="E828" s="3" t="s">
        <v>182</v>
      </c>
      <c r="F828" s="3" t="s">
        <v>31</v>
      </c>
      <c r="G828" s="3" t="s">
        <v>182</v>
      </c>
      <c r="H828" s="3" t="s">
        <v>45</v>
      </c>
      <c r="I828" s="3">
        <v>2025</v>
      </c>
      <c r="J828" s="3" t="str">
        <f>CONCATENATE("54820053863")</f>
        <v>54820053863</v>
      </c>
      <c r="K828" s="3" t="s">
        <v>33</v>
      </c>
      <c r="L828" s="3"/>
      <c r="M828" s="3" t="s">
        <v>131</v>
      </c>
      <c r="N828" s="3" t="str">
        <f>CONCATENATE("GRLGNN46C13A035Q")</f>
        <v>GRLGNN46C13A035Q</v>
      </c>
      <c r="O828" s="3" t="s">
        <v>952</v>
      </c>
      <c r="P828" s="3" t="s">
        <v>36</v>
      </c>
      <c r="Q828" s="3"/>
      <c r="R828" s="4">
        <v>45996</v>
      </c>
      <c r="S828" s="3" t="s">
        <v>37</v>
      </c>
      <c r="T828" s="3" t="s">
        <v>38</v>
      </c>
      <c r="U828" s="3" t="s">
        <v>39</v>
      </c>
      <c r="V828" s="3">
        <v>462.91</v>
      </c>
      <c r="W828" s="3">
        <v>196.74</v>
      </c>
      <c r="X828" s="3">
        <v>186.32</v>
      </c>
      <c r="Y828" s="3">
        <v>79.849999999999994</v>
      </c>
    </row>
    <row r="829" spans="1:25" ht="60.75" x14ac:dyDescent="0.25">
      <c r="A829" s="3" t="s">
        <v>26</v>
      </c>
      <c r="B829" s="3" t="s">
        <v>27</v>
      </c>
      <c r="C829" s="3" t="s">
        <v>28</v>
      </c>
      <c r="D829" s="3" t="s">
        <v>50</v>
      </c>
      <c r="E829" s="3" t="s">
        <v>290</v>
      </c>
      <c r="F829" s="3" t="s">
        <v>52</v>
      </c>
      <c r="G829" s="3" t="s">
        <v>290</v>
      </c>
      <c r="H829" s="3" t="s">
        <v>96</v>
      </c>
      <c r="I829" s="3">
        <v>2025</v>
      </c>
      <c r="J829" s="3" t="str">
        <f>CONCATENATE("54820105077")</f>
        <v>54820105077</v>
      </c>
      <c r="K829" s="3" t="s">
        <v>33</v>
      </c>
      <c r="L829" s="3"/>
      <c r="M829" s="3" t="s">
        <v>131</v>
      </c>
      <c r="N829" s="3" t="str">
        <f>CONCATENATE("MNAMRC82A16L949T")</f>
        <v>MNAMRC82A16L949T</v>
      </c>
      <c r="O829" s="3" t="s">
        <v>953</v>
      </c>
      <c r="P829" s="3" t="s">
        <v>36</v>
      </c>
      <c r="Q829" s="3"/>
      <c r="R829" s="4">
        <v>45996</v>
      </c>
      <c r="S829" s="3" t="s">
        <v>37</v>
      </c>
      <c r="T829" s="3" t="s">
        <v>38</v>
      </c>
      <c r="U829" s="3" t="s">
        <v>39</v>
      </c>
      <c r="V829" s="3">
        <v>111.62</v>
      </c>
      <c r="W829" s="3">
        <v>47.44</v>
      </c>
      <c r="X829" s="3">
        <v>44.93</v>
      </c>
      <c r="Y829" s="3">
        <v>19.25</v>
      </c>
    </row>
    <row r="830" spans="1:25" ht="60.75" x14ac:dyDescent="0.25">
      <c r="A830" s="3" t="s">
        <v>26</v>
      </c>
      <c r="B830" s="3" t="s">
        <v>27</v>
      </c>
      <c r="C830" s="3" t="s">
        <v>28</v>
      </c>
      <c r="D830" s="3" t="s">
        <v>29</v>
      </c>
      <c r="E830" s="3" t="s">
        <v>476</v>
      </c>
      <c r="F830" s="3" t="s">
        <v>31</v>
      </c>
      <c r="G830" s="3" t="s">
        <v>476</v>
      </c>
      <c r="H830" s="3" t="s">
        <v>48</v>
      </c>
      <c r="I830" s="3">
        <v>2025</v>
      </c>
      <c r="J830" s="3" t="str">
        <f>CONCATENATE("54820100839")</f>
        <v>54820100839</v>
      </c>
      <c r="K830" s="3" t="s">
        <v>33</v>
      </c>
      <c r="L830" s="3"/>
      <c r="M830" s="3" t="s">
        <v>131</v>
      </c>
      <c r="N830" s="3" t="str">
        <f>CONCATENATE("CRNMRA89S26E388B")</f>
        <v>CRNMRA89S26E388B</v>
      </c>
      <c r="O830" s="3" t="s">
        <v>954</v>
      </c>
      <c r="P830" s="3" t="s">
        <v>36</v>
      </c>
      <c r="Q830" s="3"/>
      <c r="R830" s="4">
        <v>45996</v>
      </c>
      <c r="S830" s="3" t="s">
        <v>37</v>
      </c>
      <c r="T830" s="3" t="s">
        <v>38</v>
      </c>
      <c r="U830" s="3" t="s">
        <v>39</v>
      </c>
      <c r="V830" s="3">
        <v>91.85</v>
      </c>
      <c r="W830" s="3">
        <v>39.04</v>
      </c>
      <c r="X830" s="3">
        <v>36.97</v>
      </c>
      <c r="Y830" s="3">
        <v>15.84</v>
      </c>
    </row>
    <row r="831" spans="1:25" ht="60.75" x14ac:dyDescent="0.25">
      <c r="A831" s="3" t="s">
        <v>26</v>
      </c>
      <c r="B831" s="3" t="s">
        <v>27</v>
      </c>
      <c r="C831" s="3" t="s">
        <v>28</v>
      </c>
      <c r="D831" s="3" t="s">
        <v>29</v>
      </c>
      <c r="E831" s="3" t="s">
        <v>119</v>
      </c>
      <c r="F831" s="3" t="s">
        <v>31</v>
      </c>
      <c r="G831" s="3" t="s">
        <v>119</v>
      </c>
      <c r="H831" s="3" t="s">
        <v>96</v>
      </c>
      <c r="I831" s="3">
        <v>2025</v>
      </c>
      <c r="J831" s="3" t="str">
        <f>CONCATENATE("54820083902")</f>
        <v>54820083902</v>
      </c>
      <c r="K831" s="3" t="s">
        <v>33</v>
      </c>
      <c r="L831" s="3"/>
      <c r="M831" s="3" t="s">
        <v>131</v>
      </c>
      <c r="N831" s="3" t="str">
        <f>CONCATENATE("VTLPNI65C19A252I")</f>
        <v>VTLPNI65C19A252I</v>
      </c>
      <c r="O831" s="3" t="s">
        <v>955</v>
      </c>
      <c r="P831" s="3" t="s">
        <v>36</v>
      </c>
      <c r="Q831" s="3"/>
      <c r="R831" s="4">
        <v>45996</v>
      </c>
      <c r="S831" s="3" t="s">
        <v>37</v>
      </c>
      <c r="T831" s="3" t="s">
        <v>38</v>
      </c>
      <c r="U831" s="3" t="s">
        <v>39</v>
      </c>
      <c r="V831" s="3">
        <v>456.27</v>
      </c>
      <c r="W831" s="3">
        <v>193.91</v>
      </c>
      <c r="X831" s="3">
        <v>183.65</v>
      </c>
      <c r="Y831" s="3">
        <v>78.709999999999994</v>
      </c>
    </row>
    <row r="832" spans="1:25" ht="60.75" x14ac:dyDescent="0.25">
      <c r="A832" s="3" t="s">
        <v>26</v>
      </c>
      <c r="B832" s="3" t="s">
        <v>27</v>
      </c>
      <c r="C832" s="3" t="s">
        <v>28</v>
      </c>
      <c r="D832" s="3" t="s">
        <v>29</v>
      </c>
      <c r="E832" s="3" t="s">
        <v>182</v>
      </c>
      <c r="F832" s="3" t="s">
        <v>31</v>
      </c>
      <c r="G832" s="3" t="s">
        <v>182</v>
      </c>
      <c r="H832" s="3" t="s">
        <v>45</v>
      </c>
      <c r="I832" s="3">
        <v>2025</v>
      </c>
      <c r="J832" s="3" t="str">
        <f>CONCATENATE("54820166939")</f>
        <v>54820166939</v>
      </c>
      <c r="K832" s="3" t="s">
        <v>33</v>
      </c>
      <c r="L832" s="3"/>
      <c r="M832" s="3" t="s">
        <v>131</v>
      </c>
      <c r="N832" s="3" t="str">
        <f>CONCATENATE("VLNLSN65L29L500T")</f>
        <v>VLNLSN65L29L500T</v>
      </c>
      <c r="O832" s="3" t="s">
        <v>956</v>
      </c>
      <c r="P832" s="3" t="s">
        <v>36</v>
      </c>
      <c r="Q832" s="3"/>
      <c r="R832" s="4">
        <v>45996</v>
      </c>
      <c r="S832" s="3" t="s">
        <v>37</v>
      </c>
      <c r="T832" s="3" t="s">
        <v>38</v>
      </c>
      <c r="U832" s="3" t="s">
        <v>39</v>
      </c>
      <c r="V832" s="3">
        <v>886.99</v>
      </c>
      <c r="W832" s="3">
        <v>376.97</v>
      </c>
      <c r="X832" s="3">
        <v>357.01</v>
      </c>
      <c r="Y832" s="3">
        <v>153.01</v>
      </c>
    </row>
    <row r="833" spans="1:25" ht="60.75" x14ac:dyDescent="0.25">
      <c r="A833" s="3" t="s">
        <v>26</v>
      </c>
      <c r="B833" s="3" t="s">
        <v>27</v>
      </c>
      <c r="C833" s="3" t="s">
        <v>28</v>
      </c>
      <c r="D833" s="3" t="s">
        <v>40</v>
      </c>
      <c r="E833" s="3" t="s">
        <v>44</v>
      </c>
      <c r="F833" s="3" t="s">
        <v>42</v>
      </c>
      <c r="G833" s="3" t="s">
        <v>44</v>
      </c>
      <c r="H833" s="3" t="s">
        <v>32</v>
      </c>
      <c r="I833" s="3">
        <v>2025</v>
      </c>
      <c r="J833" s="3" t="str">
        <f>CONCATENATE("54820124169")</f>
        <v>54820124169</v>
      </c>
      <c r="K833" s="3" t="s">
        <v>33</v>
      </c>
      <c r="L833" s="3"/>
      <c r="M833" s="3" t="s">
        <v>131</v>
      </c>
      <c r="N833" s="3" t="str">
        <f>CONCATENATE("PLTJCP99T09I156U")</f>
        <v>PLTJCP99T09I156U</v>
      </c>
      <c r="O833" s="3" t="s">
        <v>957</v>
      </c>
      <c r="P833" s="3" t="s">
        <v>36</v>
      </c>
      <c r="Q833" s="3"/>
      <c r="R833" s="4">
        <v>45996</v>
      </c>
      <c r="S833" s="3" t="s">
        <v>37</v>
      </c>
      <c r="T833" s="3" t="s">
        <v>38</v>
      </c>
      <c r="U833" s="3" t="s">
        <v>39</v>
      </c>
      <c r="V833" s="3">
        <v>80.37</v>
      </c>
      <c r="W833" s="3">
        <v>34.159999999999997</v>
      </c>
      <c r="X833" s="3">
        <v>32.35</v>
      </c>
      <c r="Y833" s="3">
        <v>13.86</v>
      </c>
    </row>
    <row r="834" spans="1:25" ht="60.75" x14ac:dyDescent="0.25">
      <c r="A834" s="3" t="s">
        <v>26</v>
      </c>
      <c r="B834" s="3" t="s">
        <v>27</v>
      </c>
      <c r="C834" s="3" t="s">
        <v>28</v>
      </c>
      <c r="D834" s="3" t="s">
        <v>29</v>
      </c>
      <c r="E834" s="3" t="s">
        <v>208</v>
      </c>
      <c r="F834" s="3" t="s">
        <v>31</v>
      </c>
      <c r="G834" s="3" t="s">
        <v>208</v>
      </c>
      <c r="H834" s="3" t="s">
        <v>45</v>
      </c>
      <c r="I834" s="3">
        <v>2025</v>
      </c>
      <c r="J834" s="3" t="str">
        <f>CONCATENATE("54820102751")</f>
        <v>54820102751</v>
      </c>
      <c r="K834" s="3" t="s">
        <v>33</v>
      </c>
      <c r="L834" s="3"/>
      <c r="M834" s="3" t="s">
        <v>131</v>
      </c>
      <c r="N834" s="3" t="str">
        <f>CONCATENATE("GRRNDR79A29I287J")</f>
        <v>GRRNDR79A29I287J</v>
      </c>
      <c r="O834" s="3" t="s">
        <v>958</v>
      </c>
      <c r="P834" s="3" t="s">
        <v>36</v>
      </c>
      <c r="Q834" s="3"/>
      <c r="R834" s="4">
        <v>45996</v>
      </c>
      <c r="S834" s="3" t="s">
        <v>37</v>
      </c>
      <c r="T834" s="3" t="s">
        <v>38</v>
      </c>
      <c r="U834" s="3" t="s">
        <v>39</v>
      </c>
      <c r="V834" s="3">
        <v>182.93</v>
      </c>
      <c r="W834" s="3">
        <v>77.75</v>
      </c>
      <c r="X834" s="3">
        <v>73.63</v>
      </c>
      <c r="Y834" s="3">
        <v>31.55</v>
      </c>
    </row>
    <row r="835" spans="1:25" ht="60.75" x14ac:dyDescent="0.25">
      <c r="A835" s="3" t="s">
        <v>26</v>
      </c>
      <c r="B835" s="3" t="s">
        <v>27</v>
      </c>
      <c r="C835" s="3" t="s">
        <v>28</v>
      </c>
      <c r="D835" s="3" t="s">
        <v>29</v>
      </c>
      <c r="E835" s="3" t="s">
        <v>47</v>
      </c>
      <c r="F835" s="3" t="s">
        <v>31</v>
      </c>
      <c r="G835" s="3" t="s">
        <v>47</v>
      </c>
      <c r="H835" s="3" t="s">
        <v>48</v>
      </c>
      <c r="I835" s="3">
        <v>2025</v>
      </c>
      <c r="J835" s="3" t="str">
        <f>CONCATENATE("54820072954")</f>
        <v>54820072954</v>
      </c>
      <c r="K835" s="3" t="s">
        <v>33</v>
      </c>
      <c r="L835" s="3"/>
      <c r="M835" s="3" t="s">
        <v>131</v>
      </c>
      <c r="N835" s="3" t="str">
        <f>CONCATENATE("PCCMHL84C16D451H")</f>
        <v>PCCMHL84C16D451H</v>
      </c>
      <c r="O835" s="3" t="s">
        <v>959</v>
      </c>
      <c r="P835" s="3" t="s">
        <v>36</v>
      </c>
      <c r="Q835" s="3"/>
      <c r="R835" s="4">
        <v>45996</v>
      </c>
      <c r="S835" s="3" t="s">
        <v>37</v>
      </c>
      <c r="T835" s="3" t="s">
        <v>38</v>
      </c>
      <c r="U835" s="3" t="s">
        <v>39</v>
      </c>
      <c r="V835" s="3">
        <v>761.15</v>
      </c>
      <c r="W835" s="3">
        <v>323.49</v>
      </c>
      <c r="X835" s="3">
        <v>306.36</v>
      </c>
      <c r="Y835" s="3">
        <v>131.30000000000001</v>
      </c>
    </row>
    <row r="836" spans="1:25" ht="72.75" x14ac:dyDescent="0.25">
      <c r="A836" s="3" t="s">
        <v>26</v>
      </c>
      <c r="B836" s="3" t="s">
        <v>27</v>
      </c>
      <c r="C836" s="3" t="s">
        <v>28</v>
      </c>
      <c r="D836" s="3" t="s">
        <v>29</v>
      </c>
      <c r="E836" s="3" t="s">
        <v>80</v>
      </c>
      <c r="F836" s="3" t="s">
        <v>31</v>
      </c>
      <c r="G836" s="3" t="s">
        <v>80</v>
      </c>
      <c r="H836" s="3" t="s">
        <v>45</v>
      </c>
      <c r="I836" s="3">
        <v>2025</v>
      </c>
      <c r="J836" s="3" t="str">
        <f>CONCATENATE("54820049093")</f>
        <v>54820049093</v>
      </c>
      <c r="K836" s="3" t="s">
        <v>33</v>
      </c>
      <c r="L836" s="3"/>
      <c r="M836" s="3" t="s">
        <v>131</v>
      </c>
      <c r="N836" s="3" t="str">
        <f>CONCATENATE("TNTNTN53A07G453M")</f>
        <v>TNTNTN53A07G453M</v>
      </c>
      <c r="O836" s="3" t="s">
        <v>960</v>
      </c>
      <c r="P836" s="3" t="s">
        <v>36</v>
      </c>
      <c r="Q836" s="3"/>
      <c r="R836" s="4">
        <v>45996</v>
      </c>
      <c r="S836" s="3" t="s">
        <v>37</v>
      </c>
      <c r="T836" s="3" t="s">
        <v>38</v>
      </c>
      <c r="U836" s="3" t="s">
        <v>39</v>
      </c>
      <c r="V836" s="3">
        <v>947.38</v>
      </c>
      <c r="W836" s="3">
        <v>402.64</v>
      </c>
      <c r="X836" s="3">
        <v>381.32</v>
      </c>
      <c r="Y836" s="3">
        <v>163.41999999999999</v>
      </c>
    </row>
    <row r="837" spans="1:25" ht="60.75" x14ac:dyDescent="0.25">
      <c r="A837" s="3" t="s">
        <v>26</v>
      </c>
      <c r="B837" s="3" t="s">
        <v>27</v>
      </c>
      <c r="C837" s="3" t="s">
        <v>28</v>
      </c>
      <c r="D837" s="3" t="s">
        <v>50</v>
      </c>
      <c r="E837" s="3" t="s">
        <v>225</v>
      </c>
      <c r="F837" s="3" t="s">
        <v>52</v>
      </c>
      <c r="G837" s="3" t="s">
        <v>225</v>
      </c>
      <c r="H837" s="3" t="s">
        <v>96</v>
      </c>
      <c r="I837" s="3">
        <v>2025</v>
      </c>
      <c r="J837" s="3" t="str">
        <f>CONCATENATE("54820074471")</f>
        <v>54820074471</v>
      </c>
      <c r="K837" s="3" t="s">
        <v>33</v>
      </c>
      <c r="L837" s="3"/>
      <c r="M837" s="3" t="s">
        <v>131</v>
      </c>
      <c r="N837" s="3" t="str">
        <f>CONCATENATE("CCCFNC60E27A252T")</f>
        <v>CCCFNC60E27A252T</v>
      </c>
      <c r="O837" s="3" t="s">
        <v>961</v>
      </c>
      <c r="P837" s="3" t="s">
        <v>36</v>
      </c>
      <c r="Q837" s="3"/>
      <c r="R837" s="4">
        <v>45996</v>
      </c>
      <c r="S837" s="3" t="s">
        <v>37</v>
      </c>
      <c r="T837" s="3" t="s">
        <v>38</v>
      </c>
      <c r="U837" s="3" t="s">
        <v>39</v>
      </c>
      <c r="V837" s="3">
        <v>131.56</v>
      </c>
      <c r="W837" s="3">
        <v>55.91</v>
      </c>
      <c r="X837" s="3">
        <v>52.95</v>
      </c>
      <c r="Y837" s="3">
        <v>22.7</v>
      </c>
    </row>
    <row r="838" spans="1:25" ht="72.75" x14ac:dyDescent="0.25">
      <c r="A838" s="3" t="s">
        <v>26</v>
      </c>
      <c r="B838" s="3" t="s">
        <v>27</v>
      </c>
      <c r="C838" s="3" t="s">
        <v>28</v>
      </c>
      <c r="D838" s="3" t="s">
        <v>29</v>
      </c>
      <c r="E838" s="3" t="s">
        <v>182</v>
      </c>
      <c r="F838" s="3" t="s">
        <v>31</v>
      </c>
      <c r="G838" s="3" t="s">
        <v>182</v>
      </c>
      <c r="H838" s="3" t="s">
        <v>45</v>
      </c>
      <c r="I838" s="3">
        <v>2025</v>
      </c>
      <c r="J838" s="3" t="str">
        <f>CONCATENATE("54820045794")</f>
        <v>54820045794</v>
      </c>
      <c r="K838" s="3" t="s">
        <v>33</v>
      </c>
      <c r="L838" s="3"/>
      <c r="M838" s="3" t="s">
        <v>131</v>
      </c>
      <c r="N838" s="3" t="str">
        <f>CONCATENATE("MDRNMR49T70L500M")</f>
        <v>MDRNMR49T70L500M</v>
      </c>
      <c r="O838" s="3" t="s">
        <v>962</v>
      </c>
      <c r="P838" s="3" t="s">
        <v>36</v>
      </c>
      <c r="Q838" s="3"/>
      <c r="R838" s="4">
        <v>45996</v>
      </c>
      <c r="S838" s="3" t="s">
        <v>37</v>
      </c>
      <c r="T838" s="3" t="s">
        <v>38</v>
      </c>
      <c r="U838" s="3" t="s">
        <v>39</v>
      </c>
      <c r="V838" s="3">
        <v>322.08999999999997</v>
      </c>
      <c r="W838" s="3">
        <v>136.88999999999999</v>
      </c>
      <c r="X838" s="3">
        <v>129.63999999999999</v>
      </c>
      <c r="Y838" s="3">
        <v>55.56</v>
      </c>
    </row>
    <row r="839" spans="1:25" ht="60.75" x14ac:dyDescent="0.25">
      <c r="A839" s="3" t="s">
        <v>26</v>
      </c>
      <c r="B839" s="3" t="s">
        <v>27</v>
      </c>
      <c r="C839" s="3" t="s">
        <v>28</v>
      </c>
      <c r="D839" s="3" t="s">
        <v>50</v>
      </c>
      <c r="E839" s="3" t="s">
        <v>60</v>
      </c>
      <c r="F839" s="3" t="s">
        <v>52</v>
      </c>
      <c r="G839" s="3" t="s">
        <v>60</v>
      </c>
      <c r="H839" s="3" t="s">
        <v>45</v>
      </c>
      <c r="I839" s="3">
        <v>2025</v>
      </c>
      <c r="J839" s="3" t="str">
        <f>CONCATENATE("54820123609")</f>
        <v>54820123609</v>
      </c>
      <c r="K839" s="3" t="s">
        <v>33</v>
      </c>
      <c r="L839" s="3"/>
      <c r="M839" s="3" t="s">
        <v>131</v>
      </c>
      <c r="N839" s="3" t="str">
        <f>CONCATENATE("ZPPRRT56M25B352Z")</f>
        <v>ZPPRRT56M25B352Z</v>
      </c>
      <c r="O839" s="3" t="s">
        <v>963</v>
      </c>
      <c r="P839" s="3" t="s">
        <v>36</v>
      </c>
      <c r="Q839" s="3"/>
      <c r="R839" s="4">
        <v>45996</v>
      </c>
      <c r="S839" s="3" t="s">
        <v>37</v>
      </c>
      <c r="T839" s="3" t="s">
        <v>38</v>
      </c>
      <c r="U839" s="3" t="s">
        <v>39</v>
      </c>
      <c r="V839" s="3">
        <v>87.71</v>
      </c>
      <c r="W839" s="3">
        <v>37.28</v>
      </c>
      <c r="X839" s="3">
        <v>35.299999999999997</v>
      </c>
      <c r="Y839" s="3">
        <v>15.13</v>
      </c>
    </row>
    <row r="840" spans="1:25" ht="60.75" x14ac:dyDescent="0.25">
      <c r="A840" s="3" t="s">
        <v>26</v>
      </c>
      <c r="B840" s="3" t="s">
        <v>27</v>
      </c>
      <c r="C840" s="3" t="s">
        <v>28</v>
      </c>
      <c r="D840" s="3" t="s">
        <v>29</v>
      </c>
      <c r="E840" s="3" t="s">
        <v>119</v>
      </c>
      <c r="F840" s="3" t="s">
        <v>31</v>
      </c>
      <c r="G840" s="3" t="s">
        <v>119</v>
      </c>
      <c r="H840" s="3" t="s">
        <v>96</v>
      </c>
      <c r="I840" s="3">
        <v>2025</v>
      </c>
      <c r="J840" s="3" t="str">
        <f>CONCATENATE("54820102611")</f>
        <v>54820102611</v>
      </c>
      <c r="K840" s="3" t="s">
        <v>33</v>
      </c>
      <c r="L840" s="3"/>
      <c r="M840" s="3" t="s">
        <v>131</v>
      </c>
      <c r="N840" s="3" t="str">
        <f>CONCATENATE("VRGDNC61C20C935A")</f>
        <v>VRGDNC61C20C935A</v>
      </c>
      <c r="O840" s="3" t="s">
        <v>964</v>
      </c>
      <c r="P840" s="3" t="s">
        <v>36</v>
      </c>
      <c r="Q840" s="3"/>
      <c r="R840" s="4">
        <v>45996</v>
      </c>
      <c r="S840" s="3" t="s">
        <v>37</v>
      </c>
      <c r="T840" s="3" t="s">
        <v>38</v>
      </c>
      <c r="U840" s="3" t="s">
        <v>39</v>
      </c>
      <c r="V840" s="3">
        <v>148.97</v>
      </c>
      <c r="W840" s="3">
        <v>63.31</v>
      </c>
      <c r="X840" s="3">
        <v>59.96</v>
      </c>
      <c r="Y840" s="3">
        <v>25.7</v>
      </c>
    </row>
    <row r="841" spans="1:25" ht="60.75" x14ac:dyDescent="0.25">
      <c r="A841" s="3" t="s">
        <v>26</v>
      </c>
      <c r="B841" s="3" t="s">
        <v>27</v>
      </c>
      <c r="C841" s="3" t="s">
        <v>28</v>
      </c>
      <c r="D841" s="3" t="s">
        <v>50</v>
      </c>
      <c r="E841" s="3" t="s">
        <v>60</v>
      </c>
      <c r="F841" s="3" t="s">
        <v>52</v>
      </c>
      <c r="G841" s="3" t="s">
        <v>60</v>
      </c>
      <c r="H841" s="3" t="s">
        <v>45</v>
      </c>
      <c r="I841" s="3">
        <v>2025</v>
      </c>
      <c r="J841" s="3" t="str">
        <f>CONCATENATE("54820088844")</f>
        <v>54820088844</v>
      </c>
      <c r="K841" s="3" t="s">
        <v>33</v>
      </c>
      <c r="L841" s="3"/>
      <c r="M841" s="3" t="s">
        <v>131</v>
      </c>
      <c r="N841" s="3" t="str">
        <f>CONCATENATE("PCRCLD41E19B352D")</f>
        <v>PCRCLD41E19B352D</v>
      </c>
      <c r="O841" s="3" t="s">
        <v>965</v>
      </c>
      <c r="P841" s="3" t="s">
        <v>36</v>
      </c>
      <c r="Q841" s="3"/>
      <c r="R841" s="4">
        <v>45996</v>
      </c>
      <c r="S841" s="3" t="s">
        <v>37</v>
      </c>
      <c r="T841" s="3" t="s">
        <v>38</v>
      </c>
      <c r="U841" s="3" t="s">
        <v>39</v>
      </c>
      <c r="V841" s="3">
        <v>95.92</v>
      </c>
      <c r="W841" s="3">
        <v>40.770000000000003</v>
      </c>
      <c r="X841" s="3">
        <v>38.61</v>
      </c>
      <c r="Y841" s="3">
        <v>16.54</v>
      </c>
    </row>
    <row r="842" spans="1:25" ht="60.75" x14ac:dyDescent="0.25">
      <c r="A842" s="3" t="s">
        <v>26</v>
      </c>
      <c r="B842" s="3" t="s">
        <v>27</v>
      </c>
      <c r="C842" s="3" t="s">
        <v>28</v>
      </c>
      <c r="D842" s="3" t="s">
        <v>50</v>
      </c>
      <c r="E842" s="3" t="s">
        <v>60</v>
      </c>
      <c r="F842" s="3" t="s">
        <v>52</v>
      </c>
      <c r="G842" s="3" t="s">
        <v>60</v>
      </c>
      <c r="H842" s="3" t="s">
        <v>45</v>
      </c>
      <c r="I842" s="3">
        <v>2025</v>
      </c>
      <c r="J842" s="3" t="str">
        <f>CONCATENATE("54820162490")</f>
        <v>54820162490</v>
      </c>
      <c r="K842" s="3" t="s">
        <v>33</v>
      </c>
      <c r="L842" s="3"/>
      <c r="M842" s="3" t="s">
        <v>131</v>
      </c>
      <c r="N842" s="3" t="str">
        <f>CONCATENATE("RVLMRC75A17G453T")</f>
        <v>RVLMRC75A17G453T</v>
      </c>
      <c r="O842" s="3" t="s">
        <v>70</v>
      </c>
      <c r="P842" s="3" t="s">
        <v>36</v>
      </c>
      <c r="Q842" s="3"/>
      <c r="R842" s="4">
        <v>45996</v>
      </c>
      <c r="S842" s="3" t="s">
        <v>37</v>
      </c>
      <c r="T842" s="3" t="s">
        <v>38</v>
      </c>
      <c r="U842" s="3" t="s">
        <v>39</v>
      </c>
      <c r="V842" s="3">
        <v>155.65</v>
      </c>
      <c r="W842" s="3">
        <v>66.150000000000006</v>
      </c>
      <c r="X842" s="3">
        <v>62.65</v>
      </c>
      <c r="Y842" s="3">
        <v>26.85</v>
      </c>
    </row>
    <row r="843" spans="1:25" ht="60.75" x14ac:dyDescent="0.25">
      <c r="A843" s="3" t="s">
        <v>26</v>
      </c>
      <c r="B843" s="3" t="s">
        <v>27</v>
      </c>
      <c r="C843" s="3" t="s">
        <v>28</v>
      </c>
      <c r="D843" s="3" t="s">
        <v>50</v>
      </c>
      <c r="E843" s="3" t="s">
        <v>173</v>
      </c>
      <c r="F843" s="3" t="s">
        <v>52</v>
      </c>
      <c r="G843" s="3" t="s">
        <v>173</v>
      </c>
      <c r="H843" s="3" t="s">
        <v>45</v>
      </c>
      <c r="I843" s="3">
        <v>2025</v>
      </c>
      <c r="J843" s="3" t="str">
        <f>CONCATENATE("54820066402")</f>
        <v>54820066402</v>
      </c>
      <c r="K843" s="3" t="s">
        <v>33</v>
      </c>
      <c r="L843" s="3"/>
      <c r="M843" s="3" t="s">
        <v>131</v>
      </c>
      <c r="N843" s="3" t="str">
        <f>CONCATENATE("MGALCU83R22I459L")</f>
        <v>MGALCU83R22I459L</v>
      </c>
      <c r="O843" s="3" t="s">
        <v>966</v>
      </c>
      <c r="P843" s="3" t="s">
        <v>36</v>
      </c>
      <c r="Q843" s="3"/>
      <c r="R843" s="4">
        <v>45996</v>
      </c>
      <c r="S843" s="3" t="s">
        <v>37</v>
      </c>
      <c r="T843" s="3" t="s">
        <v>38</v>
      </c>
      <c r="U843" s="3" t="s">
        <v>39</v>
      </c>
      <c r="V843" s="3">
        <v>347.96</v>
      </c>
      <c r="W843" s="3">
        <v>147.88</v>
      </c>
      <c r="X843" s="3">
        <v>140.05000000000001</v>
      </c>
      <c r="Y843" s="3">
        <v>60.03</v>
      </c>
    </row>
    <row r="844" spans="1:25" ht="72.75" x14ac:dyDescent="0.25">
      <c r="A844" s="3" t="s">
        <v>26</v>
      </c>
      <c r="B844" s="3" t="s">
        <v>27</v>
      </c>
      <c r="C844" s="3" t="s">
        <v>28</v>
      </c>
      <c r="D844" s="3" t="s">
        <v>29</v>
      </c>
      <c r="E844" s="3" t="s">
        <v>119</v>
      </c>
      <c r="F844" s="3" t="s">
        <v>31</v>
      </c>
      <c r="G844" s="3" t="s">
        <v>119</v>
      </c>
      <c r="H844" s="3" t="s">
        <v>96</v>
      </c>
      <c r="I844" s="3">
        <v>2025</v>
      </c>
      <c r="J844" s="3" t="str">
        <f>CONCATENATE("54820074042")</f>
        <v>54820074042</v>
      </c>
      <c r="K844" s="3" t="s">
        <v>33</v>
      </c>
      <c r="L844" s="3"/>
      <c r="M844" s="3" t="s">
        <v>131</v>
      </c>
      <c r="N844" s="3" t="str">
        <f>CONCATENATE("MSSLGU48B28D691D")</f>
        <v>MSSLGU48B28D691D</v>
      </c>
      <c r="O844" s="3" t="s">
        <v>967</v>
      </c>
      <c r="P844" s="3" t="s">
        <v>36</v>
      </c>
      <c r="Q844" s="3"/>
      <c r="R844" s="4">
        <v>45996</v>
      </c>
      <c r="S844" s="3" t="s">
        <v>37</v>
      </c>
      <c r="T844" s="3" t="s">
        <v>38</v>
      </c>
      <c r="U844" s="3" t="s">
        <v>39</v>
      </c>
      <c r="V844" s="3">
        <v>81.83</v>
      </c>
      <c r="W844" s="3">
        <v>34.78</v>
      </c>
      <c r="X844" s="3">
        <v>32.94</v>
      </c>
      <c r="Y844" s="3">
        <v>14.11</v>
      </c>
    </row>
    <row r="845" spans="1:25" ht="60.75" x14ac:dyDescent="0.25">
      <c r="A845" s="3" t="s">
        <v>26</v>
      </c>
      <c r="B845" s="3" t="s">
        <v>27</v>
      </c>
      <c r="C845" s="3" t="s">
        <v>28</v>
      </c>
      <c r="D845" s="3" t="s">
        <v>29</v>
      </c>
      <c r="E845" s="3" t="s">
        <v>119</v>
      </c>
      <c r="F845" s="3" t="s">
        <v>31</v>
      </c>
      <c r="G845" s="3" t="s">
        <v>119</v>
      </c>
      <c r="H845" s="3" t="s">
        <v>96</v>
      </c>
      <c r="I845" s="3">
        <v>2025</v>
      </c>
      <c r="J845" s="3" t="str">
        <f>CONCATENATE("54820048061")</f>
        <v>54820048061</v>
      </c>
      <c r="K845" s="3" t="s">
        <v>33</v>
      </c>
      <c r="L845" s="3"/>
      <c r="M845" s="3" t="s">
        <v>131</v>
      </c>
      <c r="N845" s="3" t="str">
        <f>CONCATENATE("ZCCSTN45A03F570T")</f>
        <v>ZCCSTN45A03F570T</v>
      </c>
      <c r="O845" s="3" t="s">
        <v>968</v>
      </c>
      <c r="P845" s="3" t="s">
        <v>36</v>
      </c>
      <c r="Q845" s="3"/>
      <c r="R845" s="4">
        <v>45996</v>
      </c>
      <c r="S845" s="3" t="s">
        <v>37</v>
      </c>
      <c r="T845" s="3" t="s">
        <v>38</v>
      </c>
      <c r="U845" s="3" t="s">
        <v>39</v>
      </c>
      <c r="V845" s="3">
        <v>135.30000000000001</v>
      </c>
      <c r="W845" s="3">
        <v>57.5</v>
      </c>
      <c r="X845" s="3">
        <v>54.46</v>
      </c>
      <c r="Y845" s="3">
        <v>23.34</v>
      </c>
    </row>
    <row r="846" spans="1:25" ht="60.75" x14ac:dyDescent="0.25">
      <c r="A846" s="3" t="s">
        <v>26</v>
      </c>
      <c r="B846" s="3" t="s">
        <v>27</v>
      </c>
      <c r="C846" s="3" t="s">
        <v>28</v>
      </c>
      <c r="D846" s="3" t="s">
        <v>91</v>
      </c>
      <c r="E846" s="3" t="s">
        <v>95</v>
      </c>
      <c r="F846" s="3" t="s">
        <v>93</v>
      </c>
      <c r="G846" s="3" t="s">
        <v>95</v>
      </c>
      <c r="H846" s="3" t="s">
        <v>96</v>
      </c>
      <c r="I846" s="3">
        <v>2025</v>
      </c>
      <c r="J846" s="3" t="str">
        <f>CONCATENATE("54820079579")</f>
        <v>54820079579</v>
      </c>
      <c r="K846" s="3" t="s">
        <v>33</v>
      </c>
      <c r="L846" s="3"/>
      <c r="M846" s="3" t="s">
        <v>131</v>
      </c>
      <c r="N846" s="3" t="str">
        <f>CONCATENATE("SCGSLV74D69E783H")</f>
        <v>SCGSLV74D69E783H</v>
      </c>
      <c r="O846" s="3" t="s">
        <v>969</v>
      </c>
      <c r="P846" s="3" t="s">
        <v>36</v>
      </c>
      <c r="Q846" s="3"/>
      <c r="R846" s="4">
        <v>45996</v>
      </c>
      <c r="S846" s="3" t="s">
        <v>37</v>
      </c>
      <c r="T846" s="3" t="s">
        <v>38</v>
      </c>
      <c r="U846" s="3" t="s">
        <v>39</v>
      </c>
      <c r="V846" s="3">
        <v>500.3</v>
      </c>
      <c r="W846" s="3">
        <v>212.63</v>
      </c>
      <c r="X846" s="3">
        <v>201.37</v>
      </c>
      <c r="Y846" s="3">
        <v>86.3</v>
      </c>
    </row>
    <row r="847" spans="1:25" ht="60.75" x14ac:dyDescent="0.25">
      <c r="A847" s="3" t="s">
        <v>26</v>
      </c>
      <c r="B847" s="3" t="s">
        <v>27</v>
      </c>
      <c r="C847" s="3" t="s">
        <v>28</v>
      </c>
      <c r="D847" s="3" t="s">
        <v>29</v>
      </c>
      <c r="E847" s="3" t="s">
        <v>56</v>
      </c>
      <c r="F847" s="3" t="s">
        <v>31</v>
      </c>
      <c r="G847" s="3" t="s">
        <v>56</v>
      </c>
      <c r="H847" s="3" t="s">
        <v>32</v>
      </c>
      <c r="I847" s="3">
        <v>2025</v>
      </c>
      <c r="J847" s="3" t="str">
        <f>CONCATENATE("54820123393")</f>
        <v>54820123393</v>
      </c>
      <c r="K847" s="3" t="s">
        <v>33</v>
      </c>
      <c r="L847" s="3"/>
      <c r="M847" s="3" t="s">
        <v>131</v>
      </c>
      <c r="N847" s="3" t="str">
        <f>CONCATENATE("SNTSFN76H24B474E")</f>
        <v>SNTSFN76H24B474E</v>
      </c>
      <c r="O847" s="3" t="s">
        <v>970</v>
      </c>
      <c r="P847" s="3" t="s">
        <v>36</v>
      </c>
      <c r="Q847" s="3"/>
      <c r="R847" s="4">
        <v>45996</v>
      </c>
      <c r="S847" s="3" t="s">
        <v>37</v>
      </c>
      <c r="T847" s="3" t="s">
        <v>38</v>
      </c>
      <c r="U847" s="3" t="s">
        <v>39</v>
      </c>
      <c r="V847" s="3">
        <v>102.37</v>
      </c>
      <c r="W847" s="3">
        <v>43.51</v>
      </c>
      <c r="X847" s="3">
        <v>41.2</v>
      </c>
      <c r="Y847" s="3">
        <v>17.66</v>
      </c>
    </row>
    <row r="848" spans="1:25" ht="60.75" x14ac:dyDescent="0.25">
      <c r="A848" s="3" t="s">
        <v>26</v>
      </c>
      <c r="B848" s="3" t="s">
        <v>27</v>
      </c>
      <c r="C848" s="3" t="s">
        <v>28</v>
      </c>
      <c r="D848" s="3" t="s">
        <v>29</v>
      </c>
      <c r="E848" s="3" t="s">
        <v>228</v>
      </c>
      <c r="F848" s="3" t="s">
        <v>31</v>
      </c>
      <c r="G848" s="3" t="s">
        <v>228</v>
      </c>
      <c r="H848" s="3" t="s">
        <v>45</v>
      </c>
      <c r="I848" s="3">
        <v>2025</v>
      </c>
      <c r="J848" s="3" t="str">
        <f>CONCATENATE("54820053392")</f>
        <v>54820053392</v>
      </c>
      <c r="K848" s="3" t="s">
        <v>33</v>
      </c>
      <c r="L848" s="3"/>
      <c r="M848" s="3" t="s">
        <v>131</v>
      </c>
      <c r="N848" s="3" t="str">
        <f>CONCATENATE("CRNGRG64E29D749C")</f>
        <v>CRNGRG64E29D749C</v>
      </c>
      <c r="O848" s="3" t="s">
        <v>971</v>
      </c>
      <c r="P848" s="3" t="s">
        <v>36</v>
      </c>
      <c r="Q848" s="3"/>
      <c r="R848" s="4">
        <v>45996</v>
      </c>
      <c r="S848" s="3" t="s">
        <v>37</v>
      </c>
      <c r="T848" s="3" t="s">
        <v>38</v>
      </c>
      <c r="U848" s="3" t="s">
        <v>39</v>
      </c>
      <c r="V848" s="3">
        <v>445.44</v>
      </c>
      <c r="W848" s="3">
        <v>189.31</v>
      </c>
      <c r="X848" s="3">
        <v>179.29</v>
      </c>
      <c r="Y848" s="3">
        <v>76.84</v>
      </c>
    </row>
    <row r="849" spans="1:25" ht="36.75" x14ac:dyDescent="0.25">
      <c r="A849" s="3" t="s">
        <v>26</v>
      </c>
      <c r="B849" s="3" t="s">
        <v>27</v>
      </c>
      <c r="C849" s="3" t="s">
        <v>28</v>
      </c>
      <c r="D849" s="3" t="s">
        <v>29</v>
      </c>
      <c r="E849" s="3" t="s">
        <v>186</v>
      </c>
      <c r="F849" s="3" t="s">
        <v>31</v>
      </c>
      <c r="G849" s="3" t="s">
        <v>186</v>
      </c>
      <c r="H849" s="3" t="s">
        <v>45</v>
      </c>
      <c r="I849" s="3">
        <v>2025</v>
      </c>
      <c r="J849" s="3" t="str">
        <f>CONCATENATE("54820054150")</f>
        <v>54820054150</v>
      </c>
      <c r="K849" s="3" t="s">
        <v>33</v>
      </c>
      <c r="L849" s="3"/>
      <c r="M849" s="3" t="s">
        <v>131</v>
      </c>
      <c r="N849" s="3" t="str">
        <f>CONCATENATE("02826240414")</f>
        <v>02826240414</v>
      </c>
      <c r="O849" s="3" t="s">
        <v>972</v>
      </c>
      <c r="P849" s="3" t="s">
        <v>36</v>
      </c>
      <c r="Q849" s="3"/>
      <c r="R849" s="4">
        <v>45996</v>
      </c>
      <c r="S849" s="3" t="s">
        <v>37</v>
      </c>
      <c r="T849" s="3" t="s">
        <v>38</v>
      </c>
      <c r="U849" s="3" t="s">
        <v>39</v>
      </c>
      <c r="V849" s="3">
        <v>565.78</v>
      </c>
      <c r="W849" s="3">
        <v>240.46</v>
      </c>
      <c r="X849" s="3">
        <v>227.73</v>
      </c>
      <c r="Y849" s="3">
        <v>97.59</v>
      </c>
    </row>
    <row r="850" spans="1:25" ht="60.75" x14ac:dyDescent="0.25">
      <c r="A850" s="3" t="s">
        <v>26</v>
      </c>
      <c r="B850" s="3" t="s">
        <v>27</v>
      </c>
      <c r="C850" s="3" t="s">
        <v>28</v>
      </c>
      <c r="D850" s="3" t="s">
        <v>91</v>
      </c>
      <c r="E850" s="3" t="s">
        <v>95</v>
      </c>
      <c r="F850" s="3" t="s">
        <v>93</v>
      </c>
      <c r="G850" s="3" t="s">
        <v>95</v>
      </c>
      <c r="H850" s="3" t="s">
        <v>96</v>
      </c>
      <c r="I850" s="3">
        <v>2025</v>
      </c>
      <c r="J850" s="3" t="str">
        <f>CONCATENATE("54820060942")</f>
        <v>54820060942</v>
      </c>
      <c r="K850" s="3" t="s">
        <v>33</v>
      </c>
      <c r="L850" s="3"/>
      <c r="M850" s="3" t="s">
        <v>131</v>
      </c>
      <c r="N850" s="3" t="str">
        <f>CONCATENATE("PTRLCN70D19A044P")</f>
        <v>PTRLCN70D19A044P</v>
      </c>
      <c r="O850" s="3" t="s">
        <v>973</v>
      </c>
      <c r="P850" s="3" t="s">
        <v>36</v>
      </c>
      <c r="Q850" s="3"/>
      <c r="R850" s="4">
        <v>45996</v>
      </c>
      <c r="S850" s="3" t="s">
        <v>37</v>
      </c>
      <c r="T850" s="3" t="s">
        <v>38</v>
      </c>
      <c r="U850" s="3" t="s">
        <v>39</v>
      </c>
      <c r="V850" s="3">
        <v>74.400000000000006</v>
      </c>
      <c r="W850" s="3">
        <v>31.62</v>
      </c>
      <c r="X850" s="3">
        <v>29.95</v>
      </c>
      <c r="Y850" s="3">
        <v>12.83</v>
      </c>
    </row>
    <row r="851" spans="1:25" ht="60.75" x14ac:dyDescent="0.25">
      <c r="A851" s="3" t="s">
        <v>26</v>
      </c>
      <c r="B851" s="3" t="s">
        <v>27</v>
      </c>
      <c r="C851" s="3" t="s">
        <v>28</v>
      </c>
      <c r="D851" s="3" t="s">
        <v>29</v>
      </c>
      <c r="E851" s="3" t="s">
        <v>119</v>
      </c>
      <c r="F851" s="3" t="s">
        <v>31</v>
      </c>
      <c r="G851" s="3" t="s">
        <v>119</v>
      </c>
      <c r="H851" s="3" t="s">
        <v>96</v>
      </c>
      <c r="I851" s="3">
        <v>2025</v>
      </c>
      <c r="J851" s="3" t="str">
        <f>CONCATENATE("54820089230")</f>
        <v>54820089230</v>
      </c>
      <c r="K851" s="3" t="s">
        <v>33</v>
      </c>
      <c r="L851" s="3"/>
      <c r="M851" s="3" t="s">
        <v>131</v>
      </c>
      <c r="N851" s="3" t="str">
        <f>CONCATENATE("TLZLEI60S01A252O")</f>
        <v>TLZLEI60S01A252O</v>
      </c>
      <c r="O851" s="3" t="s">
        <v>974</v>
      </c>
      <c r="P851" s="3" t="s">
        <v>36</v>
      </c>
      <c r="Q851" s="3"/>
      <c r="R851" s="4">
        <v>45996</v>
      </c>
      <c r="S851" s="3" t="s">
        <v>37</v>
      </c>
      <c r="T851" s="3" t="s">
        <v>38</v>
      </c>
      <c r="U851" s="3" t="s">
        <v>39</v>
      </c>
      <c r="V851" s="3">
        <v>160.72</v>
      </c>
      <c r="W851" s="3">
        <v>68.31</v>
      </c>
      <c r="X851" s="3">
        <v>64.69</v>
      </c>
      <c r="Y851" s="3">
        <v>27.72</v>
      </c>
    </row>
    <row r="852" spans="1:25" ht="60.75" x14ac:dyDescent="0.25">
      <c r="A852" s="3" t="s">
        <v>26</v>
      </c>
      <c r="B852" s="3" t="s">
        <v>27</v>
      </c>
      <c r="C852" s="3" t="s">
        <v>28</v>
      </c>
      <c r="D852" s="3" t="s">
        <v>29</v>
      </c>
      <c r="E852" s="3" t="s">
        <v>228</v>
      </c>
      <c r="F852" s="3" t="s">
        <v>31</v>
      </c>
      <c r="G852" s="3" t="s">
        <v>228</v>
      </c>
      <c r="H852" s="3" t="s">
        <v>45</v>
      </c>
      <c r="I852" s="3">
        <v>2025</v>
      </c>
      <c r="J852" s="3" t="str">
        <f>CONCATENATE("54820066683")</f>
        <v>54820066683</v>
      </c>
      <c r="K852" s="3" t="s">
        <v>33</v>
      </c>
      <c r="L852" s="3"/>
      <c r="M852" s="3" t="s">
        <v>131</v>
      </c>
      <c r="N852" s="3" t="str">
        <f>CONCATENATE("VGLPLA51R01D541D")</f>
        <v>VGLPLA51R01D541D</v>
      </c>
      <c r="O852" s="3" t="s">
        <v>975</v>
      </c>
      <c r="P852" s="3" t="s">
        <v>36</v>
      </c>
      <c r="Q852" s="3"/>
      <c r="R852" s="4">
        <v>45996</v>
      </c>
      <c r="S852" s="3" t="s">
        <v>37</v>
      </c>
      <c r="T852" s="3" t="s">
        <v>38</v>
      </c>
      <c r="U852" s="3" t="s">
        <v>39</v>
      </c>
      <c r="V852" s="3">
        <v>276.85000000000002</v>
      </c>
      <c r="W852" s="3">
        <v>117.66</v>
      </c>
      <c r="X852" s="3">
        <v>111.43</v>
      </c>
      <c r="Y852" s="3">
        <v>47.76</v>
      </c>
    </row>
    <row r="853" spans="1:25" ht="60.75" x14ac:dyDescent="0.25">
      <c r="A853" s="3" t="s">
        <v>26</v>
      </c>
      <c r="B853" s="3" t="s">
        <v>27</v>
      </c>
      <c r="C853" s="3" t="s">
        <v>28</v>
      </c>
      <c r="D853" s="3" t="s">
        <v>29</v>
      </c>
      <c r="E853" s="3" t="s">
        <v>136</v>
      </c>
      <c r="F853" s="3" t="s">
        <v>31</v>
      </c>
      <c r="G853" s="3" t="s">
        <v>136</v>
      </c>
      <c r="H853" s="3" t="s">
        <v>48</v>
      </c>
      <c r="I853" s="3">
        <v>2025</v>
      </c>
      <c r="J853" s="3" t="str">
        <f>CONCATENATE("54820154364")</f>
        <v>54820154364</v>
      </c>
      <c r="K853" s="3" t="s">
        <v>33</v>
      </c>
      <c r="L853" s="3"/>
      <c r="M853" s="3" t="s">
        <v>131</v>
      </c>
      <c r="N853" s="3" t="str">
        <f>CONCATENATE("CNCGPP54L11I461O")</f>
        <v>CNCGPP54L11I461O</v>
      </c>
      <c r="O853" s="3" t="s">
        <v>976</v>
      </c>
      <c r="P853" s="3" t="s">
        <v>36</v>
      </c>
      <c r="Q853" s="3"/>
      <c r="R853" s="4">
        <v>45996</v>
      </c>
      <c r="S853" s="3" t="s">
        <v>37</v>
      </c>
      <c r="T853" s="3" t="s">
        <v>38</v>
      </c>
      <c r="U853" s="3" t="s">
        <v>39</v>
      </c>
      <c r="V853" s="3">
        <v>230.45</v>
      </c>
      <c r="W853" s="3">
        <v>97.94</v>
      </c>
      <c r="X853" s="3">
        <v>92.76</v>
      </c>
      <c r="Y853" s="3">
        <v>39.75</v>
      </c>
    </row>
    <row r="854" spans="1:25" ht="60.75" x14ac:dyDescent="0.25">
      <c r="A854" s="3" t="s">
        <v>26</v>
      </c>
      <c r="B854" s="3" t="s">
        <v>27</v>
      </c>
      <c r="C854" s="3" t="s">
        <v>28</v>
      </c>
      <c r="D854" s="3" t="s">
        <v>29</v>
      </c>
      <c r="E854" s="3" t="s">
        <v>56</v>
      </c>
      <c r="F854" s="3" t="s">
        <v>31</v>
      </c>
      <c r="G854" s="3" t="s">
        <v>56</v>
      </c>
      <c r="H854" s="3" t="s">
        <v>32</v>
      </c>
      <c r="I854" s="3">
        <v>2025</v>
      </c>
      <c r="J854" s="3" t="str">
        <f>CONCATENATE("54820099809")</f>
        <v>54820099809</v>
      </c>
      <c r="K854" s="3" t="s">
        <v>33</v>
      </c>
      <c r="L854" s="3"/>
      <c r="M854" s="3" t="s">
        <v>131</v>
      </c>
      <c r="N854" s="3" t="str">
        <f>CONCATENATE("MGLSRG62R20B474K")</f>
        <v>MGLSRG62R20B474K</v>
      </c>
      <c r="O854" s="3" t="s">
        <v>977</v>
      </c>
      <c r="P854" s="3" t="s">
        <v>36</v>
      </c>
      <c r="Q854" s="3"/>
      <c r="R854" s="4">
        <v>45996</v>
      </c>
      <c r="S854" s="3" t="s">
        <v>37</v>
      </c>
      <c r="T854" s="3" t="s">
        <v>38</v>
      </c>
      <c r="U854" s="3" t="s">
        <v>39</v>
      </c>
      <c r="V854" s="3">
        <v>131.07</v>
      </c>
      <c r="W854" s="3">
        <v>55.7</v>
      </c>
      <c r="X854" s="3">
        <v>52.76</v>
      </c>
      <c r="Y854" s="3">
        <v>22.61</v>
      </c>
    </row>
    <row r="855" spans="1:25" ht="72.75" x14ac:dyDescent="0.25">
      <c r="A855" s="3" t="s">
        <v>26</v>
      </c>
      <c r="B855" s="3" t="s">
        <v>27</v>
      </c>
      <c r="C855" s="3" t="s">
        <v>28</v>
      </c>
      <c r="D855" s="3" t="s">
        <v>29</v>
      </c>
      <c r="E855" s="3" t="s">
        <v>136</v>
      </c>
      <c r="F855" s="3" t="s">
        <v>31</v>
      </c>
      <c r="G855" s="3" t="s">
        <v>136</v>
      </c>
      <c r="H855" s="3" t="s">
        <v>48</v>
      </c>
      <c r="I855" s="3">
        <v>2025</v>
      </c>
      <c r="J855" s="3" t="str">
        <f>CONCATENATE("54820077425")</f>
        <v>54820077425</v>
      </c>
      <c r="K855" s="3" t="s">
        <v>33</v>
      </c>
      <c r="L855" s="3"/>
      <c r="M855" s="3" t="s">
        <v>131</v>
      </c>
      <c r="N855" s="3" t="str">
        <f>CONCATENATE("MLTDRD38R13D965B")</f>
        <v>MLTDRD38R13D965B</v>
      </c>
      <c r="O855" s="3" t="s">
        <v>978</v>
      </c>
      <c r="P855" s="3" t="s">
        <v>36</v>
      </c>
      <c r="Q855" s="3"/>
      <c r="R855" s="4">
        <v>45996</v>
      </c>
      <c r="S855" s="3" t="s">
        <v>37</v>
      </c>
      <c r="T855" s="3" t="s">
        <v>38</v>
      </c>
      <c r="U855" s="3" t="s">
        <v>39</v>
      </c>
      <c r="V855" s="3">
        <v>248.23</v>
      </c>
      <c r="W855" s="3">
        <v>105.5</v>
      </c>
      <c r="X855" s="3">
        <v>99.91</v>
      </c>
      <c r="Y855" s="3">
        <v>42.82</v>
      </c>
    </row>
    <row r="856" spans="1:25" ht="60.75" x14ac:dyDescent="0.25">
      <c r="A856" s="3" t="s">
        <v>26</v>
      </c>
      <c r="B856" s="3" t="s">
        <v>27</v>
      </c>
      <c r="C856" s="3" t="s">
        <v>28</v>
      </c>
      <c r="D856" s="3" t="s">
        <v>29</v>
      </c>
      <c r="E856" s="3" t="s">
        <v>233</v>
      </c>
      <c r="F856" s="3" t="s">
        <v>31</v>
      </c>
      <c r="G856" s="3" t="s">
        <v>233</v>
      </c>
      <c r="H856" s="3" t="s">
        <v>96</v>
      </c>
      <c r="I856" s="3">
        <v>2025</v>
      </c>
      <c r="J856" s="3" t="str">
        <f>CONCATENATE("54820066519")</f>
        <v>54820066519</v>
      </c>
      <c r="K856" s="3" t="s">
        <v>33</v>
      </c>
      <c r="L856" s="3"/>
      <c r="M856" s="3" t="s">
        <v>131</v>
      </c>
      <c r="N856" s="3" t="str">
        <f>CONCATENATE("PCAFLC63P06A437E")</f>
        <v>PCAFLC63P06A437E</v>
      </c>
      <c r="O856" s="3" t="s">
        <v>979</v>
      </c>
      <c r="P856" s="3" t="s">
        <v>36</v>
      </c>
      <c r="Q856" s="3"/>
      <c r="R856" s="4">
        <v>45996</v>
      </c>
      <c r="S856" s="3" t="s">
        <v>37</v>
      </c>
      <c r="T856" s="3" t="s">
        <v>38</v>
      </c>
      <c r="U856" s="3" t="s">
        <v>39</v>
      </c>
      <c r="V856" s="3">
        <v>122.3</v>
      </c>
      <c r="W856" s="3">
        <v>51.98</v>
      </c>
      <c r="X856" s="3">
        <v>49.23</v>
      </c>
      <c r="Y856" s="3">
        <v>21.09</v>
      </c>
    </row>
    <row r="857" spans="1:25" ht="36.75" x14ac:dyDescent="0.25">
      <c r="A857" s="3" t="s">
        <v>26</v>
      </c>
      <c r="B857" s="3" t="s">
        <v>27</v>
      </c>
      <c r="C857" s="3" t="s">
        <v>28</v>
      </c>
      <c r="D857" s="3" t="s">
        <v>29</v>
      </c>
      <c r="E857" s="3" t="s">
        <v>119</v>
      </c>
      <c r="F857" s="3" t="s">
        <v>31</v>
      </c>
      <c r="G857" s="3" t="s">
        <v>119</v>
      </c>
      <c r="H857" s="3" t="s">
        <v>96</v>
      </c>
      <c r="I857" s="3">
        <v>2025</v>
      </c>
      <c r="J857" s="3" t="str">
        <f>CONCATENATE("54820044938")</f>
        <v>54820044938</v>
      </c>
      <c r="K857" s="3" t="s">
        <v>33</v>
      </c>
      <c r="L857" s="3"/>
      <c r="M857" s="3" t="s">
        <v>131</v>
      </c>
      <c r="N857" s="3" t="str">
        <f>CONCATENATE("01263460444")</f>
        <v>01263460444</v>
      </c>
      <c r="O857" s="3" t="s">
        <v>980</v>
      </c>
      <c r="P857" s="3" t="s">
        <v>36</v>
      </c>
      <c r="Q857" s="3"/>
      <c r="R857" s="4">
        <v>45996</v>
      </c>
      <c r="S857" s="3" t="s">
        <v>37</v>
      </c>
      <c r="T857" s="3" t="s">
        <v>38</v>
      </c>
      <c r="U857" s="3" t="s">
        <v>39</v>
      </c>
      <c r="V857" s="3">
        <v>576.14</v>
      </c>
      <c r="W857" s="3">
        <v>244.86</v>
      </c>
      <c r="X857" s="3">
        <v>231.9</v>
      </c>
      <c r="Y857" s="3">
        <v>99.38</v>
      </c>
    </row>
    <row r="858" spans="1:25" ht="36.75" x14ac:dyDescent="0.25">
      <c r="A858" s="3" t="s">
        <v>26</v>
      </c>
      <c r="B858" s="3" t="s">
        <v>27</v>
      </c>
      <c r="C858" s="3" t="s">
        <v>28</v>
      </c>
      <c r="D858" s="3" t="s">
        <v>29</v>
      </c>
      <c r="E858" s="3" t="s">
        <v>981</v>
      </c>
      <c r="F858" s="3" t="s">
        <v>31</v>
      </c>
      <c r="G858" s="3" t="s">
        <v>981</v>
      </c>
      <c r="H858" s="3" t="s">
        <v>32</v>
      </c>
      <c r="I858" s="3">
        <v>2025</v>
      </c>
      <c r="J858" s="3" t="str">
        <f>CONCATENATE("54820085097")</f>
        <v>54820085097</v>
      </c>
      <c r="K858" s="3" t="s">
        <v>33</v>
      </c>
      <c r="L858" s="3"/>
      <c r="M858" s="3" t="s">
        <v>131</v>
      </c>
      <c r="N858" s="3" t="str">
        <f>CONCATENATE("03589610546")</f>
        <v>03589610546</v>
      </c>
      <c r="O858" s="3" t="s">
        <v>982</v>
      </c>
      <c r="P858" s="3" t="s">
        <v>36</v>
      </c>
      <c r="Q858" s="3"/>
      <c r="R858" s="4">
        <v>45996</v>
      </c>
      <c r="S858" s="3" t="s">
        <v>37</v>
      </c>
      <c r="T858" s="3" t="s">
        <v>38</v>
      </c>
      <c r="U858" s="3" t="s">
        <v>39</v>
      </c>
      <c r="V858" s="5">
        <v>1023.04</v>
      </c>
      <c r="W858" s="3">
        <v>434.79</v>
      </c>
      <c r="X858" s="3">
        <v>411.77</v>
      </c>
      <c r="Y858" s="3">
        <v>176.48</v>
      </c>
    </row>
    <row r="859" spans="1:25" ht="60.75" x14ac:dyDescent="0.25">
      <c r="A859" s="3" t="s">
        <v>26</v>
      </c>
      <c r="B859" s="3" t="s">
        <v>27</v>
      </c>
      <c r="C859" s="3" t="s">
        <v>28</v>
      </c>
      <c r="D859" s="3" t="s">
        <v>29</v>
      </c>
      <c r="E859" s="3" t="s">
        <v>68</v>
      </c>
      <c r="F859" s="3" t="s">
        <v>31</v>
      </c>
      <c r="G859" s="3" t="s">
        <v>68</v>
      </c>
      <c r="H859" s="3" t="s">
        <v>32</v>
      </c>
      <c r="I859" s="3">
        <v>2025</v>
      </c>
      <c r="J859" s="3" t="str">
        <f>CONCATENATE("54820104146")</f>
        <v>54820104146</v>
      </c>
      <c r="K859" s="3" t="s">
        <v>33</v>
      </c>
      <c r="L859" s="3"/>
      <c r="M859" s="3" t="s">
        <v>131</v>
      </c>
      <c r="N859" s="3" t="str">
        <f>CONCATENATE("VCRLRD51R30I436Z")</f>
        <v>VCRLRD51R30I436Z</v>
      </c>
      <c r="O859" s="3" t="s">
        <v>983</v>
      </c>
      <c r="P859" s="3" t="s">
        <v>36</v>
      </c>
      <c r="Q859" s="3"/>
      <c r="R859" s="4">
        <v>45996</v>
      </c>
      <c r="S859" s="3" t="s">
        <v>37</v>
      </c>
      <c r="T859" s="3" t="s">
        <v>38</v>
      </c>
      <c r="U859" s="3" t="s">
        <v>39</v>
      </c>
      <c r="V859" s="3">
        <v>124.62</v>
      </c>
      <c r="W859" s="3">
        <v>52.96</v>
      </c>
      <c r="X859" s="3">
        <v>50.16</v>
      </c>
      <c r="Y859" s="3">
        <v>21.5</v>
      </c>
    </row>
    <row r="860" spans="1:25" ht="72.75" x14ac:dyDescent="0.25">
      <c r="A860" s="3" t="s">
        <v>26</v>
      </c>
      <c r="B860" s="3" t="s">
        <v>27</v>
      </c>
      <c r="C860" s="3" t="s">
        <v>28</v>
      </c>
      <c r="D860" s="3" t="s">
        <v>104</v>
      </c>
      <c r="E860" s="3" t="s">
        <v>984</v>
      </c>
      <c r="F860" s="3" t="s">
        <v>104</v>
      </c>
      <c r="G860" s="3" t="s">
        <v>984</v>
      </c>
      <c r="H860" s="3" t="s">
        <v>32</v>
      </c>
      <c r="I860" s="3">
        <v>2025</v>
      </c>
      <c r="J860" s="3" t="str">
        <f>CONCATENATE("54820162235")</f>
        <v>54820162235</v>
      </c>
      <c r="K860" s="3" t="s">
        <v>33</v>
      </c>
      <c r="L860" s="3"/>
      <c r="M860" s="3" t="s">
        <v>131</v>
      </c>
      <c r="N860" s="3" t="str">
        <f>CONCATENATE("VNNBLD88M18D653Q")</f>
        <v>VNNBLD88M18D653Q</v>
      </c>
      <c r="O860" s="3" t="s">
        <v>985</v>
      </c>
      <c r="P860" s="3" t="s">
        <v>36</v>
      </c>
      <c r="Q860" s="3"/>
      <c r="R860" s="4">
        <v>45996</v>
      </c>
      <c r="S860" s="3" t="s">
        <v>37</v>
      </c>
      <c r="T860" s="3" t="s">
        <v>38</v>
      </c>
      <c r="U860" s="3" t="s">
        <v>39</v>
      </c>
      <c r="V860" s="3">
        <v>134.22999999999999</v>
      </c>
      <c r="W860" s="3">
        <v>57.05</v>
      </c>
      <c r="X860" s="3">
        <v>54.03</v>
      </c>
      <c r="Y860" s="3">
        <v>23.15</v>
      </c>
    </row>
    <row r="861" spans="1:25" ht="60.75" x14ac:dyDescent="0.25">
      <c r="A861" s="3" t="s">
        <v>26</v>
      </c>
      <c r="B861" s="3" t="s">
        <v>27</v>
      </c>
      <c r="C861" s="3" t="s">
        <v>28</v>
      </c>
      <c r="D861" s="3" t="s">
        <v>29</v>
      </c>
      <c r="E861" s="3" t="s">
        <v>136</v>
      </c>
      <c r="F861" s="3" t="s">
        <v>31</v>
      </c>
      <c r="G861" s="3" t="s">
        <v>136</v>
      </c>
      <c r="H861" s="3" t="s">
        <v>48</v>
      </c>
      <c r="I861" s="3">
        <v>2025</v>
      </c>
      <c r="J861" s="3" t="str">
        <f>CONCATENATE("54820068028")</f>
        <v>54820068028</v>
      </c>
      <c r="K861" s="3" t="s">
        <v>33</v>
      </c>
      <c r="L861" s="3"/>
      <c r="M861" s="3" t="s">
        <v>131</v>
      </c>
      <c r="N861" s="3" t="str">
        <f>CONCATENATE("FRNGFR45L16A366S")</f>
        <v>FRNGFR45L16A366S</v>
      </c>
      <c r="O861" s="3" t="s">
        <v>986</v>
      </c>
      <c r="P861" s="3" t="s">
        <v>36</v>
      </c>
      <c r="Q861" s="3"/>
      <c r="R861" s="4">
        <v>45996</v>
      </c>
      <c r="S861" s="3" t="s">
        <v>37</v>
      </c>
      <c r="T861" s="3" t="s">
        <v>38</v>
      </c>
      <c r="U861" s="3" t="s">
        <v>39</v>
      </c>
      <c r="V861" s="3">
        <v>296.52</v>
      </c>
      <c r="W861" s="3">
        <v>126.02</v>
      </c>
      <c r="X861" s="3">
        <v>119.35</v>
      </c>
      <c r="Y861" s="3">
        <v>51.15</v>
      </c>
    </row>
    <row r="862" spans="1:25" ht="60.75" x14ac:dyDescent="0.25">
      <c r="A862" s="3" t="s">
        <v>26</v>
      </c>
      <c r="B862" s="3" t="s">
        <v>27</v>
      </c>
      <c r="C862" s="3" t="s">
        <v>28</v>
      </c>
      <c r="D862" s="3" t="s">
        <v>91</v>
      </c>
      <c r="E862" s="3" t="s">
        <v>522</v>
      </c>
      <c r="F862" s="3" t="s">
        <v>93</v>
      </c>
      <c r="G862" s="3" t="s">
        <v>522</v>
      </c>
      <c r="H862" s="3" t="s">
        <v>32</v>
      </c>
      <c r="I862" s="3">
        <v>2025</v>
      </c>
      <c r="J862" s="3" t="str">
        <f>CONCATENATE("54820100490")</f>
        <v>54820100490</v>
      </c>
      <c r="K862" s="3" t="s">
        <v>33</v>
      </c>
      <c r="L862" s="3"/>
      <c r="M862" s="3" t="s">
        <v>131</v>
      </c>
      <c r="N862" s="3" t="str">
        <f>CONCATENATE("CRRVLR95T05H501P")</f>
        <v>CRRVLR95T05H501P</v>
      </c>
      <c r="O862" s="3" t="s">
        <v>987</v>
      </c>
      <c r="P862" s="3" t="s">
        <v>36</v>
      </c>
      <c r="Q862" s="3"/>
      <c r="R862" s="4">
        <v>45996</v>
      </c>
      <c r="S862" s="3" t="s">
        <v>37</v>
      </c>
      <c r="T862" s="3" t="s">
        <v>38</v>
      </c>
      <c r="U862" s="3" t="s">
        <v>39</v>
      </c>
      <c r="V862" s="3">
        <v>762.37</v>
      </c>
      <c r="W862" s="3">
        <v>324.01</v>
      </c>
      <c r="X862" s="3">
        <v>306.85000000000002</v>
      </c>
      <c r="Y862" s="3">
        <v>131.51</v>
      </c>
    </row>
    <row r="863" spans="1:25" ht="60.75" x14ac:dyDescent="0.25">
      <c r="A863" s="3" t="s">
        <v>26</v>
      </c>
      <c r="B863" s="3" t="s">
        <v>27</v>
      </c>
      <c r="C863" s="3" t="s">
        <v>28</v>
      </c>
      <c r="D863" s="3" t="s">
        <v>29</v>
      </c>
      <c r="E863" s="3" t="s">
        <v>72</v>
      </c>
      <c r="F863" s="3" t="s">
        <v>31</v>
      </c>
      <c r="G863" s="3" t="s">
        <v>72</v>
      </c>
      <c r="H863" s="3" t="s">
        <v>45</v>
      </c>
      <c r="I863" s="3">
        <v>2025</v>
      </c>
      <c r="J863" s="3" t="str">
        <f>CONCATENATE("54820101985")</f>
        <v>54820101985</v>
      </c>
      <c r="K863" s="3" t="s">
        <v>33</v>
      </c>
      <c r="L863" s="3"/>
      <c r="M863" s="3" t="s">
        <v>131</v>
      </c>
      <c r="N863" s="3" t="str">
        <f>CONCATENATE("DRNPPL62H29A035R")</f>
        <v>DRNPPL62H29A035R</v>
      </c>
      <c r="O863" s="3" t="s">
        <v>988</v>
      </c>
      <c r="P863" s="3" t="s">
        <v>36</v>
      </c>
      <c r="Q863" s="3"/>
      <c r="R863" s="4">
        <v>45996</v>
      </c>
      <c r="S863" s="3" t="s">
        <v>37</v>
      </c>
      <c r="T863" s="3" t="s">
        <v>38</v>
      </c>
      <c r="U863" s="3" t="s">
        <v>39</v>
      </c>
      <c r="V863" s="3">
        <v>859.08</v>
      </c>
      <c r="W863" s="3">
        <v>365.11</v>
      </c>
      <c r="X863" s="3">
        <v>345.78</v>
      </c>
      <c r="Y863" s="3">
        <v>148.19</v>
      </c>
    </row>
    <row r="864" spans="1:25" ht="36.75" x14ac:dyDescent="0.25">
      <c r="A864" s="3" t="s">
        <v>26</v>
      </c>
      <c r="B864" s="3" t="s">
        <v>27</v>
      </c>
      <c r="C864" s="3" t="s">
        <v>28</v>
      </c>
      <c r="D864" s="3" t="s">
        <v>40</v>
      </c>
      <c r="E864" s="3" t="s">
        <v>99</v>
      </c>
      <c r="F864" s="3" t="s">
        <v>42</v>
      </c>
      <c r="G864" s="3" t="s">
        <v>99</v>
      </c>
      <c r="H864" s="3" t="s">
        <v>32</v>
      </c>
      <c r="I864" s="3">
        <v>2025</v>
      </c>
      <c r="J864" s="3" t="str">
        <f>CONCATENATE("54820124227")</f>
        <v>54820124227</v>
      </c>
      <c r="K864" s="3" t="s">
        <v>33</v>
      </c>
      <c r="L864" s="3"/>
      <c r="M864" s="3" t="s">
        <v>131</v>
      </c>
      <c r="N864" s="3" t="str">
        <f>CONCATENATE("02115330439")</f>
        <v>02115330439</v>
      </c>
      <c r="O864" s="3" t="s">
        <v>989</v>
      </c>
      <c r="P864" s="3" t="s">
        <v>36</v>
      </c>
      <c r="Q864" s="3"/>
      <c r="R864" s="4">
        <v>45996</v>
      </c>
      <c r="S864" s="3" t="s">
        <v>37</v>
      </c>
      <c r="T864" s="3" t="s">
        <v>38</v>
      </c>
      <c r="U864" s="3" t="s">
        <v>39</v>
      </c>
      <c r="V864" s="3">
        <v>721.9</v>
      </c>
      <c r="W864" s="3">
        <v>306.81</v>
      </c>
      <c r="X864" s="3">
        <v>290.56</v>
      </c>
      <c r="Y864" s="3">
        <v>124.53</v>
      </c>
    </row>
    <row r="865" spans="1:25" ht="72.75" x14ac:dyDescent="0.25">
      <c r="A865" s="3" t="s">
        <v>26</v>
      </c>
      <c r="B865" s="3" t="s">
        <v>27</v>
      </c>
      <c r="C865" s="3" t="s">
        <v>28</v>
      </c>
      <c r="D865" s="3" t="s">
        <v>91</v>
      </c>
      <c r="E865" s="3" t="s">
        <v>151</v>
      </c>
      <c r="F865" s="3" t="s">
        <v>93</v>
      </c>
      <c r="G865" s="3" t="s">
        <v>151</v>
      </c>
      <c r="H865" s="3" t="s">
        <v>45</v>
      </c>
      <c r="I865" s="3">
        <v>2025</v>
      </c>
      <c r="J865" s="3" t="str">
        <f>CONCATENATE("54820145073")</f>
        <v>54820145073</v>
      </c>
      <c r="K865" s="3" t="s">
        <v>33</v>
      </c>
      <c r="L865" s="3"/>
      <c r="M865" s="3" t="s">
        <v>131</v>
      </c>
      <c r="N865" s="3" t="str">
        <f>CONCATENATE("PRTCNZ62A60D749V")</f>
        <v>PRTCNZ62A60D749V</v>
      </c>
      <c r="O865" s="3" t="s">
        <v>990</v>
      </c>
      <c r="P865" s="3" t="s">
        <v>36</v>
      </c>
      <c r="Q865" s="3"/>
      <c r="R865" s="4">
        <v>45996</v>
      </c>
      <c r="S865" s="3" t="s">
        <v>37</v>
      </c>
      <c r="T865" s="3" t="s">
        <v>38</v>
      </c>
      <c r="U865" s="3" t="s">
        <v>39</v>
      </c>
      <c r="V865" s="3">
        <v>194.4</v>
      </c>
      <c r="W865" s="3">
        <v>82.62</v>
      </c>
      <c r="X865" s="3">
        <v>78.25</v>
      </c>
      <c r="Y865" s="3">
        <v>33.53</v>
      </c>
    </row>
    <row r="866" spans="1:25" ht="72.75" x14ac:dyDescent="0.25">
      <c r="A866" s="3" t="s">
        <v>26</v>
      </c>
      <c r="B866" s="3" t="s">
        <v>27</v>
      </c>
      <c r="C866" s="3" t="s">
        <v>28</v>
      </c>
      <c r="D866" s="3" t="s">
        <v>50</v>
      </c>
      <c r="E866" s="3" t="s">
        <v>60</v>
      </c>
      <c r="F866" s="3" t="s">
        <v>52</v>
      </c>
      <c r="G866" s="3" t="s">
        <v>60</v>
      </c>
      <c r="H866" s="3" t="s">
        <v>45</v>
      </c>
      <c r="I866" s="3">
        <v>2025</v>
      </c>
      <c r="J866" s="3" t="str">
        <f>CONCATENATE("54820131024")</f>
        <v>54820131024</v>
      </c>
      <c r="K866" s="3" t="s">
        <v>33</v>
      </c>
      <c r="L866" s="3"/>
      <c r="M866" s="3" t="s">
        <v>131</v>
      </c>
      <c r="N866" s="3" t="str">
        <f>CONCATENATE("MRCMSM67L14D836W")</f>
        <v>MRCMSM67L14D836W</v>
      </c>
      <c r="O866" s="3" t="s">
        <v>991</v>
      </c>
      <c r="P866" s="3" t="s">
        <v>36</v>
      </c>
      <c r="Q866" s="3"/>
      <c r="R866" s="4">
        <v>45996</v>
      </c>
      <c r="S866" s="3" t="s">
        <v>37</v>
      </c>
      <c r="T866" s="3" t="s">
        <v>38</v>
      </c>
      <c r="U866" s="3" t="s">
        <v>39</v>
      </c>
      <c r="V866" s="3">
        <v>67.19</v>
      </c>
      <c r="W866" s="3">
        <v>28.56</v>
      </c>
      <c r="X866" s="3">
        <v>27.04</v>
      </c>
      <c r="Y866" s="3">
        <v>11.59</v>
      </c>
    </row>
    <row r="867" spans="1:25" ht="72.75" x14ac:dyDescent="0.25">
      <c r="A867" s="3" t="s">
        <v>26</v>
      </c>
      <c r="B867" s="3" t="s">
        <v>27</v>
      </c>
      <c r="C867" s="3" t="s">
        <v>28</v>
      </c>
      <c r="D867" s="3" t="s">
        <v>29</v>
      </c>
      <c r="E867" s="3" t="s">
        <v>56</v>
      </c>
      <c r="F867" s="3" t="s">
        <v>31</v>
      </c>
      <c r="G867" s="3" t="s">
        <v>56</v>
      </c>
      <c r="H867" s="3" t="s">
        <v>32</v>
      </c>
      <c r="I867" s="3">
        <v>2025</v>
      </c>
      <c r="J867" s="3" t="str">
        <f>CONCATENATE("54820123500")</f>
        <v>54820123500</v>
      </c>
      <c r="K867" s="3" t="s">
        <v>33</v>
      </c>
      <c r="L867" s="3"/>
      <c r="M867" s="3" t="s">
        <v>131</v>
      </c>
      <c r="N867" s="3" t="str">
        <f>CONCATENATE("SNTNGL66D56B474W")</f>
        <v>SNTNGL66D56B474W</v>
      </c>
      <c r="O867" s="3" t="s">
        <v>992</v>
      </c>
      <c r="P867" s="3" t="s">
        <v>36</v>
      </c>
      <c r="Q867" s="3"/>
      <c r="R867" s="4">
        <v>45996</v>
      </c>
      <c r="S867" s="3" t="s">
        <v>37</v>
      </c>
      <c r="T867" s="3" t="s">
        <v>38</v>
      </c>
      <c r="U867" s="3" t="s">
        <v>39</v>
      </c>
      <c r="V867" s="3">
        <v>241.4</v>
      </c>
      <c r="W867" s="3">
        <v>102.6</v>
      </c>
      <c r="X867" s="3">
        <v>97.16</v>
      </c>
      <c r="Y867" s="3">
        <v>41.64</v>
      </c>
    </row>
    <row r="868" spans="1:25" ht="72.75" x14ac:dyDescent="0.25">
      <c r="A868" s="3" t="s">
        <v>26</v>
      </c>
      <c r="B868" s="3" t="s">
        <v>27</v>
      </c>
      <c r="C868" s="3" t="s">
        <v>28</v>
      </c>
      <c r="D868" s="3" t="s">
        <v>50</v>
      </c>
      <c r="E868" s="3" t="s">
        <v>173</v>
      </c>
      <c r="F868" s="3" t="s">
        <v>52</v>
      </c>
      <c r="G868" s="3" t="s">
        <v>173</v>
      </c>
      <c r="H868" s="3" t="s">
        <v>45</v>
      </c>
      <c r="I868" s="3">
        <v>2025</v>
      </c>
      <c r="J868" s="3" t="str">
        <f>CONCATENATE("54820092101")</f>
        <v>54820092101</v>
      </c>
      <c r="K868" s="3" t="s">
        <v>33</v>
      </c>
      <c r="L868" s="3"/>
      <c r="M868" s="3" t="s">
        <v>131</v>
      </c>
      <c r="N868" s="3" t="str">
        <f>CONCATENATE("MDRPTR53P24F467M")</f>
        <v>MDRPTR53P24F467M</v>
      </c>
      <c r="O868" s="3" t="s">
        <v>993</v>
      </c>
      <c r="P868" s="3" t="s">
        <v>36</v>
      </c>
      <c r="Q868" s="3"/>
      <c r="R868" s="4">
        <v>45996</v>
      </c>
      <c r="S868" s="3" t="s">
        <v>37</v>
      </c>
      <c r="T868" s="3" t="s">
        <v>38</v>
      </c>
      <c r="U868" s="3" t="s">
        <v>39</v>
      </c>
      <c r="V868" s="3">
        <v>95.85</v>
      </c>
      <c r="W868" s="3">
        <v>40.74</v>
      </c>
      <c r="X868" s="3">
        <v>38.58</v>
      </c>
      <c r="Y868" s="3">
        <v>16.53</v>
      </c>
    </row>
    <row r="869" spans="1:25" ht="60.75" x14ac:dyDescent="0.25">
      <c r="A869" s="3" t="s">
        <v>26</v>
      </c>
      <c r="B869" s="3" t="s">
        <v>27</v>
      </c>
      <c r="C869" s="3" t="s">
        <v>28</v>
      </c>
      <c r="D869" s="3" t="s">
        <v>29</v>
      </c>
      <c r="E869" s="3" t="s">
        <v>47</v>
      </c>
      <c r="F869" s="3" t="s">
        <v>31</v>
      </c>
      <c r="G869" s="3" t="s">
        <v>47</v>
      </c>
      <c r="H869" s="3" t="s">
        <v>48</v>
      </c>
      <c r="I869" s="3">
        <v>2025</v>
      </c>
      <c r="J869" s="3" t="str">
        <f>CONCATENATE("54820073473")</f>
        <v>54820073473</v>
      </c>
      <c r="K869" s="3" t="s">
        <v>33</v>
      </c>
      <c r="L869" s="3"/>
      <c r="M869" s="3" t="s">
        <v>131</v>
      </c>
      <c r="N869" s="3" t="str">
        <f>CONCATENATE("RPLSFN71M06B474S")</f>
        <v>RPLSFN71M06B474S</v>
      </c>
      <c r="O869" s="3" t="s">
        <v>994</v>
      </c>
      <c r="P869" s="3" t="s">
        <v>36</v>
      </c>
      <c r="Q869" s="3"/>
      <c r="R869" s="4">
        <v>45996</v>
      </c>
      <c r="S869" s="3" t="s">
        <v>37</v>
      </c>
      <c r="T869" s="3" t="s">
        <v>38</v>
      </c>
      <c r="U869" s="3" t="s">
        <v>39</v>
      </c>
      <c r="V869" s="3">
        <v>174.8</v>
      </c>
      <c r="W869" s="3">
        <v>74.290000000000006</v>
      </c>
      <c r="X869" s="3">
        <v>70.36</v>
      </c>
      <c r="Y869" s="3">
        <v>30.15</v>
      </c>
    </row>
    <row r="870" spans="1:25" ht="72.75" x14ac:dyDescent="0.25">
      <c r="A870" s="3" t="s">
        <v>26</v>
      </c>
      <c r="B870" s="3" t="s">
        <v>27</v>
      </c>
      <c r="C870" s="3" t="s">
        <v>28</v>
      </c>
      <c r="D870" s="3" t="s">
        <v>29</v>
      </c>
      <c r="E870" s="3" t="s">
        <v>72</v>
      </c>
      <c r="F870" s="3" t="s">
        <v>31</v>
      </c>
      <c r="G870" s="3" t="s">
        <v>72</v>
      </c>
      <c r="H870" s="3" t="s">
        <v>45</v>
      </c>
      <c r="I870" s="3">
        <v>2025</v>
      </c>
      <c r="J870" s="3" t="str">
        <f>CONCATENATE("54820073358")</f>
        <v>54820073358</v>
      </c>
      <c r="K870" s="3" t="s">
        <v>33</v>
      </c>
      <c r="L870" s="3"/>
      <c r="M870" s="3" t="s">
        <v>131</v>
      </c>
      <c r="N870" s="3" t="str">
        <f>CONCATENATE("PNTGFR45D21B352D")</f>
        <v>PNTGFR45D21B352D</v>
      </c>
      <c r="O870" s="3" t="s">
        <v>995</v>
      </c>
      <c r="P870" s="3" t="s">
        <v>36</v>
      </c>
      <c r="Q870" s="3"/>
      <c r="R870" s="4">
        <v>45996</v>
      </c>
      <c r="S870" s="3" t="s">
        <v>37</v>
      </c>
      <c r="T870" s="3" t="s">
        <v>38</v>
      </c>
      <c r="U870" s="3" t="s">
        <v>39</v>
      </c>
      <c r="V870" s="3">
        <v>198.38</v>
      </c>
      <c r="W870" s="3">
        <v>84.31</v>
      </c>
      <c r="X870" s="3">
        <v>79.849999999999994</v>
      </c>
      <c r="Y870" s="3">
        <v>34.22</v>
      </c>
    </row>
    <row r="871" spans="1:25" ht="36.75" x14ac:dyDescent="0.25">
      <c r="A871" s="3" t="s">
        <v>26</v>
      </c>
      <c r="B871" s="3" t="s">
        <v>27</v>
      </c>
      <c r="C871" s="3" t="s">
        <v>28</v>
      </c>
      <c r="D871" s="3" t="s">
        <v>29</v>
      </c>
      <c r="E871" s="3" t="s">
        <v>233</v>
      </c>
      <c r="F871" s="3" t="s">
        <v>31</v>
      </c>
      <c r="G871" s="3" t="s">
        <v>233</v>
      </c>
      <c r="H871" s="3" t="s">
        <v>96</v>
      </c>
      <c r="I871" s="3">
        <v>2025</v>
      </c>
      <c r="J871" s="3" t="str">
        <f>CONCATENATE("54820114277")</f>
        <v>54820114277</v>
      </c>
      <c r="K871" s="3" t="s">
        <v>33</v>
      </c>
      <c r="L871" s="3"/>
      <c r="M871" s="3" t="s">
        <v>131</v>
      </c>
      <c r="N871" s="3" t="str">
        <f>CONCATENATE("01692240441")</f>
        <v>01692240441</v>
      </c>
      <c r="O871" s="3" t="s">
        <v>996</v>
      </c>
      <c r="P871" s="3" t="s">
        <v>36</v>
      </c>
      <c r="Q871" s="3"/>
      <c r="R871" s="4">
        <v>45996</v>
      </c>
      <c r="S871" s="3" t="s">
        <v>37</v>
      </c>
      <c r="T871" s="3" t="s">
        <v>38</v>
      </c>
      <c r="U871" s="3" t="s">
        <v>39</v>
      </c>
      <c r="V871" s="3">
        <v>165.61</v>
      </c>
      <c r="W871" s="3">
        <v>70.38</v>
      </c>
      <c r="X871" s="3">
        <v>66.66</v>
      </c>
      <c r="Y871" s="3">
        <v>28.57</v>
      </c>
    </row>
    <row r="872" spans="1:25" ht="72.75" x14ac:dyDescent="0.25">
      <c r="A872" s="3" t="s">
        <v>26</v>
      </c>
      <c r="B872" s="3" t="s">
        <v>27</v>
      </c>
      <c r="C872" s="3" t="s">
        <v>28</v>
      </c>
      <c r="D872" s="3" t="s">
        <v>29</v>
      </c>
      <c r="E872" s="3" t="s">
        <v>186</v>
      </c>
      <c r="F872" s="3" t="s">
        <v>31</v>
      </c>
      <c r="G872" s="3" t="s">
        <v>186</v>
      </c>
      <c r="H872" s="3" t="s">
        <v>45</v>
      </c>
      <c r="I872" s="3">
        <v>2025</v>
      </c>
      <c r="J872" s="3" t="str">
        <f>CONCATENATE("54820028329")</f>
        <v>54820028329</v>
      </c>
      <c r="K872" s="3" t="s">
        <v>33</v>
      </c>
      <c r="L872" s="3"/>
      <c r="M872" s="3" t="s">
        <v>131</v>
      </c>
      <c r="N872" s="3" t="str">
        <f>CONCATENATE("DNIVCN49B21A740Q")</f>
        <v>DNIVCN49B21A740Q</v>
      </c>
      <c r="O872" s="3" t="s">
        <v>997</v>
      </c>
      <c r="P872" s="3" t="s">
        <v>36</v>
      </c>
      <c r="Q872" s="3"/>
      <c r="R872" s="4">
        <v>45996</v>
      </c>
      <c r="S872" s="3" t="s">
        <v>37</v>
      </c>
      <c r="T872" s="3" t="s">
        <v>38</v>
      </c>
      <c r="U872" s="3" t="s">
        <v>39</v>
      </c>
      <c r="V872" s="3">
        <v>678.42</v>
      </c>
      <c r="W872" s="3">
        <v>288.33</v>
      </c>
      <c r="X872" s="3">
        <v>273.06</v>
      </c>
      <c r="Y872" s="3">
        <v>117.03</v>
      </c>
    </row>
    <row r="873" spans="1:25" ht="60.75" x14ac:dyDescent="0.25">
      <c r="A873" s="3" t="s">
        <v>26</v>
      </c>
      <c r="B873" s="3" t="s">
        <v>27</v>
      </c>
      <c r="C873" s="3" t="s">
        <v>28</v>
      </c>
      <c r="D873" s="3" t="s">
        <v>29</v>
      </c>
      <c r="E873" s="3" t="s">
        <v>72</v>
      </c>
      <c r="F873" s="3" t="s">
        <v>31</v>
      </c>
      <c r="G873" s="3" t="s">
        <v>72</v>
      </c>
      <c r="H873" s="3" t="s">
        <v>45</v>
      </c>
      <c r="I873" s="3">
        <v>2025</v>
      </c>
      <c r="J873" s="3" t="str">
        <f>CONCATENATE("54820030796")</f>
        <v>54820030796</v>
      </c>
      <c r="K873" s="3" t="s">
        <v>33</v>
      </c>
      <c r="L873" s="3"/>
      <c r="M873" s="3" t="s">
        <v>131</v>
      </c>
      <c r="N873" s="3" t="str">
        <f>CONCATENATE("BRNLCU69D15C745Y")</f>
        <v>BRNLCU69D15C745Y</v>
      </c>
      <c r="O873" s="3" t="s">
        <v>998</v>
      </c>
      <c r="P873" s="3" t="s">
        <v>36</v>
      </c>
      <c r="Q873" s="3"/>
      <c r="R873" s="4">
        <v>45996</v>
      </c>
      <c r="S873" s="3" t="s">
        <v>37</v>
      </c>
      <c r="T873" s="3" t="s">
        <v>38</v>
      </c>
      <c r="U873" s="3" t="s">
        <v>39</v>
      </c>
      <c r="V873" s="3">
        <v>239.32</v>
      </c>
      <c r="W873" s="3">
        <v>101.71</v>
      </c>
      <c r="X873" s="3">
        <v>96.33</v>
      </c>
      <c r="Y873" s="3">
        <v>41.28</v>
      </c>
    </row>
    <row r="874" spans="1:25" ht="60.75" x14ac:dyDescent="0.25">
      <c r="A874" s="3" t="s">
        <v>26</v>
      </c>
      <c r="B874" s="3" t="s">
        <v>27</v>
      </c>
      <c r="C874" s="3" t="s">
        <v>28</v>
      </c>
      <c r="D874" s="3" t="s">
        <v>29</v>
      </c>
      <c r="E874" s="3" t="s">
        <v>101</v>
      </c>
      <c r="F874" s="3" t="s">
        <v>31</v>
      </c>
      <c r="G874" s="3" t="s">
        <v>101</v>
      </c>
      <c r="H874" s="3" t="s">
        <v>32</v>
      </c>
      <c r="I874" s="3">
        <v>2025</v>
      </c>
      <c r="J874" s="3" t="str">
        <f>CONCATENATE("54820011879")</f>
        <v>54820011879</v>
      </c>
      <c r="K874" s="3" t="s">
        <v>33</v>
      </c>
      <c r="L874" s="3"/>
      <c r="M874" s="3" t="s">
        <v>131</v>
      </c>
      <c r="N874" s="3" t="str">
        <f>CONCATENATE("RFFNDR64H19I651T")</f>
        <v>RFFNDR64H19I651T</v>
      </c>
      <c r="O874" s="3" t="s">
        <v>999</v>
      </c>
      <c r="P874" s="3" t="s">
        <v>36</v>
      </c>
      <c r="Q874" s="3"/>
      <c r="R874" s="4">
        <v>45996</v>
      </c>
      <c r="S874" s="3" t="s">
        <v>37</v>
      </c>
      <c r="T874" s="3" t="s">
        <v>38</v>
      </c>
      <c r="U874" s="3" t="s">
        <v>39</v>
      </c>
      <c r="V874" s="3">
        <v>93.86</v>
      </c>
      <c r="W874" s="3">
        <v>39.89</v>
      </c>
      <c r="X874" s="3">
        <v>37.78</v>
      </c>
      <c r="Y874" s="3">
        <v>16.190000000000001</v>
      </c>
    </row>
    <row r="875" spans="1:25" ht="72.75" x14ac:dyDescent="0.25">
      <c r="A875" s="3" t="s">
        <v>26</v>
      </c>
      <c r="B875" s="3" t="s">
        <v>27</v>
      </c>
      <c r="C875" s="3" t="s">
        <v>28</v>
      </c>
      <c r="D875" s="3" t="s">
        <v>91</v>
      </c>
      <c r="E875" s="3" t="s">
        <v>92</v>
      </c>
      <c r="F875" s="3" t="s">
        <v>93</v>
      </c>
      <c r="G875" s="3" t="s">
        <v>92</v>
      </c>
      <c r="H875" s="3" t="s">
        <v>48</v>
      </c>
      <c r="I875" s="3">
        <v>2025</v>
      </c>
      <c r="J875" s="3" t="str">
        <f>CONCATENATE("54820012877")</f>
        <v>54820012877</v>
      </c>
      <c r="K875" s="3" t="s">
        <v>33</v>
      </c>
      <c r="L875" s="3"/>
      <c r="M875" s="3" t="s">
        <v>131</v>
      </c>
      <c r="N875" s="3" t="str">
        <f>CONCATENATE("NGLMRA36B69D451D")</f>
        <v>NGLMRA36B69D451D</v>
      </c>
      <c r="O875" s="3" t="s">
        <v>1000</v>
      </c>
      <c r="P875" s="3" t="s">
        <v>36</v>
      </c>
      <c r="Q875" s="3"/>
      <c r="R875" s="4">
        <v>45996</v>
      </c>
      <c r="S875" s="3" t="s">
        <v>37</v>
      </c>
      <c r="T875" s="3" t="s">
        <v>38</v>
      </c>
      <c r="U875" s="3" t="s">
        <v>39</v>
      </c>
      <c r="V875" s="3">
        <v>301.64999999999998</v>
      </c>
      <c r="W875" s="3">
        <v>128.19999999999999</v>
      </c>
      <c r="X875" s="3">
        <v>121.41</v>
      </c>
      <c r="Y875" s="3">
        <v>52.04</v>
      </c>
    </row>
    <row r="876" spans="1:25" ht="60.75" x14ac:dyDescent="0.25">
      <c r="A876" s="3" t="s">
        <v>26</v>
      </c>
      <c r="B876" s="3" t="s">
        <v>27</v>
      </c>
      <c r="C876" s="3" t="s">
        <v>28</v>
      </c>
      <c r="D876" s="3" t="s">
        <v>29</v>
      </c>
      <c r="E876" s="3" t="s">
        <v>119</v>
      </c>
      <c r="F876" s="3" t="s">
        <v>31</v>
      </c>
      <c r="G876" s="3" t="s">
        <v>119</v>
      </c>
      <c r="H876" s="3" t="s">
        <v>96</v>
      </c>
      <c r="I876" s="3">
        <v>2025</v>
      </c>
      <c r="J876" s="3" t="str">
        <f>CONCATENATE("54820017983")</f>
        <v>54820017983</v>
      </c>
      <c r="K876" s="3" t="s">
        <v>33</v>
      </c>
      <c r="L876" s="3"/>
      <c r="M876" s="3" t="s">
        <v>131</v>
      </c>
      <c r="N876" s="3" t="str">
        <f>CONCATENATE("FNRRRT55D03I774V")</f>
        <v>FNRRRT55D03I774V</v>
      </c>
      <c r="O876" s="3" t="s">
        <v>1001</v>
      </c>
      <c r="P876" s="3" t="s">
        <v>36</v>
      </c>
      <c r="Q876" s="3"/>
      <c r="R876" s="4">
        <v>45996</v>
      </c>
      <c r="S876" s="3" t="s">
        <v>37</v>
      </c>
      <c r="T876" s="3" t="s">
        <v>38</v>
      </c>
      <c r="U876" s="3" t="s">
        <v>39</v>
      </c>
      <c r="V876" s="3">
        <v>116.42</v>
      </c>
      <c r="W876" s="3">
        <v>49.48</v>
      </c>
      <c r="X876" s="3">
        <v>46.86</v>
      </c>
      <c r="Y876" s="3">
        <v>20.079999999999998</v>
      </c>
    </row>
    <row r="877" spans="1:25" ht="72.75" x14ac:dyDescent="0.25">
      <c r="A877" s="3" t="s">
        <v>26</v>
      </c>
      <c r="B877" s="3" t="s">
        <v>27</v>
      </c>
      <c r="C877" s="3" t="s">
        <v>28</v>
      </c>
      <c r="D877" s="3" t="s">
        <v>29</v>
      </c>
      <c r="E877" s="3" t="s">
        <v>47</v>
      </c>
      <c r="F877" s="3" t="s">
        <v>31</v>
      </c>
      <c r="G877" s="3" t="s">
        <v>47</v>
      </c>
      <c r="H877" s="3" t="s">
        <v>48</v>
      </c>
      <c r="I877" s="3">
        <v>2025</v>
      </c>
      <c r="J877" s="3" t="str">
        <f>CONCATENATE("54820044219")</f>
        <v>54820044219</v>
      </c>
      <c r="K877" s="3" t="s">
        <v>33</v>
      </c>
      <c r="L877" s="3"/>
      <c r="M877" s="3" t="s">
        <v>131</v>
      </c>
      <c r="N877" s="3" t="str">
        <f>CONCATENATE("MNGGDU83T05D451P")</f>
        <v>MNGGDU83T05D451P</v>
      </c>
      <c r="O877" s="3" t="s">
        <v>1002</v>
      </c>
      <c r="P877" s="3" t="s">
        <v>36</v>
      </c>
      <c r="Q877" s="3"/>
      <c r="R877" s="4">
        <v>45996</v>
      </c>
      <c r="S877" s="3" t="s">
        <v>37</v>
      </c>
      <c r="T877" s="3" t="s">
        <v>38</v>
      </c>
      <c r="U877" s="3" t="s">
        <v>39</v>
      </c>
      <c r="V877" s="3">
        <v>191.3</v>
      </c>
      <c r="W877" s="3">
        <v>81.3</v>
      </c>
      <c r="X877" s="3">
        <v>77</v>
      </c>
      <c r="Y877" s="3">
        <v>33</v>
      </c>
    </row>
    <row r="878" spans="1:25" ht="60.75" x14ac:dyDescent="0.25">
      <c r="A878" s="3" t="s">
        <v>26</v>
      </c>
      <c r="B878" s="3" t="s">
        <v>27</v>
      </c>
      <c r="C878" s="3" t="s">
        <v>28</v>
      </c>
      <c r="D878" s="3" t="s">
        <v>29</v>
      </c>
      <c r="E878" s="3" t="s">
        <v>119</v>
      </c>
      <c r="F878" s="3" t="s">
        <v>31</v>
      </c>
      <c r="G878" s="3" t="s">
        <v>119</v>
      </c>
      <c r="H878" s="3" t="s">
        <v>96</v>
      </c>
      <c r="I878" s="3">
        <v>2025</v>
      </c>
      <c r="J878" s="3" t="str">
        <f>CONCATENATE("54820021464")</f>
        <v>54820021464</v>
      </c>
      <c r="K878" s="3" t="s">
        <v>33</v>
      </c>
      <c r="L878" s="3"/>
      <c r="M878" s="3" t="s">
        <v>131</v>
      </c>
      <c r="N878" s="3" t="str">
        <f>CONCATENATE("VLLCRL60S23D691F")</f>
        <v>VLLCRL60S23D691F</v>
      </c>
      <c r="O878" s="3" t="s">
        <v>1003</v>
      </c>
      <c r="P878" s="3" t="s">
        <v>36</v>
      </c>
      <c r="Q878" s="3"/>
      <c r="R878" s="4">
        <v>45996</v>
      </c>
      <c r="S878" s="3" t="s">
        <v>37</v>
      </c>
      <c r="T878" s="3" t="s">
        <v>38</v>
      </c>
      <c r="U878" s="3" t="s">
        <v>39</v>
      </c>
      <c r="V878" s="3">
        <v>55.09</v>
      </c>
      <c r="W878" s="3">
        <v>23.41</v>
      </c>
      <c r="X878" s="3">
        <v>22.17</v>
      </c>
      <c r="Y878" s="3">
        <v>9.51</v>
      </c>
    </row>
    <row r="879" spans="1:25" ht="60.75" x14ac:dyDescent="0.25">
      <c r="A879" s="3" t="s">
        <v>26</v>
      </c>
      <c r="B879" s="3" t="s">
        <v>27</v>
      </c>
      <c r="C879" s="3" t="s">
        <v>28</v>
      </c>
      <c r="D879" s="3" t="s">
        <v>29</v>
      </c>
      <c r="E879" s="3" t="s">
        <v>136</v>
      </c>
      <c r="F879" s="3" t="s">
        <v>31</v>
      </c>
      <c r="G879" s="3" t="s">
        <v>136</v>
      </c>
      <c r="H879" s="3" t="s">
        <v>48</v>
      </c>
      <c r="I879" s="3">
        <v>2025</v>
      </c>
      <c r="J879" s="3" t="str">
        <f>CONCATENATE("54820192356")</f>
        <v>54820192356</v>
      </c>
      <c r="K879" s="3" t="s">
        <v>33</v>
      </c>
      <c r="L879" s="3"/>
      <c r="M879" s="3" t="s">
        <v>131</v>
      </c>
      <c r="N879" s="3" t="str">
        <f>CONCATENATE("ZCCPLN37R56I461X")</f>
        <v>ZCCPLN37R56I461X</v>
      </c>
      <c r="O879" s="3" t="s">
        <v>1004</v>
      </c>
      <c r="P879" s="3" t="s">
        <v>36</v>
      </c>
      <c r="Q879" s="3"/>
      <c r="R879" s="4">
        <v>45996</v>
      </c>
      <c r="S879" s="3" t="s">
        <v>37</v>
      </c>
      <c r="T879" s="3" t="s">
        <v>38</v>
      </c>
      <c r="U879" s="3" t="s">
        <v>39</v>
      </c>
      <c r="V879" s="3">
        <v>124.97</v>
      </c>
      <c r="W879" s="3">
        <v>53.11</v>
      </c>
      <c r="X879" s="3">
        <v>50.3</v>
      </c>
      <c r="Y879" s="3">
        <v>21.56</v>
      </c>
    </row>
    <row r="880" spans="1:25" ht="60.75" x14ac:dyDescent="0.25">
      <c r="A880" s="3" t="s">
        <v>26</v>
      </c>
      <c r="B880" s="3" t="s">
        <v>27</v>
      </c>
      <c r="C880" s="3" t="s">
        <v>28</v>
      </c>
      <c r="D880" s="3" t="s">
        <v>29</v>
      </c>
      <c r="E880" s="3" t="s">
        <v>119</v>
      </c>
      <c r="F880" s="3" t="s">
        <v>31</v>
      </c>
      <c r="G880" s="3" t="s">
        <v>119</v>
      </c>
      <c r="H880" s="3" t="s">
        <v>96</v>
      </c>
      <c r="I880" s="3">
        <v>2025</v>
      </c>
      <c r="J880" s="3" t="str">
        <f>CONCATENATE("54820067525")</f>
        <v>54820067525</v>
      </c>
      <c r="K880" s="3" t="s">
        <v>33</v>
      </c>
      <c r="L880" s="3"/>
      <c r="M880" s="3" t="s">
        <v>131</v>
      </c>
      <c r="N880" s="3" t="str">
        <f>CONCATENATE("MTCRNI53S28H588B")</f>
        <v>MTCRNI53S28H588B</v>
      </c>
      <c r="O880" s="3" t="s">
        <v>1005</v>
      </c>
      <c r="P880" s="3" t="s">
        <v>36</v>
      </c>
      <c r="Q880" s="3"/>
      <c r="R880" s="4">
        <v>45996</v>
      </c>
      <c r="S880" s="3" t="s">
        <v>37</v>
      </c>
      <c r="T880" s="3" t="s">
        <v>38</v>
      </c>
      <c r="U880" s="3" t="s">
        <v>39</v>
      </c>
      <c r="V880" s="3">
        <v>85.54</v>
      </c>
      <c r="W880" s="3">
        <v>36.35</v>
      </c>
      <c r="X880" s="3">
        <v>34.43</v>
      </c>
      <c r="Y880" s="3">
        <v>14.76</v>
      </c>
    </row>
    <row r="881" spans="1:25" ht="60.75" x14ac:dyDescent="0.25">
      <c r="A881" s="3" t="s">
        <v>26</v>
      </c>
      <c r="B881" s="3" t="s">
        <v>27</v>
      </c>
      <c r="C881" s="3" t="s">
        <v>28</v>
      </c>
      <c r="D881" s="3" t="s">
        <v>29</v>
      </c>
      <c r="E881" s="3" t="s">
        <v>56</v>
      </c>
      <c r="F881" s="3" t="s">
        <v>31</v>
      </c>
      <c r="G881" s="3" t="s">
        <v>56</v>
      </c>
      <c r="H881" s="3" t="s">
        <v>32</v>
      </c>
      <c r="I881" s="3">
        <v>2025</v>
      </c>
      <c r="J881" s="3" t="str">
        <f>CONCATENATE("54820149802")</f>
        <v>54820149802</v>
      </c>
      <c r="K881" s="3" t="s">
        <v>33</v>
      </c>
      <c r="L881" s="3"/>
      <c r="M881" s="3" t="s">
        <v>131</v>
      </c>
      <c r="N881" s="3" t="str">
        <f>CONCATENATE("TSTVNZ56S60B474U")</f>
        <v>TSTVNZ56S60B474U</v>
      </c>
      <c r="O881" s="3" t="s">
        <v>1006</v>
      </c>
      <c r="P881" s="3" t="s">
        <v>36</v>
      </c>
      <c r="Q881" s="3"/>
      <c r="R881" s="4">
        <v>45996</v>
      </c>
      <c r="S881" s="3" t="s">
        <v>37</v>
      </c>
      <c r="T881" s="3" t="s">
        <v>38</v>
      </c>
      <c r="U881" s="3" t="s">
        <v>39</v>
      </c>
      <c r="V881" s="3">
        <v>181.26</v>
      </c>
      <c r="W881" s="3">
        <v>77.040000000000006</v>
      </c>
      <c r="X881" s="3">
        <v>72.959999999999994</v>
      </c>
      <c r="Y881" s="3">
        <v>31.26</v>
      </c>
    </row>
    <row r="882" spans="1:25" ht="60.75" x14ac:dyDescent="0.25">
      <c r="A882" s="3" t="s">
        <v>26</v>
      </c>
      <c r="B882" s="3" t="s">
        <v>27</v>
      </c>
      <c r="C882" s="3" t="s">
        <v>28</v>
      </c>
      <c r="D882" s="3" t="s">
        <v>29</v>
      </c>
      <c r="E882" s="3" t="s">
        <v>101</v>
      </c>
      <c r="F882" s="3" t="s">
        <v>31</v>
      </c>
      <c r="G882" s="3" t="s">
        <v>101</v>
      </c>
      <c r="H882" s="3" t="s">
        <v>32</v>
      </c>
      <c r="I882" s="3">
        <v>2025</v>
      </c>
      <c r="J882" s="3" t="str">
        <f>CONCATENATE("54820008891")</f>
        <v>54820008891</v>
      </c>
      <c r="K882" s="3" t="s">
        <v>33</v>
      </c>
      <c r="L882" s="3"/>
      <c r="M882" s="3" t="s">
        <v>131</v>
      </c>
      <c r="N882" s="3" t="str">
        <f>CONCATENATE("RSLNZE51C21B562M")</f>
        <v>RSLNZE51C21B562M</v>
      </c>
      <c r="O882" s="3" t="s">
        <v>1007</v>
      </c>
      <c r="P882" s="3" t="s">
        <v>36</v>
      </c>
      <c r="Q882" s="3"/>
      <c r="R882" s="4">
        <v>45996</v>
      </c>
      <c r="S882" s="3" t="s">
        <v>37</v>
      </c>
      <c r="T882" s="3" t="s">
        <v>38</v>
      </c>
      <c r="U882" s="3" t="s">
        <v>39</v>
      </c>
      <c r="V882" s="3">
        <v>193.69</v>
      </c>
      <c r="W882" s="3">
        <v>82.32</v>
      </c>
      <c r="X882" s="3">
        <v>77.959999999999994</v>
      </c>
      <c r="Y882" s="3">
        <v>33.409999999999997</v>
      </c>
    </row>
    <row r="883" spans="1:25" ht="72.75" x14ac:dyDescent="0.25">
      <c r="A883" s="3" t="s">
        <v>26</v>
      </c>
      <c r="B883" s="3" t="s">
        <v>27</v>
      </c>
      <c r="C883" s="3" t="s">
        <v>28</v>
      </c>
      <c r="D883" s="3" t="s">
        <v>29</v>
      </c>
      <c r="E883" s="3" t="s">
        <v>47</v>
      </c>
      <c r="F883" s="3" t="s">
        <v>31</v>
      </c>
      <c r="G883" s="3" t="s">
        <v>47</v>
      </c>
      <c r="H883" s="3" t="s">
        <v>48</v>
      </c>
      <c r="I883" s="3">
        <v>2025</v>
      </c>
      <c r="J883" s="3" t="str">
        <f>CONCATENATE("54820119524")</f>
        <v>54820119524</v>
      </c>
      <c r="K883" s="3" t="s">
        <v>33</v>
      </c>
      <c r="L883" s="3"/>
      <c r="M883" s="3" t="s">
        <v>131</v>
      </c>
      <c r="N883" s="3" t="str">
        <f>CONCATENATE("MRNGRG53P04D451Q")</f>
        <v>MRNGRG53P04D451Q</v>
      </c>
      <c r="O883" s="3" t="s">
        <v>1008</v>
      </c>
      <c r="P883" s="3" t="s">
        <v>36</v>
      </c>
      <c r="Q883" s="3"/>
      <c r="R883" s="4">
        <v>45996</v>
      </c>
      <c r="S883" s="3" t="s">
        <v>37</v>
      </c>
      <c r="T883" s="3" t="s">
        <v>38</v>
      </c>
      <c r="U883" s="3" t="s">
        <v>39</v>
      </c>
      <c r="V883" s="3">
        <v>148.34</v>
      </c>
      <c r="W883" s="3">
        <v>63.04</v>
      </c>
      <c r="X883" s="3">
        <v>59.71</v>
      </c>
      <c r="Y883" s="3">
        <v>25.59</v>
      </c>
    </row>
    <row r="884" spans="1:25" ht="72.75" x14ac:dyDescent="0.25">
      <c r="A884" s="3" t="s">
        <v>26</v>
      </c>
      <c r="B884" s="3" t="s">
        <v>27</v>
      </c>
      <c r="C884" s="3" t="s">
        <v>28</v>
      </c>
      <c r="D884" s="3" t="s">
        <v>50</v>
      </c>
      <c r="E884" s="3" t="s">
        <v>225</v>
      </c>
      <c r="F884" s="3" t="s">
        <v>52</v>
      </c>
      <c r="G884" s="3" t="s">
        <v>225</v>
      </c>
      <c r="H884" s="3" t="s">
        <v>96</v>
      </c>
      <c r="I884" s="3">
        <v>2025</v>
      </c>
      <c r="J884" s="3" t="str">
        <f>CONCATENATE("54820043609")</f>
        <v>54820043609</v>
      </c>
      <c r="K884" s="3" t="s">
        <v>33</v>
      </c>
      <c r="L884" s="3"/>
      <c r="M884" s="3" t="s">
        <v>131</v>
      </c>
      <c r="N884" s="3" t="str">
        <f>CONCATENATE("MSSNGL77H23H769G")</f>
        <v>MSSNGL77H23H769G</v>
      </c>
      <c r="O884" s="3" t="s">
        <v>1009</v>
      </c>
      <c r="P884" s="3" t="s">
        <v>36</v>
      </c>
      <c r="Q884" s="3"/>
      <c r="R884" s="4">
        <v>45996</v>
      </c>
      <c r="S884" s="3" t="s">
        <v>37</v>
      </c>
      <c r="T884" s="3" t="s">
        <v>38</v>
      </c>
      <c r="U884" s="3" t="s">
        <v>39</v>
      </c>
      <c r="V884" s="3">
        <v>230.42</v>
      </c>
      <c r="W884" s="3">
        <v>97.93</v>
      </c>
      <c r="X884" s="3">
        <v>92.74</v>
      </c>
      <c r="Y884" s="3">
        <v>39.75</v>
      </c>
    </row>
    <row r="885" spans="1:25" ht="60.75" x14ac:dyDescent="0.25">
      <c r="A885" s="3" t="s">
        <v>26</v>
      </c>
      <c r="B885" s="3" t="s">
        <v>27</v>
      </c>
      <c r="C885" s="3" t="s">
        <v>28</v>
      </c>
      <c r="D885" s="3" t="s">
        <v>40</v>
      </c>
      <c r="E885" s="3" t="s">
        <v>496</v>
      </c>
      <c r="F885" s="3" t="s">
        <v>42</v>
      </c>
      <c r="G885" s="3" t="s">
        <v>496</v>
      </c>
      <c r="H885" s="3" t="s">
        <v>32</v>
      </c>
      <c r="I885" s="3">
        <v>2025</v>
      </c>
      <c r="J885" s="3" t="str">
        <f>CONCATENATE("54820091855")</f>
        <v>54820091855</v>
      </c>
      <c r="K885" s="3" t="s">
        <v>33</v>
      </c>
      <c r="L885" s="3"/>
      <c r="M885" s="3" t="s">
        <v>131</v>
      </c>
      <c r="N885" s="3" t="str">
        <f>CONCATENATE("MPRRRT76P24L191M")</f>
        <v>MPRRRT76P24L191M</v>
      </c>
      <c r="O885" s="3" t="s">
        <v>1010</v>
      </c>
      <c r="P885" s="3" t="s">
        <v>36</v>
      </c>
      <c r="Q885" s="3"/>
      <c r="R885" s="4">
        <v>45996</v>
      </c>
      <c r="S885" s="3" t="s">
        <v>37</v>
      </c>
      <c r="T885" s="3" t="s">
        <v>38</v>
      </c>
      <c r="U885" s="3" t="s">
        <v>39</v>
      </c>
      <c r="V885" s="3">
        <v>269.10000000000002</v>
      </c>
      <c r="W885" s="3">
        <v>114.37</v>
      </c>
      <c r="X885" s="3">
        <v>108.31</v>
      </c>
      <c r="Y885" s="3">
        <v>46.42</v>
      </c>
    </row>
    <row r="886" spans="1:25" ht="60.75" x14ac:dyDescent="0.25">
      <c r="A886" s="3" t="s">
        <v>26</v>
      </c>
      <c r="B886" s="3" t="s">
        <v>27</v>
      </c>
      <c r="C886" s="3" t="s">
        <v>28</v>
      </c>
      <c r="D886" s="3" t="s">
        <v>50</v>
      </c>
      <c r="E886" s="3" t="s">
        <v>51</v>
      </c>
      <c r="F886" s="3" t="s">
        <v>52</v>
      </c>
      <c r="G886" s="3" t="s">
        <v>51</v>
      </c>
      <c r="H886" s="3" t="s">
        <v>48</v>
      </c>
      <c r="I886" s="3">
        <v>2025</v>
      </c>
      <c r="J886" s="3" t="str">
        <f>CONCATENATE("54820140215")</f>
        <v>54820140215</v>
      </c>
      <c r="K886" s="3" t="s">
        <v>33</v>
      </c>
      <c r="L886" s="3"/>
      <c r="M886" s="3" t="s">
        <v>131</v>
      </c>
      <c r="N886" s="3" t="str">
        <f>CONCATENATE("CNGCST98S30D451Y")</f>
        <v>CNGCST98S30D451Y</v>
      </c>
      <c r="O886" s="3" t="s">
        <v>1011</v>
      </c>
      <c r="P886" s="3" t="s">
        <v>36</v>
      </c>
      <c r="Q886" s="3"/>
      <c r="R886" s="4">
        <v>45996</v>
      </c>
      <c r="S886" s="3" t="s">
        <v>37</v>
      </c>
      <c r="T886" s="3" t="s">
        <v>38</v>
      </c>
      <c r="U886" s="3" t="s">
        <v>39</v>
      </c>
      <c r="V886" s="3">
        <v>894.81</v>
      </c>
      <c r="W886" s="3">
        <v>380.29</v>
      </c>
      <c r="X886" s="3">
        <v>360.16</v>
      </c>
      <c r="Y886" s="3">
        <v>154.36000000000001</v>
      </c>
    </row>
    <row r="887" spans="1:25" ht="36.75" x14ac:dyDescent="0.25">
      <c r="A887" s="3" t="s">
        <v>26</v>
      </c>
      <c r="B887" s="3" t="s">
        <v>27</v>
      </c>
      <c r="C887" s="3" t="s">
        <v>28</v>
      </c>
      <c r="D887" s="3" t="s">
        <v>91</v>
      </c>
      <c r="E887" s="3" t="s">
        <v>95</v>
      </c>
      <c r="F887" s="3" t="s">
        <v>93</v>
      </c>
      <c r="G887" s="3" t="s">
        <v>95</v>
      </c>
      <c r="H887" s="3" t="s">
        <v>96</v>
      </c>
      <c r="I887" s="3">
        <v>2025</v>
      </c>
      <c r="J887" s="3" t="str">
        <f>CONCATENATE("54820119888")</f>
        <v>54820119888</v>
      </c>
      <c r="K887" s="3" t="s">
        <v>33</v>
      </c>
      <c r="L887" s="3"/>
      <c r="M887" s="3" t="s">
        <v>131</v>
      </c>
      <c r="N887" s="3" t="str">
        <f>CONCATENATE("02343620445")</f>
        <v>02343620445</v>
      </c>
      <c r="O887" s="3" t="s">
        <v>1012</v>
      </c>
      <c r="P887" s="3" t="s">
        <v>36</v>
      </c>
      <c r="Q887" s="3"/>
      <c r="R887" s="4">
        <v>45996</v>
      </c>
      <c r="S887" s="3" t="s">
        <v>37</v>
      </c>
      <c r="T887" s="3" t="s">
        <v>38</v>
      </c>
      <c r="U887" s="3" t="s">
        <v>39</v>
      </c>
      <c r="V887" s="3">
        <v>733.37</v>
      </c>
      <c r="W887" s="3">
        <v>311.68</v>
      </c>
      <c r="X887" s="3">
        <v>295.18</v>
      </c>
      <c r="Y887" s="3">
        <v>126.51</v>
      </c>
    </row>
    <row r="888" spans="1:25" ht="60.75" x14ac:dyDescent="0.25">
      <c r="A888" s="3" t="s">
        <v>26</v>
      </c>
      <c r="B888" s="3" t="s">
        <v>27</v>
      </c>
      <c r="C888" s="3" t="s">
        <v>28</v>
      </c>
      <c r="D888" s="3" t="s">
        <v>29</v>
      </c>
      <c r="E888" s="3" t="s">
        <v>136</v>
      </c>
      <c r="F888" s="3" t="s">
        <v>31</v>
      </c>
      <c r="G888" s="3" t="s">
        <v>136</v>
      </c>
      <c r="H888" s="3" t="s">
        <v>48</v>
      </c>
      <c r="I888" s="3">
        <v>2025</v>
      </c>
      <c r="J888" s="3" t="str">
        <f>CONCATENATE("54820056528")</f>
        <v>54820056528</v>
      </c>
      <c r="K888" s="3" t="s">
        <v>33</v>
      </c>
      <c r="L888" s="3"/>
      <c r="M888" s="3" t="s">
        <v>131</v>
      </c>
      <c r="N888" s="3" t="str">
        <f>CONCATENATE("GSTGZL65C48Z103L")</f>
        <v>GSTGZL65C48Z103L</v>
      </c>
      <c r="O888" s="3" t="s">
        <v>1013</v>
      </c>
      <c r="P888" s="3" t="s">
        <v>36</v>
      </c>
      <c r="Q888" s="3"/>
      <c r="R888" s="4">
        <v>45996</v>
      </c>
      <c r="S888" s="3" t="s">
        <v>37</v>
      </c>
      <c r="T888" s="3" t="s">
        <v>38</v>
      </c>
      <c r="U888" s="3" t="s">
        <v>39</v>
      </c>
      <c r="V888" s="3">
        <v>73.69</v>
      </c>
      <c r="W888" s="3">
        <v>31.32</v>
      </c>
      <c r="X888" s="3">
        <v>29.66</v>
      </c>
      <c r="Y888" s="3">
        <v>12.71</v>
      </c>
    </row>
    <row r="889" spans="1:25" ht="72.75" x14ac:dyDescent="0.25">
      <c r="A889" s="3" t="s">
        <v>26</v>
      </c>
      <c r="B889" s="3" t="s">
        <v>27</v>
      </c>
      <c r="C889" s="3" t="s">
        <v>28</v>
      </c>
      <c r="D889" s="3" t="s">
        <v>29</v>
      </c>
      <c r="E889" s="3" t="s">
        <v>208</v>
      </c>
      <c r="F889" s="3" t="s">
        <v>31</v>
      </c>
      <c r="G889" s="3" t="s">
        <v>208</v>
      </c>
      <c r="H889" s="3" t="s">
        <v>45</v>
      </c>
      <c r="I889" s="3">
        <v>2025</v>
      </c>
      <c r="J889" s="3" t="str">
        <f>CONCATENATE("54820217724")</f>
        <v>54820217724</v>
      </c>
      <c r="K889" s="3" t="s">
        <v>33</v>
      </c>
      <c r="L889" s="3"/>
      <c r="M889" s="3" t="s">
        <v>131</v>
      </c>
      <c r="N889" s="3" t="str">
        <f>CONCATENATE("PRTGBR57A10G416H")</f>
        <v>PRTGBR57A10G416H</v>
      </c>
      <c r="O889" s="3" t="s">
        <v>1014</v>
      </c>
      <c r="P889" s="3" t="s">
        <v>36</v>
      </c>
      <c r="Q889" s="3"/>
      <c r="R889" s="4">
        <v>45996</v>
      </c>
      <c r="S889" s="3" t="s">
        <v>37</v>
      </c>
      <c r="T889" s="3" t="s">
        <v>38</v>
      </c>
      <c r="U889" s="3" t="s">
        <v>39</v>
      </c>
      <c r="V889" s="3">
        <v>858.69</v>
      </c>
      <c r="W889" s="3">
        <v>364.94</v>
      </c>
      <c r="X889" s="3">
        <v>345.62</v>
      </c>
      <c r="Y889" s="3">
        <v>148.13</v>
      </c>
    </row>
    <row r="890" spans="1:25" ht="36.75" x14ac:dyDescent="0.25">
      <c r="A890" s="3" t="s">
        <v>26</v>
      </c>
      <c r="B890" s="3" t="s">
        <v>27</v>
      </c>
      <c r="C890" s="3" t="s">
        <v>28</v>
      </c>
      <c r="D890" s="3" t="s">
        <v>264</v>
      </c>
      <c r="E890" s="3" t="s">
        <v>265</v>
      </c>
      <c r="F890" s="3" t="s">
        <v>266</v>
      </c>
      <c r="G890" s="3" t="s">
        <v>265</v>
      </c>
      <c r="H890" s="3" t="s">
        <v>48</v>
      </c>
      <c r="I890" s="3">
        <v>2025</v>
      </c>
      <c r="J890" s="3" t="str">
        <f>CONCATENATE("54820361324")</f>
        <v>54820361324</v>
      </c>
      <c r="K890" s="3" t="s">
        <v>33</v>
      </c>
      <c r="L890" s="3"/>
      <c r="M890" s="3" t="s">
        <v>131</v>
      </c>
      <c r="N890" s="3" t="str">
        <f>CONCATENATE("02970700429")</f>
        <v>02970700429</v>
      </c>
      <c r="O890" s="3" t="s">
        <v>1015</v>
      </c>
      <c r="P890" s="3" t="s">
        <v>36</v>
      </c>
      <c r="Q890" s="3"/>
      <c r="R890" s="4">
        <v>45996</v>
      </c>
      <c r="S890" s="3" t="s">
        <v>37</v>
      </c>
      <c r="T890" s="3" t="s">
        <v>38</v>
      </c>
      <c r="U890" s="3" t="s">
        <v>39</v>
      </c>
      <c r="V890" s="3">
        <v>907.24</v>
      </c>
      <c r="W890" s="3">
        <v>385.58</v>
      </c>
      <c r="X890" s="3">
        <v>365.16</v>
      </c>
      <c r="Y890" s="3">
        <v>156.5</v>
      </c>
    </row>
    <row r="891" spans="1:25" ht="72.75" x14ac:dyDescent="0.25">
      <c r="A891" s="3" t="s">
        <v>26</v>
      </c>
      <c r="B891" s="3" t="s">
        <v>27</v>
      </c>
      <c r="C891" s="3" t="s">
        <v>28</v>
      </c>
      <c r="D891" s="3" t="s">
        <v>50</v>
      </c>
      <c r="E891" s="3" t="s">
        <v>60</v>
      </c>
      <c r="F891" s="3" t="s">
        <v>52</v>
      </c>
      <c r="G891" s="3" t="s">
        <v>60</v>
      </c>
      <c r="H891" s="3" t="s">
        <v>45</v>
      </c>
      <c r="I891" s="3">
        <v>2025</v>
      </c>
      <c r="J891" s="3" t="str">
        <f>CONCATENATE("54820237482")</f>
        <v>54820237482</v>
      </c>
      <c r="K891" s="3" t="s">
        <v>33</v>
      </c>
      <c r="L891" s="3"/>
      <c r="M891" s="3" t="s">
        <v>131</v>
      </c>
      <c r="N891" s="3" t="str">
        <f>CONCATENATE("SPDRRT65A24D808V")</f>
        <v>SPDRRT65A24D808V</v>
      </c>
      <c r="O891" s="3" t="s">
        <v>1016</v>
      </c>
      <c r="P891" s="3" t="s">
        <v>36</v>
      </c>
      <c r="Q891" s="3"/>
      <c r="R891" s="4">
        <v>45996</v>
      </c>
      <c r="S891" s="3" t="s">
        <v>37</v>
      </c>
      <c r="T891" s="3" t="s">
        <v>38</v>
      </c>
      <c r="U891" s="3" t="s">
        <v>39</v>
      </c>
      <c r="V891" s="3">
        <v>244.21</v>
      </c>
      <c r="W891" s="3">
        <v>103.79</v>
      </c>
      <c r="X891" s="3">
        <v>98.29</v>
      </c>
      <c r="Y891" s="3">
        <v>42.13</v>
      </c>
    </row>
    <row r="892" spans="1:25" ht="60.75" x14ac:dyDescent="0.25">
      <c r="A892" s="3" t="s">
        <v>26</v>
      </c>
      <c r="B892" s="3" t="s">
        <v>27</v>
      </c>
      <c r="C892" s="3" t="s">
        <v>28</v>
      </c>
      <c r="D892" s="3" t="s">
        <v>50</v>
      </c>
      <c r="E892" s="3" t="s">
        <v>173</v>
      </c>
      <c r="F892" s="3" t="s">
        <v>52</v>
      </c>
      <c r="G892" s="3" t="s">
        <v>173</v>
      </c>
      <c r="H892" s="3" t="s">
        <v>45</v>
      </c>
      <c r="I892" s="3">
        <v>2025</v>
      </c>
      <c r="J892" s="3" t="str">
        <f>CONCATENATE("54820239223")</f>
        <v>54820239223</v>
      </c>
      <c r="K892" s="3" t="s">
        <v>33</v>
      </c>
      <c r="L892" s="3"/>
      <c r="M892" s="3" t="s">
        <v>131</v>
      </c>
      <c r="N892" s="3" t="str">
        <f>CONCATENATE("NCCTZN59P30A493G")</f>
        <v>NCCTZN59P30A493G</v>
      </c>
      <c r="O892" s="3" t="s">
        <v>1017</v>
      </c>
      <c r="P892" s="3" t="s">
        <v>36</v>
      </c>
      <c r="Q892" s="3"/>
      <c r="R892" s="4">
        <v>45996</v>
      </c>
      <c r="S892" s="3" t="s">
        <v>37</v>
      </c>
      <c r="T892" s="3" t="s">
        <v>38</v>
      </c>
      <c r="U892" s="3" t="s">
        <v>39</v>
      </c>
      <c r="V892" s="5">
        <v>2013.79</v>
      </c>
      <c r="W892" s="3">
        <v>855.86</v>
      </c>
      <c r="X892" s="3">
        <v>810.55</v>
      </c>
      <c r="Y892" s="3">
        <v>347.38</v>
      </c>
    </row>
    <row r="893" spans="1:25" ht="60.75" x14ac:dyDescent="0.25">
      <c r="A893" s="3" t="s">
        <v>26</v>
      </c>
      <c r="B893" s="3" t="s">
        <v>27</v>
      </c>
      <c r="C893" s="3" t="s">
        <v>28</v>
      </c>
      <c r="D893" s="3" t="s">
        <v>91</v>
      </c>
      <c r="E893" s="3" t="s">
        <v>151</v>
      </c>
      <c r="F893" s="3" t="s">
        <v>93</v>
      </c>
      <c r="G893" s="3" t="s">
        <v>151</v>
      </c>
      <c r="H893" s="3" t="s">
        <v>45</v>
      </c>
      <c r="I893" s="3">
        <v>2025</v>
      </c>
      <c r="J893" s="3" t="str">
        <f>CONCATENATE("54820213541")</f>
        <v>54820213541</v>
      </c>
      <c r="K893" s="3" t="s">
        <v>33</v>
      </c>
      <c r="L893" s="3"/>
      <c r="M893" s="3" t="s">
        <v>131</v>
      </c>
      <c r="N893" s="3" t="str">
        <f>CONCATENATE("MNCNNA64T55G453R")</f>
        <v>MNCNNA64T55G453R</v>
      </c>
      <c r="O893" s="3" t="s">
        <v>1018</v>
      </c>
      <c r="P893" s="3" t="s">
        <v>36</v>
      </c>
      <c r="Q893" s="3"/>
      <c r="R893" s="4">
        <v>45996</v>
      </c>
      <c r="S893" s="3" t="s">
        <v>37</v>
      </c>
      <c r="T893" s="3" t="s">
        <v>38</v>
      </c>
      <c r="U893" s="3" t="s">
        <v>39</v>
      </c>
      <c r="V893" s="3">
        <v>126.85</v>
      </c>
      <c r="W893" s="3">
        <v>53.91</v>
      </c>
      <c r="X893" s="3">
        <v>51.06</v>
      </c>
      <c r="Y893" s="3">
        <v>21.88</v>
      </c>
    </row>
    <row r="894" spans="1:25" ht="60.75" x14ac:dyDescent="0.25">
      <c r="A894" s="3" t="s">
        <v>26</v>
      </c>
      <c r="B894" s="3" t="s">
        <v>27</v>
      </c>
      <c r="C894" s="3" t="s">
        <v>28</v>
      </c>
      <c r="D894" s="3" t="s">
        <v>104</v>
      </c>
      <c r="E894" s="3" t="s">
        <v>141</v>
      </c>
      <c r="F894" s="3" t="s">
        <v>104</v>
      </c>
      <c r="G894" s="3" t="s">
        <v>141</v>
      </c>
      <c r="H894" s="3" t="s">
        <v>96</v>
      </c>
      <c r="I894" s="3">
        <v>2025</v>
      </c>
      <c r="J894" s="3" t="str">
        <f>CONCATENATE("54820277645")</f>
        <v>54820277645</v>
      </c>
      <c r="K894" s="3" t="s">
        <v>33</v>
      </c>
      <c r="L894" s="3"/>
      <c r="M894" s="3" t="s">
        <v>131</v>
      </c>
      <c r="N894" s="3" t="str">
        <f>CONCATENATE("RSTFNC59L05F509P")</f>
        <v>RSTFNC59L05F509P</v>
      </c>
      <c r="O894" s="3" t="s">
        <v>1019</v>
      </c>
      <c r="P894" s="3" t="s">
        <v>36</v>
      </c>
      <c r="Q894" s="3"/>
      <c r="R894" s="4">
        <v>45996</v>
      </c>
      <c r="S894" s="3" t="s">
        <v>37</v>
      </c>
      <c r="T894" s="3" t="s">
        <v>38</v>
      </c>
      <c r="U894" s="3" t="s">
        <v>39</v>
      </c>
      <c r="V894" s="3">
        <v>583.34</v>
      </c>
      <c r="W894" s="3">
        <v>247.92</v>
      </c>
      <c r="X894" s="3">
        <v>234.79</v>
      </c>
      <c r="Y894" s="3">
        <v>100.63</v>
      </c>
    </row>
    <row r="895" spans="1:25" ht="60.75" x14ac:dyDescent="0.25">
      <c r="A895" s="3" t="s">
        <v>26</v>
      </c>
      <c r="B895" s="3" t="s">
        <v>27</v>
      </c>
      <c r="C895" s="3" t="s">
        <v>28</v>
      </c>
      <c r="D895" s="3" t="s">
        <v>29</v>
      </c>
      <c r="E895" s="3" t="s">
        <v>80</v>
      </c>
      <c r="F895" s="3" t="s">
        <v>31</v>
      </c>
      <c r="G895" s="3" t="s">
        <v>80</v>
      </c>
      <c r="H895" s="3" t="s">
        <v>45</v>
      </c>
      <c r="I895" s="3">
        <v>2025</v>
      </c>
      <c r="J895" s="3" t="str">
        <f>CONCATENATE("54820369483")</f>
        <v>54820369483</v>
      </c>
      <c r="K895" s="3" t="s">
        <v>33</v>
      </c>
      <c r="L895" s="3"/>
      <c r="M895" s="3" t="s">
        <v>131</v>
      </c>
      <c r="N895" s="3" t="str">
        <f>CONCATENATE("CVLFNZ59D58D749W")</f>
        <v>CVLFNZ59D58D749W</v>
      </c>
      <c r="O895" s="3" t="s">
        <v>1020</v>
      </c>
      <c r="P895" s="3" t="s">
        <v>36</v>
      </c>
      <c r="Q895" s="3"/>
      <c r="R895" s="4">
        <v>45996</v>
      </c>
      <c r="S895" s="3" t="s">
        <v>37</v>
      </c>
      <c r="T895" s="3" t="s">
        <v>38</v>
      </c>
      <c r="U895" s="3" t="s">
        <v>39</v>
      </c>
      <c r="V895" s="3">
        <v>414.26</v>
      </c>
      <c r="W895" s="3">
        <v>176.06</v>
      </c>
      <c r="X895" s="3">
        <v>166.74</v>
      </c>
      <c r="Y895" s="3">
        <v>71.459999999999994</v>
      </c>
    </row>
    <row r="896" spans="1:25" ht="60.75" x14ac:dyDescent="0.25">
      <c r="A896" s="3" t="s">
        <v>26</v>
      </c>
      <c r="B896" s="3" t="s">
        <v>27</v>
      </c>
      <c r="C896" s="3" t="s">
        <v>28</v>
      </c>
      <c r="D896" s="3" t="s">
        <v>29</v>
      </c>
      <c r="E896" s="3" t="s">
        <v>80</v>
      </c>
      <c r="F896" s="3" t="s">
        <v>31</v>
      </c>
      <c r="G896" s="3" t="s">
        <v>80</v>
      </c>
      <c r="H896" s="3" t="s">
        <v>45</v>
      </c>
      <c r="I896" s="3">
        <v>2025</v>
      </c>
      <c r="J896" s="3" t="str">
        <f>CONCATENATE("54820376751")</f>
        <v>54820376751</v>
      </c>
      <c r="K896" s="3" t="s">
        <v>33</v>
      </c>
      <c r="L896" s="3"/>
      <c r="M896" s="3" t="s">
        <v>131</v>
      </c>
      <c r="N896" s="3" t="str">
        <f>CONCATENATE("CRPNLL42E13G453E")</f>
        <v>CRPNLL42E13G453E</v>
      </c>
      <c r="O896" s="3" t="s">
        <v>1021</v>
      </c>
      <c r="P896" s="3" t="s">
        <v>36</v>
      </c>
      <c r="Q896" s="3"/>
      <c r="R896" s="4">
        <v>45996</v>
      </c>
      <c r="S896" s="3" t="s">
        <v>37</v>
      </c>
      <c r="T896" s="3" t="s">
        <v>38</v>
      </c>
      <c r="U896" s="3" t="s">
        <v>39</v>
      </c>
      <c r="V896" s="3">
        <v>158.41999999999999</v>
      </c>
      <c r="W896" s="3">
        <v>67.33</v>
      </c>
      <c r="X896" s="3">
        <v>63.76</v>
      </c>
      <c r="Y896" s="3">
        <v>27.33</v>
      </c>
    </row>
    <row r="897" spans="1:25" ht="72.75" x14ac:dyDescent="0.25">
      <c r="A897" s="3" t="s">
        <v>26</v>
      </c>
      <c r="B897" s="3" t="s">
        <v>27</v>
      </c>
      <c r="C897" s="3" t="s">
        <v>28</v>
      </c>
      <c r="D897" s="3" t="s">
        <v>50</v>
      </c>
      <c r="E897" s="3" t="s">
        <v>252</v>
      </c>
      <c r="F897" s="3" t="s">
        <v>52</v>
      </c>
      <c r="G897" s="3" t="s">
        <v>252</v>
      </c>
      <c r="H897" s="3" t="s">
        <v>45</v>
      </c>
      <c r="I897" s="3">
        <v>2025</v>
      </c>
      <c r="J897" s="3" t="str">
        <f>CONCATENATE("54820278791")</f>
        <v>54820278791</v>
      </c>
      <c r="K897" s="3" t="s">
        <v>33</v>
      </c>
      <c r="L897" s="3"/>
      <c r="M897" s="3" t="s">
        <v>131</v>
      </c>
      <c r="N897" s="3" t="str">
        <f>CONCATENATE("SCHLNZ81A12D749D")</f>
        <v>SCHLNZ81A12D749D</v>
      </c>
      <c r="O897" s="3" t="s">
        <v>1022</v>
      </c>
      <c r="P897" s="3" t="s">
        <v>36</v>
      </c>
      <c r="Q897" s="3"/>
      <c r="R897" s="4">
        <v>45996</v>
      </c>
      <c r="S897" s="3" t="s">
        <v>37</v>
      </c>
      <c r="T897" s="3" t="s">
        <v>38</v>
      </c>
      <c r="U897" s="3" t="s">
        <v>39</v>
      </c>
      <c r="V897" s="3">
        <v>78.56</v>
      </c>
      <c r="W897" s="3">
        <v>33.39</v>
      </c>
      <c r="X897" s="3">
        <v>31.62</v>
      </c>
      <c r="Y897" s="3">
        <v>13.55</v>
      </c>
    </row>
    <row r="898" spans="1:25" ht="60.75" x14ac:dyDescent="0.25">
      <c r="A898" s="3" t="s">
        <v>26</v>
      </c>
      <c r="B898" s="3" t="s">
        <v>27</v>
      </c>
      <c r="C898" s="3" t="s">
        <v>28</v>
      </c>
      <c r="D898" s="3" t="s">
        <v>104</v>
      </c>
      <c r="E898" s="3" t="s">
        <v>141</v>
      </c>
      <c r="F898" s="3" t="s">
        <v>104</v>
      </c>
      <c r="G898" s="3" t="s">
        <v>141</v>
      </c>
      <c r="H898" s="3" t="s">
        <v>96</v>
      </c>
      <c r="I898" s="3">
        <v>2025</v>
      </c>
      <c r="J898" s="3" t="str">
        <f>CONCATENATE("54820277512")</f>
        <v>54820277512</v>
      </c>
      <c r="K898" s="3" t="s">
        <v>33</v>
      </c>
      <c r="L898" s="3"/>
      <c r="M898" s="3" t="s">
        <v>131</v>
      </c>
      <c r="N898" s="3" t="str">
        <f>CONCATENATE("BRBNNA53L67G388D")</f>
        <v>BRBNNA53L67G388D</v>
      </c>
      <c r="O898" s="3" t="s">
        <v>1023</v>
      </c>
      <c r="P898" s="3" t="s">
        <v>36</v>
      </c>
      <c r="Q898" s="3"/>
      <c r="R898" s="4">
        <v>45996</v>
      </c>
      <c r="S898" s="3" t="s">
        <v>37</v>
      </c>
      <c r="T898" s="3" t="s">
        <v>38</v>
      </c>
      <c r="U898" s="3" t="s">
        <v>39</v>
      </c>
      <c r="V898" s="3">
        <v>53.08</v>
      </c>
      <c r="W898" s="3">
        <v>22.56</v>
      </c>
      <c r="X898" s="3">
        <v>21.36</v>
      </c>
      <c r="Y898" s="3">
        <v>9.16</v>
      </c>
    </row>
    <row r="899" spans="1:25" ht="60.75" x14ac:dyDescent="0.25">
      <c r="A899" s="3" t="s">
        <v>26</v>
      </c>
      <c r="B899" s="3" t="s">
        <v>27</v>
      </c>
      <c r="C899" s="3" t="s">
        <v>28</v>
      </c>
      <c r="D899" s="3" t="s">
        <v>104</v>
      </c>
      <c r="E899" s="3" t="s">
        <v>141</v>
      </c>
      <c r="F899" s="3" t="s">
        <v>104</v>
      </c>
      <c r="G899" s="3" t="s">
        <v>141</v>
      </c>
      <c r="H899" s="3" t="s">
        <v>96</v>
      </c>
      <c r="I899" s="3">
        <v>2025</v>
      </c>
      <c r="J899" s="3" t="str">
        <f>CONCATENATE("54820277546")</f>
        <v>54820277546</v>
      </c>
      <c r="K899" s="3" t="s">
        <v>33</v>
      </c>
      <c r="L899" s="3"/>
      <c r="M899" s="3" t="s">
        <v>131</v>
      </c>
      <c r="N899" s="3" t="str">
        <f>CONCATENATE("RRGGPP82C09A462B")</f>
        <v>RRGGPP82C09A462B</v>
      </c>
      <c r="O899" s="3" t="s">
        <v>1024</v>
      </c>
      <c r="P899" s="3" t="s">
        <v>36</v>
      </c>
      <c r="Q899" s="3"/>
      <c r="R899" s="4">
        <v>45996</v>
      </c>
      <c r="S899" s="3" t="s">
        <v>37</v>
      </c>
      <c r="T899" s="3" t="s">
        <v>38</v>
      </c>
      <c r="U899" s="3" t="s">
        <v>39</v>
      </c>
      <c r="V899" s="3">
        <v>236.14</v>
      </c>
      <c r="W899" s="3">
        <v>100.36</v>
      </c>
      <c r="X899" s="3">
        <v>95.05</v>
      </c>
      <c r="Y899" s="3">
        <v>40.729999999999997</v>
      </c>
    </row>
    <row r="900" spans="1:25" ht="72.75" x14ac:dyDescent="0.25">
      <c r="A900" s="3" t="s">
        <v>26</v>
      </c>
      <c r="B900" s="3" t="s">
        <v>27</v>
      </c>
      <c r="C900" s="3" t="s">
        <v>28</v>
      </c>
      <c r="D900" s="3" t="s">
        <v>29</v>
      </c>
      <c r="E900" s="3" t="s">
        <v>56</v>
      </c>
      <c r="F900" s="3" t="s">
        <v>31</v>
      </c>
      <c r="G900" s="3" t="s">
        <v>56</v>
      </c>
      <c r="H900" s="3" t="s">
        <v>32</v>
      </c>
      <c r="I900" s="3">
        <v>2025</v>
      </c>
      <c r="J900" s="3" t="str">
        <f>CONCATENATE("54820288006")</f>
        <v>54820288006</v>
      </c>
      <c r="K900" s="3" t="s">
        <v>33</v>
      </c>
      <c r="L900" s="3"/>
      <c r="M900" s="3" t="s">
        <v>131</v>
      </c>
      <c r="N900" s="3" t="str">
        <f>CONCATENATE("MRCRCR99H13A271Q")</f>
        <v>MRCRCR99H13A271Q</v>
      </c>
      <c r="O900" s="3" t="s">
        <v>1025</v>
      </c>
      <c r="P900" s="3" t="s">
        <v>36</v>
      </c>
      <c r="Q900" s="3"/>
      <c r="R900" s="4">
        <v>45996</v>
      </c>
      <c r="S900" s="3" t="s">
        <v>37</v>
      </c>
      <c r="T900" s="3" t="s">
        <v>38</v>
      </c>
      <c r="U900" s="3" t="s">
        <v>39</v>
      </c>
      <c r="V900" s="3">
        <v>785.43</v>
      </c>
      <c r="W900" s="3">
        <v>333.81</v>
      </c>
      <c r="X900" s="3">
        <v>316.14</v>
      </c>
      <c r="Y900" s="3">
        <v>135.47999999999999</v>
      </c>
    </row>
    <row r="901" spans="1:25" ht="60.75" x14ac:dyDescent="0.25">
      <c r="A901" s="3" t="s">
        <v>26</v>
      </c>
      <c r="B901" s="3" t="s">
        <v>27</v>
      </c>
      <c r="C901" s="3" t="s">
        <v>28</v>
      </c>
      <c r="D901" s="3" t="s">
        <v>104</v>
      </c>
      <c r="E901" s="3" t="s">
        <v>141</v>
      </c>
      <c r="F901" s="3" t="s">
        <v>104</v>
      </c>
      <c r="G901" s="3" t="s">
        <v>141</v>
      </c>
      <c r="H901" s="3" t="s">
        <v>96</v>
      </c>
      <c r="I901" s="3">
        <v>2025</v>
      </c>
      <c r="J901" s="3" t="str">
        <f>CONCATENATE("54820306261")</f>
        <v>54820306261</v>
      </c>
      <c r="K901" s="3" t="s">
        <v>33</v>
      </c>
      <c r="L901" s="3"/>
      <c r="M901" s="3" t="s">
        <v>131</v>
      </c>
      <c r="N901" s="3" t="str">
        <f>CONCATENATE("CCCMRZ65B04A252X")</f>
        <v>CCCMRZ65B04A252X</v>
      </c>
      <c r="O901" s="3" t="s">
        <v>1026</v>
      </c>
      <c r="P901" s="3" t="s">
        <v>36</v>
      </c>
      <c r="Q901" s="3"/>
      <c r="R901" s="4">
        <v>45996</v>
      </c>
      <c r="S901" s="3" t="s">
        <v>37</v>
      </c>
      <c r="T901" s="3" t="s">
        <v>38</v>
      </c>
      <c r="U901" s="3" t="s">
        <v>39</v>
      </c>
      <c r="V901" s="3">
        <v>130.22</v>
      </c>
      <c r="W901" s="3">
        <v>55.34</v>
      </c>
      <c r="X901" s="3">
        <v>52.41</v>
      </c>
      <c r="Y901" s="3">
        <v>22.47</v>
      </c>
    </row>
    <row r="902" spans="1:25" ht="72.75" x14ac:dyDescent="0.25">
      <c r="A902" s="3" t="s">
        <v>26</v>
      </c>
      <c r="B902" s="3" t="s">
        <v>27</v>
      </c>
      <c r="C902" s="3" t="s">
        <v>28</v>
      </c>
      <c r="D902" s="3" t="s">
        <v>29</v>
      </c>
      <c r="E902" s="3" t="s">
        <v>72</v>
      </c>
      <c r="F902" s="3" t="s">
        <v>31</v>
      </c>
      <c r="G902" s="3" t="s">
        <v>72</v>
      </c>
      <c r="H902" s="3" t="s">
        <v>45</v>
      </c>
      <c r="I902" s="3">
        <v>2025</v>
      </c>
      <c r="J902" s="3" t="str">
        <f>CONCATENATE("54820419809")</f>
        <v>54820419809</v>
      </c>
      <c r="K902" s="3" t="s">
        <v>33</v>
      </c>
      <c r="L902" s="3"/>
      <c r="M902" s="3" t="s">
        <v>131</v>
      </c>
      <c r="N902" s="3" t="str">
        <f>CONCATENATE("PCCGBR54H05B352U")</f>
        <v>PCCGBR54H05B352U</v>
      </c>
      <c r="O902" s="3" t="s">
        <v>1027</v>
      </c>
      <c r="P902" s="3" t="s">
        <v>36</v>
      </c>
      <c r="Q902" s="3"/>
      <c r="R902" s="4">
        <v>45996</v>
      </c>
      <c r="S902" s="3" t="s">
        <v>37</v>
      </c>
      <c r="T902" s="3" t="s">
        <v>38</v>
      </c>
      <c r="U902" s="3" t="s">
        <v>39</v>
      </c>
      <c r="V902" s="3">
        <v>940.41</v>
      </c>
      <c r="W902" s="3">
        <v>399.67</v>
      </c>
      <c r="X902" s="3">
        <v>378.52</v>
      </c>
      <c r="Y902" s="3">
        <v>162.22</v>
      </c>
    </row>
    <row r="903" spans="1:25" ht="60.75" x14ac:dyDescent="0.25">
      <c r="A903" s="3" t="s">
        <v>26</v>
      </c>
      <c r="B903" s="3" t="s">
        <v>27</v>
      </c>
      <c r="C903" s="3" t="s">
        <v>28</v>
      </c>
      <c r="D903" s="3" t="s">
        <v>29</v>
      </c>
      <c r="E903" s="3" t="s">
        <v>47</v>
      </c>
      <c r="F903" s="3" t="s">
        <v>31</v>
      </c>
      <c r="G903" s="3" t="s">
        <v>47</v>
      </c>
      <c r="H903" s="3" t="s">
        <v>48</v>
      </c>
      <c r="I903" s="3">
        <v>2025</v>
      </c>
      <c r="J903" s="3" t="str">
        <f>CONCATENATE("54820287032")</f>
        <v>54820287032</v>
      </c>
      <c r="K903" s="3" t="s">
        <v>33</v>
      </c>
      <c r="L903" s="3"/>
      <c r="M903" s="3" t="s">
        <v>131</v>
      </c>
      <c r="N903" s="3" t="str">
        <f>CONCATENATE("FRRPLA74C68E388Q")</f>
        <v>FRRPLA74C68E388Q</v>
      </c>
      <c r="O903" s="3" t="s">
        <v>1028</v>
      </c>
      <c r="P903" s="3" t="s">
        <v>36</v>
      </c>
      <c r="Q903" s="3"/>
      <c r="R903" s="4">
        <v>45996</v>
      </c>
      <c r="S903" s="3" t="s">
        <v>37</v>
      </c>
      <c r="T903" s="3" t="s">
        <v>38</v>
      </c>
      <c r="U903" s="3" t="s">
        <v>39</v>
      </c>
      <c r="V903" s="3">
        <v>118.98</v>
      </c>
      <c r="W903" s="3">
        <v>50.57</v>
      </c>
      <c r="X903" s="3">
        <v>47.89</v>
      </c>
      <c r="Y903" s="3">
        <v>20.52</v>
      </c>
    </row>
    <row r="904" spans="1:25" ht="60.75" x14ac:dyDescent="0.25">
      <c r="A904" s="3" t="s">
        <v>26</v>
      </c>
      <c r="B904" s="3" t="s">
        <v>27</v>
      </c>
      <c r="C904" s="3" t="s">
        <v>28</v>
      </c>
      <c r="D904" s="3" t="s">
        <v>29</v>
      </c>
      <c r="E904" s="3" t="s">
        <v>56</v>
      </c>
      <c r="F904" s="3" t="s">
        <v>31</v>
      </c>
      <c r="G904" s="3" t="s">
        <v>56</v>
      </c>
      <c r="H904" s="3" t="s">
        <v>32</v>
      </c>
      <c r="I904" s="3">
        <v>2025</v>
      </c>
      <c r="J904" s="3" t="str">
        <f>CONCATENATE("54820027776")</f>
        <v>54820027776</v>
      </c>
      <c r="K904" s="3" t="s">
        <v>33</v>
      </c>
      <c r="L904" s="3"/>
      <c r="M904" s="3" t="s">
        <v>131</v>
      </c>
      <c r="N904" s="3" t="str">
        <f>CONCATENATE("BNFNGL76R27B474L")</f>
        <v>BNFNGL76R27B474L</v>
      </c>
      <c r="O904" s="3" t="s">
        <v>1029</v>
      </c>
      <c r="P904" s="3" t="s">
        <v>36</v>
      </c>
      <c r="Q904" s="3"/>
      <c r="R904" s="4">
        <v>45996</v>
      </c>
      <c r="S904" s="3" t="s">
        <v>37</v>
      </c>
      <c r="T904" s="3" t="s">
        <v>38</v>
      </c>
      <c r="U904" s="3" t="s">
        <v>39</v>
      </c>
      <c r="V904" s="3">
        <v>98.72</v>
      </c>
      <c r="W904" s="3">
        <v>41.96</v>
      </c>
      <c r="X904" s="3">
        <v>39.729999999999997</v>
      </c>
      <c r="Y904" s="3">
        <v>17.03</v>
      </c>
    </row>
    <row r="905" spans="1:25" ht="72.75" x14ac:dyDescent="0.25">
      <c r="A905" s="3" t="s">
        <v>26</v>
      </c>
      <c r="B905" s="3" t="s">
        <v>27</v>
      </c>
      <c r="C905" s="3" t="s">
        <v>28</v>
      </c>
      <c r="D905" s="3" t="s">
        <v>29</v>
      </c>
      <c r="E905" s="3" t="s">
        <v>56</v>
      </c>
      <c r="F905" s="3" t="s">
        <v>31</v>
      </c>
      <c r="G905" s="3" t="s">
        <v>56</v>
      </c>
      <c r="H905" s="3" t="s">
        <v>32</v>
      </c>
      <c r="I905" s="3">
        <v>2025</v>
      </c>
      <c r="J905" s="3" t="str">
        <f>CONCATENATE("54820248745")</f>
        <v>54820248745</v>
      </c>
      <c r="K905" s="3" t="s">
        <v>33</v>
      </c>
      <c r="L905" s="3"/>
      <c r="M905" s="3" t="s">
        <v>131</v>
      </c>
      <c r="N905" s="3" t="str">
        <f>CONCATENATE("PRCMSM50E06D429D")</f>
        <v>PRCMSM50E06D429D</v>
      </c>
      <c r="O905" s="3" t="s">
        <v>1030</v>
      </c>
      <c r="P905" s="3" t="s">
        <v>36</v>
      </c>
      <c r="Q905" s="3"/>
      <c r="R905" s="4">
        <v>45996</v>
      </c>
      <c r="S905" s="3" t="s">
        <v>37</v>
      </c>
      <c r="T905" s="3" t="s">
        <v>38</v>
      </c>
      <c r="U905" s="3" t="s">
        <v>39</v>
      </c>
      <c r="V905" s="3">
        <v>279.72000000000003</v>
      </c>
      <c r="W905" s="3">
        <v>118.88</v>
      </c>
      <c r="X905" s="3">
        <v>112.59</v>
      </c>
      <c r="Y905" s="3">
        <v>48.25</v>
      </c>
    </row>
    <row r="906" spans="1:25" ht="60.75" x14ac:dyDescent="0.25">
      <c r="A906" s="3" t="s">
        <v>26</v>
      </c>
      <c r="B906" s="3" t="s">
        <v>27</v>
      </c>
      <c r="C906" s="3" t="s">
        <v>28</v>
      </c>
      <c r="D906" s="3" t="s">
        <v>29</v>
      </c>
      <c r="E906" s="3" t="s">
        <v>136</v>
      </c>
      <c r="F906" s="3" t="s">
        <v>31</v>
      </c>
      <c r="G906" s="3" t="s">
        <v>136</v>
      </c>
      <c r="H906" s="3" t="s">
        <v>48</v>
      </c>
      <c r="I906" s="3">
        <v>2025</v>
      </c>
      <c r="J906" s="3" t="str">
        <f>CONCATENATE("54820032925")</f>
        <v>54820032925</v>
      </c>
      <c r="K906" s="3" t="s">
        <v>33</v>
      </c>
      <c r="L906" s="3"/>
      <c r="M906" s="3" t="s">
        <v>131</v>
      </c>
      <c r="N906" s="3" t="str">
        <f>CONCATENATE("BTTPRI50D13D965F")</f>
        <v>BTTPRI50D13D965F</v>
      </c>
      <c r="O906" s="3" t="s">
        <v>1031</v>
      </c>
      <c r="P906" s="3" t="s">
        <v>36</v>
      </c>
      <c r="Q906" s="3"/>
      <c r="R906" s="4">
        <v>45996</v>
      </c>
      <c r="S906" s="3" t="s">
        <v>37</v>
      </c>
      <c r="T906" s="3" t="s">
        <v>38</v>
      </c>
      <c r="U906" s="3" t="s">
        <v>39</v>
      </c>
      <c r="V906" s="3">
        <v>105.7</v>
      </c>
      <c r="W906" s="3">
        <v>44.92</v>
      </c>
      <c r="X906" s="3">
        <v>42.54</v>
      </c>
      <c r="Y906" s="3">
        <v>18.239999999999998</v>
      </c>
    </row>
    <row r="907" spans="1:25" ht="60.75" x14ac:dyDescent="0.25">
      <c r="A907" s="3" t="s">
        <v>26</v>
      </c>
      <c r="B907" s="3" t="s">
        <v>27</v>
      </c>
      <c r="C907" s="3" t="s">
        <v>28</v>
      </c>
      <c r="D907" s="3" t="s">
        <v>50</v>
      </c>
      <c r="E907" s="3" t="s">
        <v>60</v>
      </c>
      <c r="F907" s="3" t="s">
        <v>52</v>
      </c>
      <c r="G907" s="3" t="s">
        <v>60</v>
      </c>
      <c r="H907" s="3" t="s">
        <v>45</v>
      </c>
      <c r="I907" s="3">
        <v>2025</v>
      </c>
      <c r="J907" s="3" t="str">
        <f>CONCATENATE("54820094362")</f>
        <v>54820094362</v>
      </c>
      <c r="K907" s="3" t="s">
        <v>33</v>
      </c>
      <c r="L907" s="3"/>
      <c r="M907" s="3" t="s">
        <v>131</v>
      </c>
      <c r="N907" s="3" t="str">
        <f>CONCATENATE("FRCDNI45B05B636X")</f>
        <v>FRCDNI45B05B636X</v>
      </c>
      <c r="O907" s="3" t="s">
        <v>1032</v>
      </c>
      <c r="P907" s="3" t="s">
        <v>36</v>
      </c>
      <c r="Q907" s="3"/>
      <c r="R907" s="4">
        <v>45996</v>
      </c>
      <c r="S907" s="3" t="s">
        <v>37</v>
      </c>
      <c r="T907" s="3" t="s">
        <v>38</v>
      </c>
      <c r="U907" s="3" t="s">
        <v>39</v>
      </c>
      <c r="V907" s="3">
        <v>171.12</v>
      </c>
      <c r="W907" s="3">
        <v>72.73</v>
      </c>
      <c r="X907" s="3">
        <v>68.88</v>
      </c>
      <c r="Y907" s="3">
        <v>29.51</v>
      </c>
    </row>
    <row r="908" spans="1:25" ht="60.75" x14ac:dyDescent="0.25">
      <c r="A908" s="3" t="s">
        <v>26</v>
      </c>
      <c r="B908" s="3" t="s">
        <v>27</v>
      </c>
      <c r="C908" s="3" t="s">
        <v>28</v>
      </c>
      <c r="D908" s="3" t="s">
        <v>50</v>
      </c>
      <c r="E908" s="3" t="s">
        <v>173</v>
      </c>
      <c r="F908" s="3" t="s">
        <v>52</v>
      </c>
      <c r="G908" s="3" t="s">
        <v>173</v>
      </c>
      <c r="H908" s="3" t="s">
        <v>45</v>
      </c>
      <c r="I908" s="3">
        <v>2025</v>
      </c>
      <c r="J908" s="3" t="str">
        <f>CONCATENATE("54820070115")</f>
        <v>54820070115</v>
      </c>
      <c r="K908" s="3" t="s">
        <v>33</v>
      </c>
      <c r="L908" s="3"/>
      <c r="M908" s="3" t="s">
        <v>131</v>
      </c>
      <c r="N908" s="3" t="str">
        <f>CONCATENATE("GNTBVN54S03E785O")</f>
        <v>GNTBVN54S03E785O</v>
      </c>
      <c r="O908" s="3" t="s">
        <v>1033</v>
      </c>
      <c r="P908" s="3" t="s">
        <v>36</v>
      </c>
      <c r="Q908" s="3"/>
      <c r="R908" s="4">
        <v>45996</v>
      </c>
      <c r="S908" s="3" t="s">
        <v>37</v>
      </c>
      <c r="T908" s="3" t="s">
        <v>38</v>
      </c>
      <c r="U908" s="3" t="s">
        <v>39</v>
      </c>
      <c r="V908" s="3">
        <v>86.75</v>
      </c>
      <c r="W908" s="3">
        <v>36.869999999999997</v>
      </c>
      <c r="X908" s="3">
        <v>34.92</v>
      </c>
      <c r="Y908" s="3">
        <v>14.96</v>
      </c>
    </row>
    <row r="909" spans="1:25" ht="60.75" x14ac:dyDescent="0.25">
      <c r="A909" s="3" t="s">
        <v>26</v>
      </c>
      <c r="B909" s="3" t="s">
        <v>27</v>
      </c>
      <c r="C909" s="3" t="s">
        <v>28</v>
      </c>
      <c r="D909" s="3" t="s">
        <v>29</v>
      </c>
      <c r="E909" s="3" t="s">
        <v>56</v>
      </c>
      <c r="F909" s="3" t="s">
        <v>31</v>
      </c>
      <c r="G909" s="3" t="s">
        <v>56</v>
      </c>
      <c r="H909" s="3" t="s">
        <v>32</v>
      </c>
      <c r="I909" s="3">
        <v>2025</v>
      </c>
      <c r="J909" s="3" t="str">
        <f>CONCATENATE("54820077383")</f>
        <v>54820077383</v>
      </c>
      <c r="K909" s="3" t="s">
        <v>33</v>
      </c>
      <c r="L909" s="3"/>
      <c r="M909" s="3" t="s">
        <v>131</v>
      </c>
      <c r="N909" s="3" t="str">
        <f>CONCATENATE("FDLCLD59C04B474N")</f>
        <v>FDLCLD59C04B474N</v>
      </c>
      <c r="O909" s="3" t="s">
        <v>1034</v>
      </c>
      <c r="P909" s="3" t="s">
        <v>36</v>
      </c>
      <c r="Q909" s="3"/>
      <c r="R909" s="4">
        <v>45996</v>
      </c>
      <c r="S909" s="3" t="s">
        <v>37</v>
      </c>
      <c r="T909" s="3" t="s">
        <v>38</v>
      </c>
      <c r="U909" s="3" t="s">
        <v>39</v>
      </c>
      <c r="V909" s="3">
        <v>245.77</v>
      </c>
      <c r="W909" s="3">
        <v>104.45</v>
      </c>
      <c r="X909" s="3">
        <v>98.92</v>
      </c>
      <c r="Y909" s="3">
        <v>42.4</v>
      </c>
    </row>
    <row r="910" spans="1:25" ht="60.75" x14ac:dyDescent="0.25">
      <c r="A910" s="3" t="s">
        <v>26</v>
      </c>
      <c r="B910" s="3" t="s">
        <v>27</v>
      </c>
      <c r="C910" s="3" t="s">
        <v>28</v>
      </c>
      <c r="D910" s="3" t="s">
        <v>50</v>
      </c>
      <c r="E910" s="3" t="s">
        <v>147</v>
      </c>
      <c r="F910" s="3" t="s">
        <v>52</v>
      </c>
      <c r="G910" s="3" t="s">
        <v>147</v>
      </c>
      <c r="H910" s="3" t="s">
        <v>45</v>
      </c>
      <c r="I910" s="3">
        <v>2025</v>
      </c>
      <c r="J910" s="3" t="str">
        <f>CONCATENATE("54820168406")</f>
        <v>54820168406</v>
      </c>
      <c r="K910" s="3" t="s">
        <v>33</v>
      </c>
      <c r="L910" s="3"/>
      <c r="M910" s="3" t="s">
        <v>131</v>
      </c>
      <c r="N910" s="3" t="str">
        <f>CONCATENATE("GHSLEI49E04L500T")</f>
        <v>GHSLEI49E04L500T</v>
      </c>
      <c r="O910" s="3" t="s">
        <v>1035</v>
      </c>
      <c r="P910" s="3" t="s">
        <v>36</v>
      </c>
      <c r="Q910" s="3"/>
      <c r="R910" s="4">
        <v>45996</v>
      </c>
      <c r="S910" s="3" t="s">
        <v>37</v>
      </c>
      <c r="T910" s="3" t="s">
        <v>38</v>
      </c>
      <c r="U910" s="3" t="s">
        <v>39</v>
      </c>
      <c r="V910" s="3">
        <v>350.74</v>
      </c>
      <c r="W910" s="3">
        <v>149.06</v>
      </c>
      <c r="X910" s="3">
        <v>141.16999999999999</v>
      </c>
      <c r="Y910" s="3">
        <v>60.51</v>
      </c>
    </row>
    <row r="911" spans="1:25" ht="60.75" x14ac:dyDescent="0.25">
      <c r="A911" s="3" t="s">
        <v>26</v>
      </c>
      <c r="B911" s="3" t="s">
        <v>27</v>
      </c>
      <c r="C911" s="3" t="s">
        <v>28</v>
      </c>
      <c r="D911" s="3" t="s">
        <v>91</v>
      </c>
      <c r="E911" s="3" t="s">
        <v>92</v>
      </c>
      <c r="F911" s="3" t="s">
        <v>93</v>
      </c>
      <c r="G911" s="3" t="s">
        <v>92</v>
      </c>
      <c r="H911" s="3" t="s">
        <v>48</v>
      </c>
      <c r="I911" s="3">
        <v>2025</v>
      </c>
      <c r="J911" s="3" t="str">
        <f>CONCATENATE("54820008172")</f>
        <v>54820008172</v>
      </c>
      <c r="K911" s="3" t="s">
        <v>33</v>
      </c>
      <c r="L911" s="3"/>
      <c r="M911" s="3" t="s">
        <v>131</v>
      </c>
      <c r="N911" s="3" t="str">
        <f>CONCATENATE("PTTMSF65L47D451X")</f>
        <v>PTTMSF65L47D451X</v>
      </c>
      <c r="O911" s="3" t="s">
        <v>1036</v>
      </c>
      <c r="P911" s="3" t="s">
        <v>36</v>
      </c>
      <c r="Q911" s="3"/>
      <c r="R911" s="4">
        <v>45996</v>
      </c>
      <c r="S911" s="3" t="s">
        <v>37</v>
      </c>
      <c r="T911" s="3" t="s">
        <v>38</v>
      </c>
      <c r="U911" s="3" t="s">
        <v>39</v>
      </c>
      <c r="V911" s="3">
        <v>621.09</v>
      </c>
      <c r="W911" s="3">
        <v>263.95999999999998</v>
      </c>
      <c r="X911" s="3">
        <v>249.99</v>
      </c>
      <c r="Y911" s="3">
        <v>107.14</v>
      </c>
    </row>
    <row r="912" spans="1:25" ht="60.75" x14ac:dyDescent="0.25">
      <c r="A912" s="3" t="s">
        <v>26</v>
      </c>
      <c r="B912" s="3" t="s">
        <v>27</v>
      </c>
      <c r="C912" s="3" t="s">
        <v>28</v>
      </c>
      <c r="D912" s="3" t="s">
        <v>29</v>
      </c>
      <c r="E912" s="3" t="s">
        <v>80</v>
      </c>
      <c r="F912" s="3" t="s">
        <v>31</v>
      </c>
      <c r="G912" s="3" t="s">
        <v>80</v>
      </c>
      <c r="H912" s="3" t="s">
        <v>45</v>
      </c>
      <c r="I912" s="3">
        <v>2025</v>
      </c>
      <c r="J912" s="3" t="str">
        <f>CONCATENATE("54820083209")</f>
        <v>54820083209</v>
      </c>
      <c r="K912" s="3" t="s">
        <v>33</v>
      </c>
      <c r="L912" s="3"/>
      <c r="M912" s="3" t="s">
        <v>131</v>
      </c>
      <c r="N912" s="3" t="str">
        <f>CONCATENATE("MRLSRG55S23G453H")</f>
        <v>MRLSRG55S23G453H</v>
      </c>
      <c r="O912" s="3" t="s">
        <v>1037</v>
      </c>
      <c r="P912" s="3" t="s">
        <v>36</v>
      </c>
      <c r="Q912" s="3"/>
      <c r="R912" s="4">
        <v>45996</v>
      </c>
      <c r="S912" s="3" t="s">
        <v>37</v>
      </c>
      <c r="T912" s="3" t="s">
        <v>38</v>
      </c>
      <c r="U912" s="3" t="s">
        <v>39</v>
      </c>
      <c r="V912" s="3">
        <v>644.71</v>
      </c>
      <c r="W912" s="3">
        <v>274</v>
      </c>
      <c r="X912" s="3">
        <v>259.5</v>
      </c>
      <c r="Y912" s="3">
        <v>111.21</v>
      </c>
    </row>
    <row r="913" spans="1:25" ht="60.75" x14ac:dyDescent="0.25">
      <c r="A913" s="3" t="s">
        <v>26</v>
      </c>
      <c r="B913" s="3" t="s">
        <v>27</v>
      </c>
      <c r="C913" s="3" t="s">
        <v>28</v>
      </c>
      <c r="D913" s="3" t="s">
        <v>91</v>
      </c>
      <c r="E913" s="3" t="s">
        <v>95</v>
      </c>
      <c r="F913" s="3" t="s">
        <v>93</v>
      </c>
      <c r="G913" s="3" t="s">
        <v>95</v>
      </c>
      <c r="H913" s="3" t="s">
        <v>96</v>
      </c>
      <c r="I913" s="3">
        <v>2025</v>
      </c>
      <c r="J913" s="3" t="str">
        <f>CONCATENATE("54820168372")</f>
        <v>54820168372</v>
      </c>
      <c r="K913" s="3" t="s">
        <v>33</v>
      </c>
      <c r="L913" s="3"/>
      <c r="M913" s="3" t="s">
        <v>131</v>
      </c>
      <c r="N913" s="3" t="str">
        <f>CONCATENATE("FRRFNC92H16A462L")</f>
        <v>FRRFNC92H16A462L</v>
      </c>
      <c r="O913" s="3" t="s">
        <v>1038</v>
      </c>
      <c r="P913" s="3" t="s">
        <v>36</v>
      </c>
      <c r="Q913" s="3"/>
      <c r="R913" s="4">
        <v>45996</v>
      </c>
      <c r="S913" s="3" t="s">
        <v>37</v>
      </c>
      <c r="T913" s="3" t="s">
        <v>38</v>
      </c>
      <c r="U913" s="3" t="s">
        <v>39</v>
      </c>
      <c r="V913" s="3">
        <v>474.32</v>
      </c>
      <c r="W913" s="3">
        <v>201.59</v>
      </c>
      <c r="X913" s="3">
        <v>190.91</v>
      </c>
      <c r="Y913" s="3">
        <v>81.819999999999993</v>
      </c>
    </row>
    <row r="914" spans="1:25" ht="60.75" x14ac:dyDescent="0.25">
      <c r="A914" s="3" t="s">
        <v>26</v>
      </c>
      <c r="B914" s="3" t="s">
        <v>27</v>
      </c>
      <c r="C914" s="3" t="s">
        <v>28</v>
      </c>
      <c r="D914" s="3" t="s">
        <v>29</v>
      </c>
      <c r="E914" s="3" t="s">
        <v>47</v>
      </c>
      <c r="F914" s="3" t="s">
        <v>31</v>
      </c>
      <c r="G914" s="3" t="s">
        <v>47</v>
      </c>
      <c r="H914" s="3" t="s">
        <v>48</v>
      </c>
      <c r="I914" s="3">
        <v>2025</v>
      </c>
      <c r="J914" s="3" t="str">
        <f>CONCATENATE("54820173505")</f>
        <v>54820173505</v>
      </c>
      <c r="K914" s="3" t="s">
        <v>33</v>
      </c>
      <c r="L914" s="3"/>
      <c r="M914" s="3" t="s">
        <v>131</v>
      </c>
      <c r="N914" s="3" t="str">
        <f>CONCATENATE("NGLGPP63L03D451W")</f>
        <v>NGLGPP63L03D451W</v>
      </c>
      <c r="O914" s="3" t="s">
        <v>1039</v>
      </c>
      <c r="P914" s="3" t="s">
        <v>36</v>
      </c>
      <c r="Q914" s="3"/>
      <c r="R914" s="4">
        <v>45996</v>
      </c>
      <c r="S914" s="3" t="s">
        <v>37</v>
      </c>
      <c r="T914" s="3" t="s">
        <v>38</v>
      </c>
      <c r="U914" s="3" t="s">
        <v>39</v>
      </c>
      <c r="V914" s="3">
        <v>92.06</v>
      </c>
      <c r="W914" s="3">
        <v>39.130000000000003</v>
      </c>
      <c r="X914" s="3">
        <v>37.049999999999997</v>
      </c>
      <c r="Y914" s="3">
        <v>15.88</v>
      </c>
    </row>
    <row r="915" spans="1:25" ht="60.75" x14ac:dyDescent="0.25">
      <c r="A915" s="3" t="s">
        <v>26</v>
      </c>
      <c r="B915" s="3" t="s">
        <v>27</v>
      </c>
      <c r="C915" s="3" t="s">
        <v>28</v>
      </c>
      <c r="D915" s="3" t="s">
        <v>50</v>
      </c>
      <c r="E915" s="3" t="s">
        <v>173</v>
      </c>
      <c r="F915" s="3" t="s">
        <v>52</v>
      </c>
      <c r="G915" s="3" t="s">
        <v>173</v>
      </c>
      <c r="H915" s="3" t="s">
        <v>45</v>
      </c>
      <c r="I915" s="3">
        <v>2025</v>
      </c>
      <c r="J915" s="3" t="str">
        <f>CONCATENATE("54820058482")</f>
        <v>54820058482</v>
      </c>
      <c r="K915" s="3" t="s">
        <v>33</v>
      </c>
      <c r="L915" s="3"/>
      <c r="M915" s="3" t="s">
        <v>131</v>
      </c>
      <c r="N915" s="3" t="str">
        <f>CONCATENATE("MROYLY81S66Z504Q")</f>
        <v>MROYLY81S66Z504Q</v>
      </c>
      <c r="O915" s="3" t="s">
        <v>1040</v>
      </c>
      <c r="P915" s="3" t="s">
        <v>36</v>
      </c>
      <c r="Q915" s="3"/>
      <c r="R915" s="4">
        <v>45996</v>
      </c>
      <c r="S915" s="3" t="s">
        <v>37</v>
      </c>
      <c r="T915" s="3" t="s">
        <v>38</v>
      </c>
      <c r="U915" s="3" t="s">
        <v>39</v>
      </c>
      <c r="V915" s="3">
        <v>768.29</v>
      </c>
      <c r="W915" s="3">
        <v>326.52</v>
      </c>
      <c r="X915" s="3">
        <v>309.24</v>
      </c>
      <c r="Y915" s="3">
        <v>132.53</v>
      </c>
    </row>
    <row r="916" spans="1:25" ht="60.75" x14ac:dyDescent="0.25">
      <c r="A916" s="3" t="s">
        <v>26</v>
      </c>
      <c r="B916" s="3" t="s">
        <v>27</v>
      </c>
      <c r="C916" s="3" t="s">
        <v>28</v>
      </c>
      <c r="D916" s="3" t="s">
        <v>29</v>
      </c>
      <c r="E916" s="3" t="s">
        <v>56</v>
      </c>
      <c r="F916" s="3" t="s">
        <v>31</v>
      </c>
      <c r="G916" s="3" t="s">
        <v>56</v>
      </c>
      <c r="H916" s="3" t="s">
        <v>32</v>
      </c>
      <c r="I916" s="3">
        <v>2025</v>
      </c>
      <c r="J916" s="3" t="str">
        <f>CONCATENATE("54820099502")</f>
        <v>54820099502</v>
      </c>
      <c r="K916" s="3" t="s">
        <v>33</v>
      </c>
      <c r="L916" s="3"/>
      <c r="M916" s="3" t="s">
        <v>131</v>
      </c>
      <c r="N916" s="3" t="str">
        <f>CONCATENATE("MZZGLN63L21D628W")</f>
        <v>MZZGLN63L21D628W</v>
      </c>
      <c r="O916" s="3" t="s">
        <v>1041</v>
      </c>
      <c r="P916" s="3" t="s">
        <v>36</v>
      </c>
      <c r="Q916" s="3"/>
      <c r="R916" s="4">
        <v>45996</v>
      </c>
      <c r="S916" s="3" t="s">
        <v>37</v>
      </c>
      <c r="T916" s="3" t="s">
        <v>38</v>
      </c>
      <c r="U916" s="3" t="s">
        <v>39</v>
      </c>
      <c r="V916" s="3">
        <v>333.01</v>
      </c>
      <c r="W916" s="3">
        <v>141.53</v>
      </c>
      <c r="X916" s="3">
        <v>134.04</v>
      </c>
      <c r="Y916" s="3">
        <v>57.44</v>
      </c>
    </row>
    <row r="917" spans="1:25" ht="60.75" x14ac:dyDescent="0.25">
      <c r="A917" s="3" t="s">
        <v>26</v>
      </c>
      <c r="B917" s="3" t="s">
        <v>27</v>
      </c>
      <c r="C917" s="3" t="s">
        <v>28</v>
      </c>
      <c r="D917" s="3" t="s">
        <v>29</v>
      </c>
      <c r="E917" s="3" t="s">
        <v>182</v>
      </c>
      <c r="F917" s="3" t="s">
        <v>31</v>
      </c>
      <c r="G917" s="3" t="s">
        <v>182</v>
      </c>
      <c r="H917" s="3" t="s">
        <v>45</v>
      </c>
      <c r="I917" s="3">
        <v>2025</v>
      </c>
      <c r="J917" s="3" t="str">
        <f>CONCATENATE("54820062401")</f>
        <v>54820062401</v>
      </c>
      <c r="K917" s="3" t="s">
        <v>33</v>
      </c>
      <c r="L917" s="3"/>
      <c r="M917" s="3" t="s">
        <v>131</v>
      </c>
      <c r="N917" s="3" t="str">
        <f>CONCATENATE("MRABRN65T46L500G")</f>
        <v>MRABRN65T46L500G</v>
      </c>
      <c r="O917" s="3" t="s">
        <v>1042</v>
      </c>
      <c r="P917" s="3" t="s">
        <v>36</v>
      </c>
      <c r="Q917" s="3"/>
      <c r="R917" s="4">
        <v>45996</v>
      </c>
      <c r="S917" s="3" t="s">
        <v>37</v>
      </c>
      <c r="T917" s="3" t="s">
        <v>38</v>
      </c>
      <c r="U917" s="3" t="s">
        <v>39</v>
      </c>
      <c r="V917" s="3">
        <v>312.52</v>
      </c>
      <c r="W917" s="3">
        <v>132.82</v>
      </c>
      <c r="X917" s="3">
        <v>125.79</v>
      </c>
      <c r="Y917" s="3">
        <v>53.91</v>
      </c>
    </row>
    <row r="918" spans="1:25" ht="60.75" x14ac:dyDescent="0.25">
      <c r="A918" s="3" t="s">
        <v>26</v>
      </c>
      <c r="B918" s="3" t="s">
        <v>27</v>
      </c>
      <c r="C918" s="3" t="s">
        <v>28</v>
      </c>
      <c r="D918" s="3" t="s">
        <v>50</v>
      </c>
      <c r="E918" s="3" t="s">
        <v>173</v>
      </c>
      <c r="F918" s="3" t="s">
        <v>52</v>
      </c>
      <c r="G918" s="3" t="s">
        <v>173</v>
      </c>
      <c r="H918" s="3" t="s">
        <v>45</v>
      </c>
      <c r="I918" s="3">
        <v>2025</v>
      </c>
      <c r="J918" s="3" t="str">
        <f>CONCATENATE("54820061536")</f>
        <v>54820061536</v>
      </c>
      <c r="K918" s="3" t="s">
        <v>33</v>
      </c>
      <c r="L918" s="3"/>
      <c r="M918" s="3" t="s">
        <v>131</v>
      </c>
      <c r="N918" s="3" t="str">
        <f>CONCATENATE("MRTCLD67C17E785P")</f>
        <v>MRTCLD67C17E785P</v>
      </c>
      <c r="O918" s="3" t="s">
        <v>1043</v>
      </c>
      <c r="P918" s="3" t="s">
        <v>36</v>
      </c>
      <c r="Q918" s="3"/>
      <c r="R918" s="4">
        <v>45996</v>
      </c>
      <c r="S918" s="3" t="s">
        <v>37</v>
      </c>
      <c r="T918" s="3" t="s">
        <v>38</v>
      </c>
      <c r="U918" s="3" t="s">
        <v>39</v>
      </c>
      <c r="V918" s="3">
        <v>130.22999999999999</v>
      </c>
      <c r="W918" s="3">
        <v>55.35</v>
      </c>
      <c r="X918" s="3">
        <v>52.42</v>
      </c>
      <c r="Y918" s="3">
        <v>22.46</v>
      </c>
    </row>
    <row r="919" spans="1:25" ht="60.75" x14ac:dyDescent="0.25">
      <c r="A919" s="3" t="s">
        <v>26</v>
      </c>
      <c r="B919" s="3" t="s">
        <v>27</v>
      </c>
      <c r="C919" s="3" t="s">
        <v>28</v>
      </c>
      <c r="D919" s="3" t="s">
        <v>29</v>
      </c>
      <c r="E919" s="3" t="s">
        <v>136</v>
      </c>
      <c r="F919" s="3" t="s">
        <v>31</v>
      </c>
      <c r="G919" s="3" t="s">
        <v>136</v>
      </c>
      <c r="H919" s="3" t="s">
        <v>48</v>
      </c>
      <c r="I919" s="3">
        <v>2025</v>
      </c>
      <c r="J919" s="3" t="str">
        <f>CONCATENATE("54820148739")</f>
        <v>54820148739</v>
      </c>
      <c r="K919" s="3" t="s">
        <v>33</v>
      </c>
      <c r="L919" s="3"/>
      <c r="M919" s="3" t="s">
        <v>131</v>
      </c>
      <c r="N919" s="3" t="str">
        <f>CONCATENATE("TTVCLD67D19I461W")</f>
        <v>TTVCLD67D19I461W</v>
      </c>
      <c r="O919" s="3" t="s">
        <v>1044</v>
      </c>
      <c r="P919" s="3" t="s">
        <v>36</v>
      </c>
      <c r="Q919" s="3"/>
      <c r="R919" s="4">
        <v>45996</v>
      </c>
      <c r="S919" s="3" t="s">
        <v>37</v>
      </c>
      <c r="T919" s="3" t="s">
        <v>38</v>
      </c>
      <c r="U919" s="3" t="s">
        <v>39</v>
      </c>
      <c r="V919" s="3">
        <v>484.2</v>
      </c>
      <c r="W919" s="3">
        <v>205.79</v>
      </c>
      <c r="X919" s="3">
        <v>194.89</v>
      </c>
      <c r="Y919" s="3">
        <v>83.52</v>
      </c>
    </row>
    <row r="920" spans="1:25" ht="60.75" x14ac:dyDescent="0.25">
      <c r="A920" s="3" t="s">
        <v>26</v>
      </c>
      <c r="B920" s="3" t="s">
        <v>27</v>
      </c>
      <c r="C920" s="3" t="s">
        <v>28</v>
      </c>
      <c r="D920" s="3" t="s">
        <v>29</v>
      </c>
      <c r="E920" s="3" t="s">
        <v>47</v>
      </c>
      <c r="F920" s="3" t="s">
        <v>31</v>
      </c>
      <c r="G920" s="3" t="s">
        <v>47</v>
      </c>
      <c r="H920" s="3" t="s">
        <v>48</v>
      </c>
      <c r="I920" s="3">
        <v>2025</v>
      </c>
      <c r="J920" s="3" t="str">
        <f>CONCATENATE("54820084074")</f>
        <v>54820084074</v>
      </c>
      <c r="K920" s="3" t="s">
        <v>33</v>
      </c>
      <c r="L920" s="3"/>
      <c r="M920" s="3" t="s">
        <v>131</v>
      </c>
      <c r="N920" s="3" t="str">
        <f>CONCATENATE("SCPDGI84P30E388H")</f>
        <v>SCPDGI84P30E388H</v>
      </c>
      <c r="O920" s="3" t="s">
        <v>1045</v>
      </c>
      <c r="P920" s="3" t="s">
        <v>36</v>
      </c>
      <c r="Q920" s="3"/>
      <c r="R920" s="4">
        <v>45996</v>
      </c>
      <c r="S920" s="3" t="s">
        <v>37</v>
      </c>
      <c r="T920" s="3" t="s">
        <v>38</v>
      </c>
      <c r="U920" s="3" t="s">
        <v>39</v>
      </c>
      <c r="V920" s="3">
        <v>500.55</v>
      </c>
      <c r="W920" s="3">
        <v>212.73</v>
      </c>
      <c r="X920" s="3">
        <v>201.47</v>
      </c>
      <c r="Y920" s="3">
        <v>86.35</v>
      </c>
    </row>
    <row r="921" spans="1:25" ht="36.75" x14ac:dyDescent="0.25">
      <c r="A921" s="3" t="s">
        <v>26</v>
      </c>
      <c r="B921" s="3" t="s">
        <v>27</v>
      </c>
      <c r="C921" s="3" t="s">
        <v>28</v>
      </c>
      <c r="D921" s="3" t="s">
        <v>29</v>
      </c>
      <c r="E921" s="3" t="s">
        <v>56</v>
      </c>
      <c r="F921" s="3" t="s">
        <v>31</v>
      </c>
      <c r="G921" s="3" t="s">
        <v>56</v>
      </c>
      <c r="H921" s="3" t="s">
        <v>32</v>
      </c>
      <c r="I921" s="3">
        <v>2025</v>
      </c>
      <c r="J921" s="3" t="str">
        <f>CONCATENATE("54820130067")</f>
        <v>54820130067</v>
      </c>
      <c r="K921" s="3" t="s">
        <v>33</v>
      </c>
      <c r="L921" s="3"/>
      <c r="M921" s="3" t="s">
        <v>131</v>
      </c>
      <c r="N921" s="3" t="str">
        <f>CONCATENATE("01911800439")</f>
        <v>01911800439</v>
      </c>
      <c r="O921" s="3" t="s">
        <v>1046</v>
      </c>
      <c r="P921" s="3" t="s">
        <v>36</v>
      </c>
      <c r="Q921" s="3"/>
      <c r="R921" s="4">
        <v>45996</v>
      </c>
      <c r="S921" s="3" t="s">
        <v>37</v>
      </c>
      <c r="T921" s="3" t="s">
        <v>38</v>
      </c>
      <c r="U921" s="3" t="s">
        <v>39</v>
      </c>
      <c r="V921" s="3">
        <v>193.97</v>
      </c>
      <c r="W921" s="3">
        <v>82.44</v>
      </c>
      <c r="X921" s="3">
        <v>78.069999999999993</v>
      </c>
      <c r="Y921" s="3">
        <v>33.46</v>
      </c>
    </row>
    <row r="922" spans="1:25" ht="72.75" x14ac:dyDescent="0.25">
      <c r="A922" s="3" t="s">
        <v>26</v>
      </c>
      <c r="B922" s="3" t="s">
        <v>27</v>
      </c>
      <c r="C922" s="3" t="s">
        <v>28</v>
      </c>
      <c r="D922" s="3" t="s">
        <v>29</v>
      </c>
      <c r="E922" s="3" t="s">
        <v>136</v>
      </c>
      <c r="F922" s="3" t="s">
        <v>31</v>
      </c>
      <c r="G922" s="3" t="s">
        <v>136</v>
      </c>
      <c r="H922" s="3" t="s">
        <v>48</v>
      </c>
      <c r="I922" s="3">
        <v>2025</v>
      </c>
      <c r="J922" s="3" t="str">
        <f>CONCATENATE("54820056445")</f>
        <v>54820056445</v>
      </c>
      <c r="K922" s="3" t="s">
        <v>33</v>
      </c>
      <c r="L922" s="3"/>
      <c r="M922" s="3" t="s">
        <v>131</v>
      </c>
      <c r="N922" s="3" t="str">
        <f>CONCATENATE("GRFMSM65C21D965V")</f>
        <v>GRFMSM65C21D965V</v>
      </c>
      <c r="O922" s="3" t="s">
        <v>1047</v>
      </c>
      <c r="P922" s="3" t="s">
        <v>36</v>
      </c>
      <c r="Q922" s="3"/>
      <c r="R922" s="4">
        <v>45996</v>
      </c>
      <c r="S922" s="3" t="s">
        <v>37</v>
      </c>
      <c r="T922" s="3" t="s">
        <v>38</v>
      </c>
      <c r="U922" s="3" t="s">
        <v>39</v>
      </c>
      <c r="V922" s="3">
        <v>55.74</v>
      </c>
      <c r="W922" s="3">
        <v>23.69</v>
      </c>
      <c r="X922" s="3">
        <v>22.44</v>
      </c>
      <c r="Y922" s="3">
        <v>9.61</v>
      </c>
    </row>
    <row r="923" spans="1:25" ht="72.75" x14ac:dyDescent="0.25">
      <c r="A923" s="3" t="s">
        <v>26</v>
      </c>
      <c r="B923" s="3" t="s">
        <v>27</v>
      </c>
      <c r="C923" s="3" t="s">
        <v>28</v>
      </c>
      <c r="D923" s="3" t="s">
        <v>29</v>
      </c>
      <c r="E923" s="3" t="s">
        <v>56</v>
      </c>
      <c r="F923" s="3" t="s">
        <v>31</v>
      </c>
      <c r="G923" s="3" t="s">
        <v>56</v>
      </c>
      <c r="H923" s="3" t="s">
        <v>32</v>
      </c>
      <c r="I923" s="3">
        <v>2025</v>
      </c>
      <c r="J923" s="3" t="str">
        <f>CONCATENATE("54820080981")</f>
        <v>54820080981</v>
      </c>
      <c r="K923" s="3" t="s">
        <v>33</v>
      </c>
      <c r="L923" s="3"/>
      <c r="M923" s="3" t="s">
        <v>131</v>
      </c>
      <c r="N923" s="3" t="str">
        <f>CONCATENATE("FRNDTL54D58G690B")</f>
        <v>FRNDTL54D58G690B</v>
      </c>
      <c r="O923" s="3" t="s">
        <v>1048</v>
      </c>
      <c r="P923" s="3" t="s">
        <v>36</v>
      </c>
      <c r="Q923" s="3"/>
      <c r="R923" s="4">
        <v>45996</v>
      </c>
      <c r="S923" s="3" t="s">
        <v>37</v>
      </c>
      <c r="T923" s="3" t="s">
        <v>38</v>
      </c>
      <c r="U923" s="3" t="s">
        <v>39</v>
      </c>
      <c r="V923" s="3">
        <v>131.4</v>
      </c>
      <c r="W923" s="3">
        <v>55.85</v>
      </c>
      <c r="X923" s="3">
        <v>52.89</v>
      </c>
      <c r="Y923" s="3">
        <v>22.66</v>
      </c>
    </row>
    <row r="924" spans="1:25" ht="60.75" x14ac:dyDescent="0.25">
      <c r="A924" s="3" t="s">
        <v>26</v>
      </c>
      <c r="B924" s="3" t="s">
        <v>27</v>
      </c>
      <c r="C924" s="3" t="s">
        <v>28</v>
      </c>
      <c r="D924" s="3" t="s">
        <v>29</v>
      </c>
      <c r="E924" s="3" t="s">
        <v>80</v>
      </c>
      <c r="F924" s="3" t="s">
        <v>31</v>
      </c>
      <c r="G924" s="3" t="s">
        <v>80</v>
      </c>
      <c r="H924" s="3" t="s">
        <v>45</v>
      </c>
      <c r="I924" s="3">
        <v>2025</v>
      </c>
      <c r="J924" s="3" t="str">
        <f>CONCATENATE("54820108089")</f>
        <v>54820108089</v>
      </c>
      <c r="K924" s="3" t="s">
        <v>33</v>
      </c>
      <c r="L924" s="3"/>
      <c r="M924" s="3" t="s">
        <v>131</v>
      </c>
      <c r="N924" s="3" t="str">
        <f>CONCATENATE("PCRPLA73B05G687H")</f>
        <v>PCRPLA73B05G687H</v>
      </c>
      <c r="O924" s="3" t="s">
        <v>1049</v>
      </c>
      <c r="P924" s="3" t="s">
        <v>36</v>
      </c>
      <c r="Q924" s="3"/>
      <c r="R924" s="4">
        <v>45996</v>
      </c>
      <c r="S924" s="3" t="s">
        <v>37</v>
      </c>
      <c r="T924" s="3" t="s">
        <v>38</v>
      </c>
      <c r="U924" s="3" t="s">
        <v>39</v>
      </c>
      <c r="V924" s="3">
        <v>181.63</v>
      </c>
      <c r="W924" s="3">
        <v>77.19</v>
      </c>
      <c r="X924" s="3">
        <v>73.11</v>
      </c>
      <c r="Y924" s="3">
        <v>31.33</v>
      </c>
    </row>
    <row r="925" spans="1:25" ht="72.75" x14ac:dyDescent="0.25">
      <c r="A925" s="3" t="s">
        <v>26</v>
      </c>
      <c r="B925" s="3" t="s">
        <v>27</v>
      </c>
      <c r="C925" s="3" t="s">
        <v>28</v>
      </c>
      <c r="D925" s="3" t="s">
        <v>50</v>
      </c>
      <c r="E925" s="3" t="s">
        <v>173</v>
      </c>
      <c r="F925" s="3" t="s">
        <v>52</v>
      </c>
      <c r="G925" s="3" t="s">
        <v>173</v>
      </c>
      <c r="H925" s="3" t="s">
        <v>45</v>
      </c>
      <c r="I925" s="3">
        <v>2025</v>
      </c>
      <c r="J925" s="3" t="str">
        <f>CONCATENATE("54820080312")</f>
        <v>54820080312</v>
      </c>
      <c r="K925" s="3" t="s">
        <v>33</v>
      </c>
      <c r="L925" s="3"/>
      <c r="M925" s="3" t="s">
        <v>131</v>
      </c>
      <c r="N925" s="3" t="str">
        <f>CONCATENATE("MRAGMR00S04L500U")</f>
        <v>MRAGMR00S04L500U</v>
      </c>
      <c r="O925" s="3" t="s">
        <v>1050</v>
      </c>
      <c r="P925" s="3" t="s">
        <v>36</v>
      </c>
      <c r="Q925" s="3"/>
      <c r="R925" s="4">
        <v>45996</v>
      </c>
      <c r="S925" s="3" t="s">
        <v>37</v>
      </c>
      <c r="T925" s="3" t="s">
        <v>38</v>
      </c>
      <c r="U925" s="3" t="s">
        <v>39</v>
      </c>
      <c r="V925" s="3">
        <v>843.02</v>
      </c>
      <c r="W925" s="3">
        <v>358.28</v>
      </c>
      <c r="X925" s="3">
        <v>339.32</v>
      </c>
      <c r="Y925" s="3">
        <v>145.41999999999999</v>
      </c>
    </row>
    <row r="926" spans="1:25" ht="72.75" x14ac:dyDescent="0.25">
      <c r="A926" s="3" t="s">
        <v>26</v>
      </c>
      <c r="B926" s="3" t="s">
        <v>27</v>
      </c>
      <c r="C926" s="3" t="s">
        <v>28</v>
      </c>
      <c r="D926" s="3" t="s">
        <v>29</v>
      </c>
      <c r="E926" s="3" t="s">
        <v>72</v>
      </c>
      <c r="F926" s="3" t="s">
        <v>31</v>
      </c>
      <c r="G926" s="3" t="s">
        <v>72</v>
      </c>
      <c r="H926" s="3" t="s">
        <v>45</v>
      </c>
      <c r="I926" s="3">
        <v>2025</v>
      </c>
      <c r="J926" s="3" t="str">
        <f>CONCATENATE("54820100946")</f>
        <v>54820100946</v>
      </c>
      <c r="K926" s="3" t="s">
        <v>33</v>
      </c>
      <c r="L926" s="3"/>
      <c r="M926" s="3" t="s">
        <v>131</v>
      </c>
      <c r="N926" s="3" t="str">
        <f>CONCATENATE("CNTNGL64H58D749U")</f>
        <v>CNTNGL64H58D749U</v>
      </c>
      <c r="O926" s="3" t="s">
        <v>1051</v>
      </c>
      <c r="P926" s="3" t="s">
        <v>36</v>
      </c>
      <c r="Q926" s="3"/>
      <c r="R926" s="4">
        <v>45996</v>
      </c>
      <c r="S926" s="3" t="s">
        <v>37</v>
      </c>
      <c r="T926" s="3" t="s">
        <v>38</v>
      </c>
      <c r="U926" s="3" t="s">
        <v>39</v>
      </c>
      <c r="V926" s="3">
        <v>289.60000000000002</v>
      </c>
      <c r="W926" s="3">
        <v>123.08</v>
      </c>
      <c r="X926" s="3">
        <v>116.56</v>
      </c>
      <c r="Y926" s="3">
        <v>49.96</v>
      </c>
    </row>
    <row r="927" spans="1:25" ht="60.75" x14ac:dyDescent="0.25">
      <c r="A927" s="3" t="s">
        <v>26</v>
      </c>
      <c r="B927" s="3" t="s">
        <v>27</v>
      </c>
      <c r="C927" s="3" t="s">
        <v>28</v>
      </c>
      <c r="D927" s="3" t="s">
        <v>29</v>
      </c>
      <c r="E927" s="3" t="s">
        <v>136</v>
      </c>
      <c r="F927" s="3" t="s">
        <v>31</v>
      </c>
      <c r="G927" s="3" t="s">
        <v>136</v>
      </c>
      <c r="H927" s="3" t="s">
        <v>48</v>
      </c>
      <c r="I927" s="3">
        <v>2025</v>
      </c>
      <c r="J927" s="3" t="str">
        <f>CONCATENATE("54820113642")</f>
        <v>54820113642</v>
      </c>
      <c r="K927" s="3" t="s">
        <v>33</v>
      </c>
      <c r="L927" s="3"/>
      <c r="M927" s="3" t="s">
        <v>131</v>
      </c>
      <c r="N927" s="3" t="str">
        <f>CONCATENATE("SPLLDE55A69I643D")</f>
        <v>SPLLDE55A69I643D</v>
      </c>
      <c r="O927" s="3" t="s">
        <v>1052</v>
      </c>
      <c r="P927" s="3" t="s">
        <v>36</v>
      </c>
      <c r="Q927" s="3"/>
      <c r="R927" s="4">
        <v>45996</v>
      </c>
      <c r="S927" s="3" t="s">
        <v>37</v>
      </c>
      <c r="T927" s="3" t="s">
        <v>38</v>
      </c>
      <c r="U927" s="3" t="s">
        <v>39</v>
      </c>
      <c r="V927" s="3">
        <v>59.83</v>
      </c>
      <c r="W927" s="3">
        <v>25.43</v>
      </c>
      <c r="X927" s="3">
        <v>24.08</v>
      </c>
      <c r="Y927" s="3">
        <v>10.32</v>
      </c>
    </row>
    <row r="928" spans="1:25" ht="60.75" x14ac:dyDescent="0.25">
      <c r="A928" s="3" t="s">
        <v>26</v>
      </c>
      <c r="B928" s="3" t="s">
        <v>27</v>
      </c>
      <c r="C928" s="3" t="s">
        <v>28</v>
      </c>
      <c r="D928" s="3" t="s">
        <v>50</v>
      </c>
      <c r="E928" s="3" t="s">
        <v>448</v>
      </c>
      <c r="F928" s="3" t="s">
        <v>52</v>
      </c>
      <c r="G928" s="3" t="s">
        <v>448</v>
      </c>
      <c r="H928" s="3" t="s">
        <v>45</v>
      </c>
      <c r="I928" s="3">
        <v>2025</v>
      </c>
      <c r="J928" s="3" t="str">
        <f>CONCATENATE("54820110010")</f>
        <v>54820110010</v>
      </c>
      <c r="K928" s="3" t="s">
        <v>33</v>
      </c>
      <c r="L928" s="3"/>
      <c r="M928" s="3" t="s">
        <v>131</v>
      </c>
      <c r="N928" s="3" t="str">
        <f>CONCATENATE("BCAMCL63P06D791S")</f>
        <v>BCAMCL63P06D791S</v>
      </c>
      <c r="O928" s="3" t="s">
        <v>1053</v>
      </c>
      <c r="P928" s="3" t="s">
        <v>36</v>
      </c>
      <c r="Q928" s="3"/>
      <c r="R928" s="4">
        <v>45996</v>
      </c>
      <c r="S928" s="3" t="s">
        <v>37</v>
      </c>
      <c r="T928" s="3" t="s">
        <v>38</v>
      </c>
      <c r="U928" s="3" t="s">
        <v>39</v>
      </c>
      <c r="V928" s="3">
        <v>463.99</v>
      </c>
      <c r="W928" s="3">
        <v>197.2</v>
      </c>
      <c r="X928" s="3">
        <v>186.76</v>
      </c>
      <c r="Y928" s="3">
        <v>80.03</v>
      </c>
    </row>
    <row r="929" spans="1:25" ht="60.75" x14ac:dyDescent="0.25">
      <c r="A929" s="3" t="s">
        <v>26</v>
      </c>
      <c r="B929" s="3" t="s">
        <v>27</v>
      </c>
      <c r="C929" s="3" t="s">
        <v>28</v>
      </c>
      <c r="D929" s="3" t="s">
        <v>29</v>
      </c>
      <c r="E929" s="3" t="s">
        <v>72</v>
      </c>
      <c r="F929" s="3" t="s">
        <v>31</v>
      </c>
      <c r="G929" s="3" t="s">
        <v>72</v>
      </c>
      <c r="H929" s="3" t="s">
        <v>45</v>
      </c>
      <c r="I929" s="3">
        <v>2025</v>
      </c>
      <c r="J929" s="3" t="str">
        <f>CONCATENATE("54820052535")</f>
        <v>54820052535</v>
      </c>
      <c r="K929" s="3" t="s">
        <v>33</v>
      </c>
      <c r="L929" s="3"/>
      <c r="M929" s="3" t="s">
        <v>131</v>
      </c>
      <c r="N929" s="3" t="str">
        <f>CONCATENATE("MRCFNC88E50B352X")</f>
        <v>MRCFNC88E50B352X</v>
      </c>
      <c r="O929" s="3" t="s">
        <v>1054</v>
      </c>
      <c r="P929" s="3" t="s">
        <v>36</v>
      </c>
      <c r="Q929" s="3"/>
      <c r="R929" s="4">
        <v>45996</v>
      </c>
      <c r="S929" s="3" t="s">
        <v>37</v>
      </c>
      <c r="T929" s="3" t="s">
        <v>38</v>
      </c>
      <c r="U929" s="3" t="s">
        <v>39</v>
      </c>
      <c r="V929" s="3">
        <v>115.49</v>
      </c>
      <c r="W929" s="3">
        <v>49.08</v>
      </c>
      <c r="X929" s="3">
        <v>46.48</v>
      </c>
      <c r="Y929" s="3">
        <v>19.93</v>
      </c>
    </row>
    <row r="930" spans="1:25" ht="60.75" x14ac:dyDescent="0.25">
      <c r="A930" s="3" t="s">
        <v>26</v>
      </c>
      <c r="B930" s="3" t="s">
        <v>27</v>
      </c>
      <c r="C930" s="3" t="s">
        <v>28</v>
      </c>
      <c r="D930" s="3" t="s">
        <v>29</v>
      </c>
      <c r="E930" s="3" t="s">
        <v>68</v>
      </c>
      <c r="F930" s="3" t="s">
        <v>31</v>
      </c>
      <c r="G930" s="3" t="s">
        <v>68</v>
      </c>
      <c r="H930" s="3" t="s">
        <v>32</v>
      </c>
      <c r="I930" s="3">
        <v>2025</v>
      </c>
      <c r="J930" s="3" t="str">
        <f>CONCATENATE("54820116900")</f>
        <v>54820116900</v>
      </c>
      <c r="K930" s="3" t="s">
        <v>33</v>
      </c>
      <c r="L930" s="3"/>
      <c r="M930" s="3" t="s">
        <v>131</v>
      </c>
      <c r="N930" s="3" t="str">
        <f>CONCATENATE("LVISFN69C31I436Z")</f>
        <v>LVISFN69C31I436Z</v>
      </c>
      <c r="O930" s="3" t="s">
        <v>1055</v>
      </c>
      <c r="P930" s="3" t="s">
        <v>36</v>
      </c>
      <c r="Q930" s="3"/>
      <c r="R930" s="4">
        <v>45996</v>
      </c>
      <c r="S930" s="3" t="s">
        <v>37</v>
      </c>
      <c r="T930" s="3" t="s">
        <v>38</v>
      </c>
      <c r="U930" s="3" t="s">
        <v>39</v>
      </c>
      <c r="V930" s="3">
        <v>247.91</v>
      </c>
      <c r="W930" s="3">
        <v>105.36</v>
      </c>
      <c r="X930" s="3">
        <v>99.78</v>
      </c>
      <c r="Y930" s="3">
        <v>42.77</v>
      </c>
    </row>
    <row r="931" spans="1:25" ht="72.75" x14ac:dyDescent="0.25">
      <c r="A931" s="3" t="s">
        <v>26</v>
      </c>
      <c r="B931" s="3" t="s">
        <v>27</v>
      </c>
      <c r="C931" s="3" t="s">
        <v>28</v>
      </c>
      <c r="D931" s="3" t="s">
        <v>29</v>
      </c>
      <c r="E931" s="3" t="s">
        <v>72</v>
      </c>
      <c r="F931" s="3" t="s">
        <v>31</v>
      </c>
      <c r="G931" s="3" t="s">
        <v>72</v>
      </c>
      <c r="H931" s="3" t="s">
        <v>45</v>
      </c>
      <c r="I931" s="3">
        <v>2025</v>
      </c>
      <c r="J931" s="3" t="str">
        <f>CONCATENATE("54820089818")</f>
        <v>54820089818</v>
      </c>
      <c r="K931" s="3" t="s">
        <v>33</v>
      </c>
      <c r="L931" s="3"/>
      <c r="M931" s="3" t="s">
        <v>131</v>
      </c>
      <c r="N931" s="3" t="str">
        <f>CONCATENATE("SRGMTT87R11B352M")</f>
        <v>SRGMTT87R11B352M</v>
      </c>
      <c r="O931" s="3" t="s">
        <v>1056</v>
      </c>
      <c r="P931" s="3" t="s">
        <v>36</v>
      </c>
      <c r="Q931" s="3"/>
      <c r="R931" s="4">
        <v>45996</v>
      </c>
      <c r="S931" s="3" t="s">
        <v>37</v>
      </c>
      <c r="T931" s="3" t="s">
        <v>38</v>
      </c>
      <c r="U931" s="3" t="s">
        <v>39</v>
      </c>
      <c r="V931" s="3">
        <v>109.02</v>
      </c>
      <c r="W931" s="3">
        <v>46.33</v>
      </c>
      <c r="X931" s="3">
        <v>43.88</v>
      </c>
      <c r="Y931" s="3">
        <v>18.809999999999999</v>
      </c>
    </row>
    <row r="932" spans="1:25" ht="60.75" x14ac:dyDescent="0.25">
      <c r="A932" s="3" t="s">
        <v>26</v>
      </c>
      <c r="B932" s="3" t="s">
        <v>27</v>
      </c>
      <c r="C932" s="3" t="s">
        <v>28</v>
      </c>
      <c r="D932" s="3" t="s">
        <v>29</v>
      </c>
      <c r="E932" s="3" t="s">
        <v>136</v>
      </c>
      <c r="F932" s="3" t="s">
        <v>31</v>
      </c>
      <c r="G932" s="3" t="s">
        <v>136</v>
      </c>
      <c r="H932" s="3" t="s">
        <v>48</v>
      </c>
      <c r="I932" s="3">
        <v>2025</v>
      </c>
      <c r="J932" s="3" t="str">
        <f>CONCATENATE("54820096508")</f>
        <v>54820096508</v>
      </c>
      <c r="K932" s="3" t="s">
        <v>33</v>
      </c>
      <c r="L932" s="3"/>
      <c r="M932" s="3" t="s">
        <v>131</v>
      </c>
      <c r="N932" s="3" t="str">
        <f>CONCATENATE("CRNCLD57A71I461Y")</f>
        <v>CRNCLD57A71I461Y</v>
      </c>
      <c r="O932" s="3" t="s">
        <v>1057</v>
      </c>
      <c r="P932" s="3" t="s">
        <v>36</v>
      </c>
      <c r="Q932" s="3"/>
      <c r="R932" s="4">
        <v>45996</v>
      </c>
      <c r="S932" s="3" t="s">
        <v>37</v>
      </c>
      <c r="T932" s="3" t="s">
        <v>38</v>
      </c>
      <c r="U932" s="3" t="s">
        <v>39</v>
      </c>
      <c r="V932" s="3">
        <v>575.53</v>
      </c>
      <c r="W932" s="3">
        <v>244.6</v>
      </c>
      <c r="X932" s="3">
        <v>231.65</v>
      </c>
      <c r="Y932" s="3">
        <v>99.28</v>
      </c>
    </row>
    <row r="933" spans="1:25" ht="60.75" x14ac:dyDescent="0.25">
      <c r="A933" s="3" t="s">
        <v>26</v>
      </c>
      <c r="B933" s="3" t="s">
        <v>27</v>
      </c>
      <c r="C933" s="3" t="s">
        <v>28</v>
      </c>
      <c r="D933" s="3" t="s">
        <v>91</v>
      </c>
      <c r="E933" s="3" t="s">
        <v>95</v>
      </c>
      <c r="F933" s="3" t="s">
        <v>93</v>
      </c>
      <c r="G933" s="3" t="s">
        <v>95</v>
      </c>
      <c r="H933" s="3" t="s">
        <v>96</v>
      </c>
      <c r="I933" s="3">
        <v>2025</v>
      </c>
      <c r="J933" s="3" t="str">
        <f>CONCATENATE("54820091970")</f>
        <v>54820091970</v>
      </c>
      <c r="K933" s="3" t="s">
        <v>33</v>
      </c>
      <c r="L933" s="3"/>
      <c r="M933" s="3" t="s">
        <v>131</v>
      </c>
      <c r="N933" s="3" t="str">
        <f>CONCATENATE("NRCRST56R31C321B")</f>
        <v>NRCRST56R31C321B</v>
      </c>
      <c r="O933" s="3" t="s">
        <v>1058</v>
      </c>
      <c r="P933" s="3" t="s">
        <v>36</v>
      </c>
      <c r="Q933" s="3"/>
      <c r="R933" s="4">
        <v>45996</v>
      </c>
      <c r="S933" s="3" t="s">
        <v>37</v>
      </c>
      <c r="T933" s="3" t="s">
        <v>38</v>
      </c>
      <c r="U933" s="3" t="s">
        <v>39</v>
      </c>
      <c r="V933" s="3">
        <v>76.400000000000006</v>
      </c>
      <c r="W933" s="3">
        <v>32.47</v>
      </c>
      <c r="X933" s="3">
        <v>30.75</v>
      </c>
      <c r="Y933" s="3">
        <v>13.18</v>
      </c>
    </row>
    <row r="934" spans="1:25" ht="60.75" x14ac:dyDescent="0.25">
      <c r="A934" s="3" t="s">
        <v>26</v>
      </c>
      <c r="B934" s="3" t="s">
        <v>27</v>
      </c>
      <c r="C934" s="3" t="s">
        <v>28</v>
      </c>
      <c r="D934" s="3" t="s">
        <v>104</v>
      </c>
      <c r="E934" s="3" t="s">
        <v>141</v>
      </c>
      <c r="F934" s="3" t="s">
        <v>104</v>
      </c>
      <c r="G934" s="3" t="s">
        <v>141</v>
      </c>
      <c r="H934" s="3" t="s">
        <v>96</v>
      </c>
      <c r="I934" s="3">
        <v>2025</v>
      </c>
      <c r="J934" s="3" t="str">
        <f>CONCATENATE("54820143425")</f>
        <v>54820143425</v>
      </c>
      <c r="K934" s="3" t="s">
        <v>33</v>
      </c>
      <c r="L934" s="3"/>
      <c r="M934" s="3" t="s">
        <v>131</v>
      </c>
      <c r="N934" s="3" t="str">
        <f>CONCATENATE("FRSSVN51H08A252S")</f>
        <v>FRSSVN51H08A252S</v>
      </c>
      <c r="O934" s="3" t="s">
        <v>1059</v>
      </c>
      <c r="P934" s="3" t="s">
        <v>36</v>
      </c>
      <c r="Q934" s="3"/>
      <c r="R934" s="4">
        <v>45996</v>
      </c>
      <c r="S934" s="3" t="s">
        <v>37</v>
      </c>
      <c r="T934" s="3" t="s">
        <v>38</v>
      </c>
      <c r="U934" s="3" t="s">
        <v>39</v>
      </c>
      <c r="V934" s="3">
        <v>68.819999999999993</v>
      </c>
      <c r="W934" s="3">
        <v>29.25</v>
      </c>
      <c r="X934" s="3">
        <v>27.7</v>
      </c>
      <c r="Y934" s="3">
        <v>11.87</v>
      </c>
    </row>
    <row r="935" spans="1:25" ht="72.75" x14ac:dyDescent="0.25">
      <c r="A935" s="3" t="s">
        <v>26</v>
      </c>
      <c r="B935" s="3" t="s">
        <v>27</v>
      </c>
      <c r="C935" s="3" t="s">
        <v>28</v>
      </c>
      <c r="D935" s="3" t="s">
        <v>91</v>
      </c>
      <c r="E935" s="3" t="s">
        <v>95</v>
      </c>
      <c r="F935" s="3" t="s">
        <v>93</v>
      </c>
      <c r="G935" s="3" t="s">
        <v>95</v>
      </c>
      <c r="H935" s="3" t="s">
        <v>96</v>
      </c>
      <c r="I935" s="3">
        <v>2025</v>
      </c>
      <c r="J935" s="3" t="str">
        <f>CONCATENATE("54820137716")</f>
        <v>54820137716</v>
      </c>
      <c r="K935" s="3" t="s">
        <v>33</v>
      </c>
      <c r="L935" s="3"/>
      <c r="M935" s="3" t="s">
        <v>131</v>
      </c>
      <c r="N935" s="3" t="str">
        <f>CONCATENATE("STTMTR65R61A252H")</f>
        <v>STTMTR65R61A252H</v>
      </c>
      <c r="O935" s="3" t="s">
        <v>1060</v>
      </c>
      <c r="P935" s="3" t="s">
        <v>36</v>
      </c>
      <c r="Q935" s="3"/>
      <c r="R935" s="4">
        <v>45996</v>
      </c>
      <c r="S935" s="3" t="s">
        <v>37</v>
      </c>
      <c r="T935" s="3" t="s">
        <v>38</v>
      </c>
      <c r="U935" s="3" t="s">
        <v>39</v>
      </c>
      <c r="V935" s="3">
        <v>317.44</v>
      </c>
      <c r="W935" s="3">
        <v>134.91</v>
      </c>
      <c r="X935" s="3">
        <v>127.77</v>
      </c>
      <c r="Y935" s="3">
        <v>54.76</v>
      </c>
    </row>
    <row r="936" spans="1:25" ht="60.75" x14ac:dyDescent="0.25">
      <c r="A936" s="3" t="s">
        <v>26</v>
      </c>
      <c r="B936" s="3" t="s">
        <v>27</v>
      </c>
      <c r="C936" s="3" t="s">
        <v>28</v>
      </c>
      <c r="D936" s="3" t="s">
        <v>104</v>
      </c>
      <c r="E936" s="3" t="s">
        <v>268</v>
      </c>
      <c r="F936" s="3" t="s">
        <v>104</v>
      </c>
      <c r="G936" s="3" t="s">
        <v>268</v>
      </c>
      <c r="H936" s="3" t="s">
        <v>32</v>
      </c>
      <c r="I936" s="3">
        <v>2025</v>
      </c>
      <c r="J936" s="3" t="str">
        <f>CONCATENATE("54820056304")</f>
        <v>54820056304</v>
      </c>
      <c r="K936" s="3" t="s">
        <v>33</v>
      </c>
      <c r="L936" s="3"/>
      <c r="M936" s="3" t="s">
        <v>131</v>
      </c>
      <c r="N936" s="3" t="str">
        <f>CONCATENATE("BRNDNC56A13I651O")</f>
        <v>BRNDNC56A13I651O</v>
      </c>
      <c r="O936" s="3" t="s">
        <v>1061</v>
      </c>
      <c r="P936" s="3" t="s">
        <v>36</v>
      </c>
      <c r="Q936" s="3"/>
      <c r="R936" s="4">
        <v>45996</v>
      </c>
      <c r="S936" s="3" t="s">
        <v>37</v>
      </c>
      <c r="T936" s="3" t="s">
        <v>38</v>
      </c>
      <c r="U936" s="3" t="s">
        <v>39</v>
      </c>
      <c r="V936" s="3">
        <v>126.45</v>
      </c>
      <c r="W936" s="3">
        <v>53.74</v>
      </c>
      <c r="X936" s="3">
        <v>50.9</v>
      </c>
      <c r="Y936" s="3">
        <v>21.81</v>
      </c>
    </row>
    <row r="937" spans="1:25" ht="72.75" x14ac:dyDescent="0.25">
      <c r="A937" s="3" t="s">
        <v>26</v>
      </c>
      <c r="B937" s="3" t="s">
        <v>27</v>
      </c>
      <c r="C937" s="3" t="s">
        <v>28</v>
      </c>
      <c r="D937" s="3" t="s">
        <v>29</v>
      </c>
      <c r="E937" s="3" t="s">
        <v>80</v>
      </c>
      <c r="F937" s="3" t="s">
        <v>31</v>
      </c>
      <c r="G937" s="3" t="s">
        <v>80</v>
      </c>
      <c r="H937" s="3" t="s">
        <v>45</v>
      </c>
      <c r="I937" s="3">
        <v>2025</v>
      </c>
      <c r="J937" s="3" t="str">
        <f>CONCATENATE("54820047980")</f>
        <v>54820047980</v>
      </c>
      <c r="K937" s="3" t="s">
        <v>33</v>
      </c>
      <c r="L937" s="3"/>
      <c r="M937" s="3" t="s">
        <v>131</v>
      </c>
      <c r="N937" s="3" t="str">
        <f>CONCATENATE("MGNGPP52R51B352K")</f>
        <v>MGNGPP52R51B352K</v>
      </c>
      <c r="O937" s="3" t="s">
        <v>1062</v>
      </c>
      <c r="P937" s="3" t="s">
        <v>36</v>
      </c>
      <c r="Q937" s="3"/>
      <c r="R937" s="4">
        <v>45996</v>
      </c>
      <c r="S937" s="3" t="s">
        <v>37</v>
      </c>
      <c r="T937" s="3" t="s">
        <v>38</v>
      </c>
      <c r="U937" s="3" t="s">
        <v>39</v>
      </c>
      <c r="V937" s="3">
        <v>120.6</v>
      </c>
      <c r="W937" s="3">
        <v>51.26</v>
      </c>
      <c r="X937" s="3">
        <v>48.54</v>
      </c>
      <c r="Y937" s="3">
        <v>20.8</v>
      </c>
    </row>
    <row r="938" spans="1:25" ht="72.75" x14ac:dyDescent="0.25">
      <c r="A938" s="3" t="s">
        <v>26</v>
      </c>
      <c r="B938" s="3" t="s">
        <v>27</v>
      </c>
      <c r="C938" s="3" t="s">
        <v>28</v>
      </c>
      <c r="D938" s="3" t="s">
        <v>50</v>
      </c>
      <c r="E938" s="3" t="s">
        <v>173</v>
      </c>
      <c r="F938" s="3" t="s">
        <v>52</v>
      </c>
      <c r="G938" s="3" t="s">
        <v>173</v>
      </c>
      <c r="H938" s="3" t="s">
        <v>45</v>
      </c>
      <c r="I938" s="3">
        <v>2025</v>
      </c>
      <c r="J938" s="3" t="str">
        <f>CONCATENATE("54820034111")</f>
        <v>54820034111</v>
      </c>
      <c r="K938" s="3" t="s">
        <v>33</v>
      </c>
      <c r="L938" s="3"/>
      <c r="M938" s="3" t="s">
        <v>131</v>
      </c>
      <c r="N938" s="3" t="str">
        <f>CONCATENATE("MZZNNA58A48D587D")</f>
        <v>MZZNNA58A48D587D</v>
      </c>
      <c r="O938" s="3" t="s">
        <v>1063</v>
      </c>
      <c r="P938" s="3" t="s">
        <v>36</v>
      </c>
      <c r="Q938" s="3"/>
      <c r="R938" s="4">
        <v>45996</v>
      </c>
      <c r="S938" s="3" t="s">
        <v>37</v>
      </c>
      <c r="T938" s="3" t="s">
        <v>38</v>
      </c>
      <c r="U938" s="3" t="s">
        <v>39</v>
      </c>
      <c r="V938" s="3">
        <v>584.47</v>
      </c>
      <c r="W938" s="3">
        <v>248.4</v>
      </c>
      <c r="X938" s="3">
        <v>235.25</v>
      </c>
      <c r="Y938" s="3">
        <v>100.82</v>
      </c>
    </row>
    <row r="939" spans="1:25" ht="60.75" x14ac:dyDescent="0.25">
      <c r="A939" s="3" t="s">
        <v>26</v>
      </c>
      <c r="B939" s="3" t="s">
        <v>27</v>
      </c>
      <c r="C939" s="3" t="s">
        <v>28</v>
      </c>
      <c r="D939" s="3" t="s">
        <v>104</v>
      </c>
      <c r="E939" s="3" t="s">
        <v>141</v>
      </c>
      <c r="F939" s="3" t="s">
        <v>104</v>
      </c>
      <c r="G939" s="3" t="s">
        <v>141</v>
      </c>
      <c r="H939" s="3" t="s">
        <v>96</v>
      </c>
      <c r="I939" s="3">
        <v>2025</v>
      </c>
      <c r="J939" s="3" t="str">
        <f>CONCATENATE("54820144910")</f>
        <v>54820144910</v>
      </c>
      <c r="K939" s="3" t="s">
        <v>33</v>
      </c>
      <c r="L939" s="3"/>
      <c r="M939" s="3" t="s">
        <v>131</v>
      </c>
      <c r="N939" s="3" t="str">
        <f>CONCATENATE("TSINCL42H28F509M")</f>
        <v>TSINCL42H28F509M</v>
      </c>
      <c r="O939" s="3" t="s">
        <v>1064</v>
      </c>
      <c r="P939" s="3" t="s">
        <v>36</v>
      </c>
      <c r="Q939" s="3"/>
      <c r="R939" s="4">
        <v>45996</v>
      </c>
      <c r="S939" s="3" t="s">
        <v>37</v>
      </c>
      <c r="T939" s="3" t="s">
        <v>38</v>
      </c>
      <c r="U939" s="3" t="s">
        <v>39</v>
      </c>
      <c r="V939" s="3">
        <v>52.72</v>
      </c>
      <c r="W939" s="3">
        <v>22.41</v>
      </c>
      <c r="X939" s="3">
        <v>21.22</v>
      </c>
      <c r="Y939" s="3">
        <v>9.09</v>
      </c>
    </row>
    <row r="940" spans="1:25" ht="72.75" x14ac:dyDescent="0.25">
      <c r="A940" s="3" t="s">
        <v>26</v>
      </c>
      <c r="B940" s="3" t="s">
        <v>27</v>
      </c>
      <c r="C940" s="3" t="s">
        <v>28</v>
      </c>
      <c r="D940" s="3" t="s">
        <v>50</v>
      </c>
      <c r="E940" s="3" t="s">
        <v>225</v>
      </c>
      <c r="F940" s="3" t="s">
        <v>52</v>
      </c>
      <c r="G940" s="3" t="s">
        <v>225</v>
      </c>
      <c r="H940" s="3" t="s">
        <v>96</v>
      </c>
      <c r="I940" s="3">
        <v>2025</v>
      </c>
      <c r="J940" s="3" t="str">
        <f>CONCATENATE("54820131735")</f>
        <v>54820131735</v>
      </c>
      <c r="K940" s="3" t="s">
        <v>33</v>
      </c>
      <c r="L940" s="3"/>
      <c r="M940" s="3" t="s">
        <v>131</v>
      </c>
      <c r="N940" s="3" t="str">
        <f>CONCATENATE("MTRMTR44M59D691Q")</f>
        <v>MTRMTR44M59D691Q</v>
      </c>
      <c r="O940" s="3" t="s">
        <v>1065</v>
      </c>
      <c r="P940" s="3" t="s">
        <v>36</v>
      </c>
      <c r="Q940" s="3"/>
      <c r="R940" s="4">
        <v>45996</v>
      </c>
      <c r="S940" s="3" t="s">
        <v>37</v>
      </c>
      <c r="T940" s="3" t="s">
        <v>38</v>
      </c>
      <c r="U940" s="3" t="s">
        <v>39</v>
      </c>
      <c r="V940" s="3">
        <v>243.27</v>
      </c>
      <c r="W940" s="3">
        <v>103.39</v>
      </c>
      <c r="X940" s="3">
        <v>97.92</v>
      </c>
      <c r="Y940" s="3">
        <v>41.96</v>
      </c>
    </row>
    <row r="941" spans="1:25" ht="60.75" x14ac:dyDescent="0.25">
      <c r="A941" s="3" t="s">
        <v>26</v>
      </c>
      <c r="B941" s="3" t="s">
        <v>27</v>
      </c>
      <c r="C941" s="3" t="s">
        <v>28</v>
      </c>
      <c r="D941" s="3" t="s">
        <v>50</v>
      </c>
      <c r="E941" s="3" t="s">
        <v>173</v>
      </c>
      <c r="F941" s="3" t="s">
        <v>52</v>
      </c>
      <c r="G941" s="3" t="s">
        <v>173</v>
      </c>
      <c r="H941" s="3" t="s">
        <v>45</v>
      </c>
      <c r="I941" s="3">
        <v>2025</v>
      </c>
      <c r="J941" s="3" t="str">
        <f>CONCATENATE("54820076211")</f>
        <v>54820076211</v>
      </c>
      <c r="K941" s="3" t="s">
        <v>33</v>
      </c>
      <c r="L941" s="3"/>
      <c r="M941" s="3" t="s">
        <v>131</v>
      </c>
      <c r="N941" s="3" t="str">
        <f>CONCATENATE("TMGMRA61S20A191X")</f>
        <v>TMGMRA61S20A191X</v>
      </c>
      <c r="O941" s="3" t="s">
        <v>1066</v>
      </c>
      <c r="P941" s="3" t="s">
        <v>36</v>
      </c>
      <c r="Q941" s="3"/>
      <c r="R941" s="4">
        <v>45996</v>
      </c>
      <c r="S941" s="3" t="s">
        <v>37</v>
      </c>
      <c r="T941" s="3" t="s">
        <v>38</v>
      </c>
      <c r="U941" s="3" t="s">
        <v>39</v>
      </c>
      <c r="V941" s="3">
        <v>89.24</v>
      </c>
      <c r="W941" s="3">
        <v>37.93</v>
      </c>
      <c r="X941" s="3">
        <v>35.92</v>
      </c>
      <c r="Y941" s="3">
        <v>15.39</v>
      </c>
    </row>
    <row r="942" spans="1:25" ht="60.75" x14ac:dyDescent="0.25">
      <c r="A942" s="3" t="s">
        <v>26</v>
      </c>
      <c r="B942" s="3" t="s">
        <v>27</v>
      </c>
      <c r="C942" s="3" t="s">
        <v>28</v>
      </c>
      <c r="D942" s="3" t="s">
        <v>40</v>
      </c>
      <c r="E942" s="3" t="s">
        <v>44</v>
      </c>
      <c r="F942" s="3" t="s">
        <v>42</v>
      </c>
      <c r="G942" s="3" t="s">
        <v>44</v>
      </c>
      <c r="H942" s="3" t="s">
        <v>32</v>
      </c>
      <c r="I942" s="3">
        <v>2025</v>
      </c>
      <c r="J942" s="3" t="str">
        <f>CONCATENATE("54820109111")</f>
        <v>54820109111</v>
      </c>
      <c r="K942" s="3" t="s">
        <v>33</v>
      </c>
      <c r="L942" s="3"/>
      <c r="M942" s="3" t="s">
        <v>131</v>
      </c>
      <c r="N942" s="3" t="str">
        <f>CONCATENATE("TBRRRT72A12I436Y")</f>
        <v>TBRRRT72A12I436Y</v>
      </c>
      <c r="O942" s="3" t="s">
        <v>1067</v>
      </c>
      <c r="P942" s="3" t="s">
        <v>36</v>
      </c>
      <c r="Q942" s="3"/>
      <c r="R942" s="4">
        <v>45996</v>
      </c>
      <c r="S942" s="3" t="s">
        <v>37</v>
      </c>
      <c r="T942" s="3" t="s">
        <v>38</v>
      </c>
      <c r="U942" s="3" t="s">
        <v>39</v>
      </c>
      <c r="V942" s="3">
        <v>56.7</v>
      </c>
      <c r="W942" s="3">
        <v>24.1</v>
      </c>
      <c r="X942" s="3">
        <v>22.82</v>
      </c>
      <c r="Y942" s="3">
        <v>9.7799999999999994</v>
      </c>
    </row>
    <row r="943" spans="1:25" ht="60.75" x14ac:dyDescent="0.25">
      <c r="A943" s="3" t="s">
        <v>26</v>
      </c>
      <c r="B943" s="3" t="s">
        <v>27</v>
      </c>
      <c r="C943" s="3" t="s">
        <v>28</v>
      </c>
      <c r="D943" s="3" t="s">
        <v>104</v>
      </c>
      <c r="E943" s="3" t="s">
        <v>268</v>
      </c>
      <c r="F943" s="3" t="s">
        <v>104</v>
      </c>
      <c r="G943" s="3" t="s">
        <v>268</v>
      </c>
      <c r="H943" s="3" t="s">
        <v>32</v>
      </c>
      <c r="I943" s="3">
        <v>2025</v>
      </c>
      <c r="J943" s="3" t="str">
        <f>CONCATENATE("54820034681")</f>
        <v>54820034681</v>
      </c>
      <c r="K943" s="3" t="s">
        <v>33</v>
      </c>
      <c r="L943" s="3"/>
      <c r="M943" s="3" t="s">
        <v>131</v>
      </c>
      <c r="N943" s="3" t="str">
        <f>CONCATENATE("GVNRRT70M05B474S")</f>
        <v>GVNRRT70M05B474S</v>
      </c>
      <c r="O943" s="3" t="s">
        <v>1068</v>
      </c>
      <c r="P943" s="3" t="s">
        <v>36</v>
      </c>
      <c r="Q943" s="3"/>
      <c r="R943" s="4">
        <v>45996</v>
      </c>
      <c r="S943" s="3" t="s">
        <v>37</v>
      </c>
      <c r="T943" s="3" t="s">
        <v>38</v>
      </c>
      <c r="U943" s="3" t="s">
        <v>39</v>
      </c>
      <c r="V943" s="3">
        <v>101.65</v>
      </c>
      <c r="W943" s="3">
        <v>43.2</v>
      </c>
      <c r="X943" s="3">
        <v>40.909999999999997</v>
      </c>
      <c r="Y943" s="3">
        <v>17.54</v>
      </c>
    </row>
    <row r="944" spans="1:25" ht="60.75" x14ac:dyDescent="0.25">
      <c r="A944" s="3" t="s">
        <v>26</v>
      </c>
      <c r="B944" s="3" t="s">
        <v>27</v>
      </c>
      <c r="C944" s="3" t="s">
        <v>28</v>
      </c>
      <c r="D944" s="3" t="s">
        <v>29</v>
      </c>
      <c r="E944" s="3" t="s">
        <v>80</v>
      </c>
      <c r="F944" s="3" t="s">
        <v>31</v>
      </c>
      <c r="G944" s="3" t="s">
        <v>80</v>
      </c>
      <c r="H944" s="3" t="s">
        <v>45</v>
      </c>
      <c r="I944" s="3">
        <v>2025</v>
      </c>
      <c r="J944" s="3" t="str">
        <f>CONCATENATE("54820067939")</f>
        <v>54820067939</v>
      </c>
      <c r="K944" s="3" t="s">
        <v>33</v>
      </c>
      <c r="L944" s="3"/>
      <c r="M944" s="3" t="s">
        <v>131</v>
      </c>
      <c r="N944" s="3" t="str">
        <f>CONCATENATE("DCRGFR77C04D007I")</f>
        <v>DCRGFR77C04D007I</v>
      </c>
      <c r="O944" s="3" t="s">
        <v>1069</v>
      </c>
      <c r="P944" s="3" t="s">
        <v>36</v>
      </c>
      <c r="Q944" s="3"/>
      <c r="R944" s="4">
        <v>45996</v>
      </c>
      <c r="S944" s="3" t="s">
        <v>37</v>
      </c>
      <c r="T944" s="3" t="s">
        <v>38</v>
      </c>
      <c r="U944" s="3" t="s">
        <v>39</v>
      </c>
      <c r="V944" s="3">
        <v>502.27</v>
      </c>
      <c r="W944" s="3">
        <v>213.46</v>
      </c>
      <c r="X944" s="3">
        <v>202.16</v>
      </c>
      <c r="Y944" s="3">
        <v>86.65</v>
      </c>
    </row>
    <row r="945" spans="1:25" ht="72.75" x14ac:dyDescent="0.25">
      <c r="A945" s="3" t="s">
        <v>26</v>
      </c>
      <c r="B945" s="3" t="s">
        <v>27</v>
      </c>
      <c r="C945" s="3" t="s">
        <v>28</v>
      </c>
      <c r="D945" s="3" t="s">
        <v>29</v>
      </c>
      <c r="E945" s="3" t="s">
        <v>233</v>
      </c>
      <c r="F945" s="3" t="s">
        <v>31</v>
      </c>
      <c r="G945" s="3" t="s">
        <v>233</v>
      </c>
      <c r="H945" s="3" t="s">
        <v>96</v>
      </c>
      <c r="I945" s="3">
        <v>2025</v>
      </c>
      <c r="J945" s="3" t="str">
        <f>CONCATENATE("54820063730")</f>
        <v>54820063730</v>
      </c>
      <c r="K945" s="3" t="s">
        <v>33</v>
      </c>
      <c r="L945" s="3"/>
      <c r="M945" s="3" t="s">
        <v>131</v>
      </c>
      <c r="N945" s="3" t="str">
        <f>CONCATENATE("TCCQNT41B28G289R")</f>
        <v>TCCQNT41B28G289R</v>
      </c>
      <c r="O945" s="3" t="s">
        <v>1070</v>
      </c>
      <c r="P945" s="3" t="s">
        <v>36</v>
      </c>
      <c r="Q945" s="3"/>
      <c r="R945" s="4">
        <v>45996</v>
      </c>
      <c r="S945" s="3" t="s">
        <v>37</v>
      </c>
      <c r="T945" s="3" t="s">
        <v>38</v>
      </c>
      <c r="U945" s="3" t="s">
        <v>39</v>
      </c>
      <c r="V945" s="3">
        <v>192.49</v>
      </c>
      <c r="W945" s="3">
        <v>81.81</v>
      </c>
      <c r="X945" s="3">
        <v>77.48</v>
      </c>
      <c r="Y945" s="3">
        <v>33.200000000000003</v>
      </c>
    </row>
    <row r="946" spans="1:25" ht="60.75" x14ac:dyDescent="0.25">
      <c r="A946" s="3" t="s">
        <v>26</v>
      </c>
      <c r="B946" s="3" t="s">
        <v>27</v>
      </c>
      <c r="C946" s="3" t="s">
        <v>28</v>
      </c>
      <c r="D946" s="3" t="s">
        <v>29</v>
      </c>
      <c r="E946" s="3" t="s">
        <v>72</v>
      </c>
      <c r="F946" s="3" t="s">
        <v>31</v>
      </c>
      <c r="G946" s="3" t="s">
        <v>72</v>
      </c>
      <c r="H946" s="3" t="s">
        <v>45</v>
      </c>
      <c r="I946" s="3">
        <v>2025</v>
      </c>
      <c r="J946" s="3" t="str">
        <f>CONCATENATE("54820073481")</f>
        <v>54820073481</v>
      </c>
      <c r="K946" s="3" t="s">
        <v>33</v>
      </c>
      <c r="L946" s="3"/>
      <c r="M946" s="3" t="s">
        <v>131</v>
      </c>
      <c r="N946" s="3" t="str">
        <f>CONCATENATE("SBBDVD76E01B352B")</f>
        <v>SBBDVD76E01B352B</v>
      </c>
      <c r="O946" s="3" t="s">
        <v>1071</v>
      </c>
      <c r="P946" s="3" t="s">
        <v>36</v>
      </c>
      <c r="Q946" s="3"/>
      <c r="R946" s="4">
        <v>45996</v>
      </c>
      <c r="S946" s="3" t="s">
        <v>37</v>
      </c>
      <c r="T946" s="3" t="s">
        <v>38</v>
      </c>
      <c r="U946" s="3" t="s">
        <v>39</v>
      </c>
      <c r="V946" s="3">
        <v>188.25</v>
      </c>
      <c r="W946" s="3">
        <v>80.010000000000005</v>
      </c>
      <c r="X946" s="3">
        <v>75.77</v>
      </c>
      <c r="Y946" s="3">
        <v>32.47</v>
      </c>
    </row>
    <row r="947" spans="1:25" ht="60.75" x14ac:dyDescent="0.25">
      <c r="A947" s="3" t="s">
        <v>26</v>
      </c>
      <c r="B947" s="3" t="s">
        <v>27</v>
      </c>
      <c r="C947" s="3" t="s">
        <v>28</v>
      </c>
      <c r="D947" s="3" t="s">
        <v>29</v>
      </c>
      <c r="E947" s="3" t="s">
        <v>182</v>
      </c>
      <c r="F947" s="3" t="s">
        <v>31</v>
      </c>
      <c r="G947" s="3" t="s">
        <v>182</v>
      </c>
      <c r="H947" s="3" t="s">
        <v>45</v>
      </c>
      <c r="I947" s="3">
        <v>2025</v>
      </c>
      <c r="J947" s="3" t="str">
        <f>CONCATENATE("54820103148")</f>
        <v>54820103148</v>
      </c>
      <c r="K947" s="3" t="s">
        <v>33</v>
      </c>
      <c r="L947" s="3"/>
      <c r="M947" s="3" t="s">
        <v>131</v>
      </c>
      <c r="N947" s="3" t="str">
        <f>CONCATENATE("CLMTLI41S19B352X")</f>
        <v>CLMTLI41S19B352X</v>
      </c>
      <c r="O947" s="3" t="s">
        <v>1072</v>
      </c>
      <c r="P947" s="3" t="s">
        <v>36</v>
      </c>
      <c r="Q947" s="3"/>
      <c r="R947" s="4">
        <v>45996</v>
      </c>
      <c r="S947" s="3" t="s">
        <v>37</v>
      </c>
      <c r="T947" s="3" t="s">
        <v>38</v>
      </c>
      <c r="U947" s="3" t="s">
        <v>39</v>
      </c>
      <c r="V947" s="3">
        <v>77.55</v>
      </c>
      <c r="W947" s="3">
        <v>32.96</v>
      </c>
      <c r="X947" s="3">
        <v>31.21</v>
      </c>
      <c r="Y947" s="3">
        <v>13.38</v>
      </c>
    </row>
    <row r="948" spans="1:25" ht="60.75" x14ac:dyDescent="0.25">
      <c r="A948" s="3" t="s">
        <v>26</v>
      </c>
      <c r="B948" s="3" t="s">
        <v>27</v>
      </c>
      <c r="C948" s="3" t="s">
        <v>28</v>
      </c>
      <c r="D948" s="3" t="s">
        <v>29</v>
      </c>
      <c r="E948" s="3" t="s">
        <v>136</v>
      </c>
      <c r="F948" s="3" t="s">
        <v>31</v>
      </c>
      <c r="G948" s="3" t="s">
        <v>136</v>
      </c>
      <c r="H948" s="3" t="s">
        <v>48</v>
      </c>
      <c r="I948" s="3">
        <v>2025</v>
      </c>
      <c r="J948" s="3" t="str">
        <f>CONCATENATE("54820070354")</f>
        <v>54820070354</v>
      </c>
      <c r="K948" s="3" t="s">
        <v>33</v>
      </c>
      <c r="L948" s="3"/>
      <c r="M948" s="3" t="s">
        <v>131</v>
      </c>
      <c r="N948" s="3" t="str">
        <f>CONCATENATE("GSTRRT44H07A366K")</f>
        <v>GSTRRT44H07A366K</v>
      </c>
      <c r="O948" s="3" t="s">
        <v>1073</v>
      </c>
      <c r="P948" s="3" t="s">
        <v>36</v>
      </c>
      <c r="Q948" s="3"/>
      <c r="R948" s="4">
        <v>45996</v>
      </c>
      <c r="S948" s="3" t="s">
        <v>37</v>
      </c>
      <c r="T948" s="3" t="s">
        <v>38</v>
      </c>
      <c r="U948" s="3" t="s">
        <v>39</v>
      </c>
      <c r="V948" s="3">
        <v>226.13</v>
      </c>
      <c r="W948" s="3">
        <v>96.11</v>
      </c>
      <c r="X948" s="3">
        <v>91.02</v>
      </c>
      <c r="Y948" s="3">
        <v>39</v>
      </c>
    </row>
    <row r="949" spans="1:25" ht="36.75" x14ac:dyDescent="0.25">
      <c r="A949" s="3" t="s">
        <v>26</v>
      </c>
      <c r="B949" s="3" t="s">
        <v>27</v>
      </c>
      <c r="C949" s="3" t="s">
        <v>28</v>
      </c>
      <c r="D949" s="3" t="s">
        <v>104</v>
      </c>
      <c r="E949" s="3" t="s">
        <v>141</v>
      </c>
      <c r="F949" s="3" t="s">
        <v>104</v>
      </c>
      <c r="G949" s="3" t="s">
        <v>141</v>
      </c>
      <c r="H949" s="3" t="s">
        <v>96</v>
      </c>
      <c r="I949" s="3">
        <v>2025</v>
      </c>
      <c r="J949" s="3" t="str">
        <f>CONCATENATE("54820156005")</f>
        <v>54820156005</v>
      </c>
      <c r="K949" s="3" t="s">
        <v>33</v>
      </c>
      <c r="L949" s="3"/>
      <c r="M949" s="3" t="s">
        <v>131</v>
      </c>
      <c r="N949" s="3" t="str">
        <f>CONCATENATE("02548000443")</f>
        <v>02548000443</v>
      </c>
      <c r="O949" s="3" t="s">
        <v>1074</v>
      </c>
      <c r="P949" s="3" t="s">
        <v>36</v>
      </c>
      <c r="Q949" s="3"/>
      <c r="R949" s="4">
        <v>45996</v>
      </c>
      <c r="S949" s="3" t="s">
        <v>37</v>
      </c>
      <c r="T949" s="3" t="s">
        <v>38</v>
      </c>
      <c r="U949" s="3" t="s">
        <v>39</v>
      </c>
      <c r="V949" s="3">
        <v>88.24</v>
      </c>
      <c r="W949" s="3">
        <v>37.5</v>
      </c>
      <c r="X949" s="3">
        <v>35.520000000000003</v>
      </c>
      <c r="Y949" s="3">
        <v>15.22</v>
      </c>
    </row>
    <row r="950" spans="1:25" ht="60.75" x14ac:dyDescent="0.25">
      <c r="A950" s="3" t="s">
        <v>26</v>
      </c>
      <c r="B950" s="3" t="s">
        <v>27</v>
      </c>
      <c r="C950" s="3" t="s">
        <v>28</v>
      </c>
      <c r="D950" s="3" t="s">
        <v>29</v>
      </c>
      <c r="E950" s="3" t="s">
        <v>47</v>
      </c>
      <c r="F950" s="3" t="s">
        <v>31</v>
      </c>
      <c r="G950" s="3" t="s">
        <v>47</v>
      </c>
      <c r="H950" s="3" t="s">
        <v>48</v>
      </c>
      <c r="I950" s="3">
        <v>2025</v>
      </c>
      <c r="J950" s="3" t="str">
        <f>CONCATENATE("54820116207")</f>
        <v>54820116207</v>
      </c>
      <c r="K950" s="3" t="s">
        <v>33</v>
      </c>
      <c r="L950" s="3"/>
      <c r="M950" s="3" t="s">
        <v>131</v>
      </c>
      <c r="N950" s="3" t="str">
        <f>CONCATENATE("MLTMSS77E51I461Q")</f>
        <v>MLTMSS77E51I461Q</v>
      </c>
      <c r="O950" s="3" t="s">
        <v>1075</v>
      </c>
      <c r="P950" s="3" t="s">
        <v>36</v>
      </c>
      <c r="Q950" s="3"/>
      <c r="R950" s="4">
        <v>45996</v>
      </c>
      <c r="S950" s="3" t="s">
        <v>37</v>
      </c>
      <c r="T950" s="3" t="s">
        <v>38</v>
      </c>
      <c r="U950" s="3" t="s">
        <v>39</v>
      </c>
      <c r="V950" s="3">
        <v>121.24</v>
      </c>
      <c r="W950" s="3">
        <v>51.53</v>
      </c>
      <c r="X950" s="3">
        <v>48.8</v>
      </c>
      <c r="Y950" s="3">
        <v>20.91</v>
      </c>
    </row>
    <row r="951" spans="1:25" ht="36.75" x14ac:dyDescent="0.25">
      <c r="A951" s="3" t="s">
        <v>26</v>
      </c>
      <c r="B951" s="3" t="s">
        <v>27</v>
      </c>
      <c r="C951" s="3" t="s">
        <v>28</v>
      </c>
      <c r="D951" s="3" t="s">
        <v>50</v>
      </c>
      <c r="E951" s="3" t="s">
        <v>1076</v>
      </c>
      <c r="F951" s="3" t="s">
        <v>52</v>
      </c>
      <c r="G951" s="3" t="s">
        <v>1076</v>
      </c>
      <c r="H951" s="3" t="s">
        <v>45</v>
      </c>
      <c r="I951" s="3">
        <v>2025</v>
      </c>
      <c r="J951" s="3" t="str">
        <f>CONCATENATE("54820092150")</f>
        <v>54820092150</v>
      </c>
      <c r="K951" s="3" t="s">
        <v>33</v>
      </c>
      <c r="L951" s="3"/>
      <c r="M951" s="3" t="s">
        <v>131</v>
      </c>
      <c r="N951" s="3" t="str">
        <f>CONCATENATE("01057570416")</f>
        <v>01057570416</v>
      </c>
      <c r="O951" s="3" t="s">
        <v>1077</v>
      </c>
      <c r="P951" s="3" t="s">
        <v>36</v>
      </c>
      <c r="Q951" s="3"/>
      <c r="R951" s="4">
        <v>45996</v>
      </c>
      <c r="S951" s="3" t="s">
        <v>37</v>
      </c>
      <c r="T951" s="3" t="s">
        <v>38</v>
      </c>
      <c r="U951" s="3" t="s">
        <v>39</v>
      </c>
      <c r="V951" s="3">
        <v>171.11</v>
      </c>
      <c r="W951" s="3">
        <v>72.72</v>
      </c>
      <c r="X951" s="3">
        <v>68.87</v>
      </c>
      <c r="Y951" s="3">
        <v>29.52</v>
      </c>
    </row>
    <row r="952" spans="1:25" ht="60.75" x14ac:dyDescent="0.25">
      <c r="A952" s="3" t="s">
        <v>26</v>
      </c>
      <c r="B952" s="3" t="s">
        <v>27</v>
      </c>
      <c r="C952" s="3" t="s">
        <v>28</v>
      </c>
      <c r="D952" s="3" t="s">
        <v>29</v>
      </c>
      <c r="E952" s="3" t="s">
        <v>228</v>
      </c>
      <c r="F952" s="3" t="s">
        <v>31</v>
      </c>
      <c r="G952" s="3" t="s">
        <v>228</v>
      </c>
      <c r="H952" s="3" t="s">
        <v>45</v>
      </c>
      <c r="I952" s="3">
        <v>2025</v>
      </c>
      <c r="J952" s="3" t="str">
        <f>CONCATENATE("54820167309")</f>
        <v>54820167309</v>
      </c>
      <c r="K952" s="3" t="s">
        <v>33</v>
      </c>
      <c r="L952" s="3"/>
      <c r="M952" s="3" t="s">
        <v>131</v>
      </c>
      <c r="N952" s="3" t="str">
        <f>CONCATENATE("LSIDBR67B26G479N")</f>
        <v>LSIDBR67B26G479N</v>
      </c>
      <c r="O952" s="3" t="s">
        <v>1078</v>
      </c>
      <c r="P952" s="3" t="s">
        <v>36</v>
      </c>
      <c r="Q952" s="3"/>
      <c r="R952" s="4">
        <v>45996</v>
      </c>
      <c r="S952" s="3" t="s">
        <v>37</v>
      </c>
      <c r="T952" s="3" t="s">
        <v>38</v>
      </c>
      <c r="U952" s="3" t="s">
        <v>39</v>
      </c>
      <c r="V952" s="5">
        <v>1088.26</v>
      </c>
      <c r="W952" s="3">
        <v>462.51</v>
      </c>
      <c r="X952" s="3">
        <v>438.02</v>
      </c>
      <c r="Y952" s="3">
        <v>187.73</v>
      </c>
    </row>
    <row r="953" spans="1:25" ht="60.75" x14ac:dyDescent="0.25">
      <c r="A953" s="3" t="s">
        <v>26</v>
      </c>
      <c r="B953" s="3" t="s">
        <v>27</v>
      </c>
      <c r="C953" s="3" t="s">
        <v>28</v>
      </c>
      <c r="D953" s="3" t="s">
        <v>104</v>
      </c>
      <c r="E953" s="3" t="s">
        <v>141</v>
      </c>
      <c r="F953" s="3" t="s">
        <v>104</v>
      </c>
      <c r="G953" s="3" t="s">
        <v>141</v>
      </c>
      <c r="H953" s="3" t="s">
        <v>96</v>
      </c>
      <c r="I953" s="3">
        <v>2025</v>
      </c>
      <c r="J953" s="3" t="str">
        <f>CONCATENATE("54820306436")</f>
        <v>54820306436</v>
      </c>
      <c r="K953" s="3" t="s">
        <v>33</v>
      </c>
      <c r="L953" s="3"/>
      <c r="M953" s="3" t="s">
        <v>131</v>
      </c>
      <c r="N953" s="3" t="str">
        <f>CONCATENATE("CRQRMN66L02I324C")</f>
        <v>CRQRMN66L02I324C</v>
      </c>
      <c r="O953" s="3" t="s">
        <v>1079</v>
      </c>
      <c r="P953" s="3" t="s">
        <v>36</v>
      </c>
      <c r="Q953" s="3"/>
      <c r="R953" s="4">
        <v>45996</v>
      </c>
      <c r="S953" s="3" t="s">
        <v>37</v>
      </c>
      <c r="T953" s="3" t="s">
        <v>38</v>
      </c>
      <c r="U953" s="3" t="s">
        <v>39</v>
      </c>
      <c r="V953" s="3">
        <v>288.06</v>
      </c>
      <c r="W953" s="3">
        <v>122.43</v>
      </c>
      <c r="X953" s="3">
        <v>115.94</v>
      </c>
      <c r="Y953" s="3">
        <v>49.69</v>
      </c>
    </row>
    <row r="954" spans="1:25" ht="36.75" x14ac:dyDescent="0.25">
      <c r="A954" s="3" t="s">
        <v>26</v>
      </c>
      <c r="B954" s="3" t="s">
        <v>27</v>
      </c>
      <c r="C954" s="3" t="s">
        <v>28</v>
      </c>
      <c r="D954" s="3" t="s">
        <v>50</v>
      </c>
      <c r="E954" s="3" t="s">
        <v>51</v>
      </c>
      <c r="F954" s="3" t="s">
        <v>52</v>
      </c>
      <c r="G954" s="3" t="s">
        <v>51</v>
      </c>
      <c r="H954" s="3" t="s">
        <v>48</v>
      </c>
      <c r="I954" s="3">
        <v>2025</v>
      </c>
      <c r="J954" s="3" t="str">
        <f>CONCATENATE("54820192067")</f>
        <v>54820192067</v>
      </c>
      <c r="K954" s="3" t="s">
        <v>33</v>
      </c>
      <c r="L954" s="3"/>
      <c r="M954" s="3" t="s">
        <v>131</v>
      </c>
      <c r="N954" s="3" t="str">
        <f>CONCATENATE("01087020424")</f>
        <v>01087020424</v>
      </c>
      <c r="O954" s="3" t="s">
        <v>1080</v>
      </c>
      <c r="P954" s="3" t="s">
        <v>36</v>
      </c>
      <c r="Q954" s="3"/>
      <c r="R954" s="4">
        <v>45996</v>
      </c>
      <c r="S954" s="3" t="s">
        <v>37</v>
      </c>
      <c r="T954" s="3" t="s">
        <v>38</v>
      </c>
      <c r="U954" s="3" t="s">
        <v>39</v>
      </c>
      <c r="V954" s="3">
        <v>206.31</v>
      </c>
      <c r="W954" s="3">
        <v>87.68</v>
      </c>
      <c r="X954" s="3">
        <v>83.04</v>
      </c>
      <c r="Y954" s="3">
        <v>35.590000000000003</v>
      </c>
    </row>
    <row r="955" spans="1:25" ht="36.75" x14ac:dyDescent="0.25">
      <c r="A955" s="3" t="s">
        <v>26</v>
      </c>
      <c r="B955" s="3" t="s">
        <v>27</v>
      </c>
      <c r="C955" s="3" t="s">
        <v>28</v>
      </c>
      <c r="D955" s="3" t="s">
        <v>50</v>
      </c>
      <c r="E955" s="3" t="s">
        <v>147</v>
      </c>
      <c r="F955" s="3" t="s">
        <v>52</v>
      </c>
      <c r="G955" s="3" t="s">
        <v>147</v>
      </c>
      <c r="H955" s="3" t="s">
        <v>45</v>
      </c>
      <c r="I955" s="3">
        <v>2025</v>
      </c>
      <c r="J955" s="3" t="str">
        <f>CONCATENATE("54820203021")</f>
        <v>54820203021</v>
      </c>
      <c r="K955" s="3" t="s">
        <v>33</v>
      </c>
      <c r="L955" s="3"/>
      <c r="M955" s="3" t="s">
        <v>131</v>
      </c>
      <c r="N955" s="3" t="str">
        <f>CONCATENATE("02599270416")</f>
        <v>02599270416</v>
      </c>
      <c r="O955" s="3" t="s">
        <v>1081</v>
      </c>
      <c r="P955" s="3" t="s">
        <v>36</v>
      </c>
      <c r="Q955" s="3"/>
      <c r="R955" s="4">
        <v>45996</v>
      </c>
      <c r="S955" s="3" t="s">
        <v>37</v>
      </c>
      <c r="T955" s="3" t="s">
        <v>38</v>
      </c>
      <c r="U955" s="3" t="s">
        <v>39</v>
      </c>
      <c r="V955" s="3">
        <v>81.94</v>
      </c>
      <c r="W955" s="3">
        <v>34.82</v>
      </c>
      <c r="X955" s="3">
        <v>32.979999999999997</v>
      </c>
      <c r="Y955" s="3">
        <v>14.14</v>
      </c>
    </row>
    <row r="956" spans="1:25" ht="60.75" x14ac:dyDescent="0.25">
      <c r="A956" s="3" t="s">
        <v>26</v>
      </c>
      <c r="B956" s="3" t="s">
        <v>27</v>
      </c>
      <c r="C956" s="3" t="s">
        <v>28</v>
      </c>
      <c r="D956" s="3" t="s">
        <v>29</v>
      </c>
      <c r="E956" s="3" t="s">
        <v>72</v>
      </c>
      <c r="F956" s="3" t="s">
        <v>31</v>
      </c>
      <c r="G956" s="3" t="s">
        <v>72</v>
      </c>
      <c r="H956" s="3" t="s">
        <v>45</v>
      </c>
      <c r="I956" s="3">
        <v>2025</v>
      </c>
      <c r="J956" s="3" t="str">
        <f>CONCATENATE("54820022520")</f>
        <v>54820022520</v>
      </c>
      <c r="K956" s="3" t="s">
        <v>33</v>
      </c>
      <c r="L956" s="3"/>
      <c r="M956" s="3" t="s">
        <v>131</v>
      </c>
      <c r="N956" s="3" t="str">
        <f>CONCATENATE("MRTSNT70S52C745Z")</f>
        <v>MRTSNT70S52C745Z</v>
      </c>
      <c r="O956" s="3" t="s">
        <v>1082</v>
      </c>
      <c r="P956" s="3" t="s">
        <v>36</v>
      </c>
      <c r="Q956" s="3"/>
      <c r="R956" s="4">
        <v>45996</v>
      </c>
      <c r="S956" s="3" t="s">
        <v>37</v>
      </c>
      <c r="T956" s="3" t="s">
        <v>38</v>
      </c>
      <c r="U956" s="3" t="s">
        <v>39</v>
      </c>
      <c r="V956" s="3">
        <v>122.75</v>
      </c>
      <c r="W956" s="3">
        <v>52.17</v>
      </c>
      <c r="X956" s="3">
        <v>49.41</v>
      </c>
      <c r="Y956" s="3">
        <v>21.17</v>
      </c>
    </row>
    <row r="957" spans="1:25" ht="60.75" x14ac:dyDescent="0.25">
      <c r="A957" s="3" t="s">
        <v>26</v>
      </c>
      <c r="B957" s="3" t="s">
        <v>27</v>
      </c>
      <c r="C957" s="3" t="s">
        <v>28</v>
      </c>
      <c r="D957" s="3" t="s">
        <v>50</v>
      </c>
      <c r="E957" s="3" t="s">
        <v>147</v>
      </c>
      <c r="F957" s="3" t="s">
        <v>52</v>
      </c>
      <c r="G957" s="3" t="s">
        <v>147</v>
      </c>
      <c r="H957" s="3" t="s">
        <v>45</v>
      </c>
      <c r="I957" s="3">
        <v>2025</v>
      </c>
      <c r="J957" s="3" t="str">
        <f>CONCATENATE("54820191614")</f>
        <v>54820191614</v>
      </c>
      <c r="K957" s="3" t="s">
        <v>33</v>
      </c>
      <c r="L957" s="3"/>
      <c r="M957" s="3" t="s">
        <v>131</v>
      </c>
      <c r="N957" s="3" t="str">
        <f>CONCATENATE("LCRSNT48B12I459H")</f>
        <v>LCRSNT48B12I459H</v>
      </c>
      <c r="O957" s="3" t="s">
        <v>1083</v>
      </c>
      <c r="P957" s="3" t="s">
        <v>36</v>
      </c>
      <c r="Q957" s="3"/>
      <c r="R957" s="4">
        <v>45996</v>
      </c>
      <c r="S957" s="3" t="s">
        <v>37</v>
      </c>
      <c r="T957" s="3" t="s">
        <v>38</v>
      </c>
      <c r="U957" s="3" t="s">
        <v>39</v>
      </c>
      <c r="V957" s="3">
        <v>199.07</v>
      </c>
      <c r="W957" s="3">
        <v>84.6</v>
      </c>
      <c r="X957" s="3">
        <v>80.13</v>
      </c>
      <c r="Y957" s="3">
        <v>34.340000000000003</v>
      </c>
    </row>
    <row r="958" spans="1:25" ht="72.75" x14ac:dyDescent="0.25">
      <c r="A958" s="3" t="s">
        <v>26</v>
      </c>
      <c r="B958" s="3" t="s">
        <v>27</v>
      </c>
      <c r="C958" s="3" t="s">
        <v>28</v>
      </c>
      <c r="D958" s="3" t="s">
        <v>29</v>
      </c>
      <c r="E958" s="3" t="s">
        <v>476</v>
      </c>
      <c r="F958" s="3" t="s">
        <v>31</v>
      </c>
      <c r="G958" s="3" t="s">
        <v>476</v>
      </c>
      <c r="H958" s="3" t="s">
        <v>48</v>
      </c>
      <c r="I958" s="3">
        <v>2025</v>
      </c>
      <c r="J958" s="3" t="str">
        <f>CONCATENATE("54820055280")</f>
        <v>54820055280</v>
      </c>
      <c r="K958" s="3" t="s">
        <v>33</v>
      </c>
      <c r="L958" s="3"/>
      <c r="M958" s="3" t="s">
        <v>131</v>
      </c>
      <c r="N958" s="3" t="str">
        <f>CONCATENATE("MNNSLV85M70D451F")</f>
        <v>MNNSLV85M70D451F</v>
      </c>
      <c r="O958" s="3" t="s">
        <v>1084</v>
      </c>
      <c r="P958" s="3" t="s">
        <v>36</v>
      </c>
      <c r="Q958" s="3"/>
      <c r="R958" s="4">
        <v>45996</v>
      </c>
      <c r="S958" s="3" t="s">
        <v>37</v>
      </c>
      <c r="T958" s="3" t="s">
        <v>38</v>
      </c>
      <c r="U958" s="3" t="s">
        <v>39</v>
      </c>
      <c r="V958" s="3">
        <v>101.02</v>
      </c>
      <c r="W958" s="3">
        <v>42.93</v>
      </c>
      <c r="X958" s="3">
        <v>40.659999999999997</v>
      </c>
      <c r="Y958" s="3">
        <v>17.43</v>
      </c>
    </row>
    <row r="959" spans="1:25" ht="60.75" x14ac:dyDescent="0.25">
      <c r="A959" s="3" t="s">
        <v>26</v>
      </c>
      <c r="B959" s="3" t="s">
        <v>27</v>
      </c>
      <c r="C959" s="3" t="s">
        <v>28</v>
      </c>
      <c r="D959" s="3" t="s">
        <v>29</v>
      </c>
      <c r="E959" s="3" t="s">
        <v>136</v>
      </c>
      <c r="F959" s="3" t="s">
        <v>31</v>
      </c>
      <c r="G959" s="3" t="s">
        <v>136</v>
      </c>
      <c r="H959" s="3" t="s">
        <v>48</v>
      </c>
      <c r="I959" s="3">
        <v>2025</v>
      </c>
      <c r="J959" s="3" t="str">
        <f>CONCATENATE("54820056643")</f>
        <v>54820056643</v>
      </c>
      <c r="K959" s="3" t="s">
        <v>33</v>
      </c>
      <c r="L959" s="3"/>
      <c r="M959" s="3" t="s">
        <v>131</v>
      </c>
      <c r="N959" s="3" t="str">
        <f>CONCATENATE("BLDGCR59C09I461N")</f>
        <v>BLDGCR59C09I461N</v>
      </c>
      <c r="O959" s="3" t="s">
        <v>1085</v>
      </c>
      <c r="P959" s="3" t="s">
        <v>36</v>
      </c>
      <c r="Q959" s="3"/>
      <c r="R959" s="4">
        <v>45996</v>
      </c>
      <c r="S959" s="3" t="s">
        <v>37</v>
      </c>
      <c r="T959" s="3" t="s">
        <v>38</v>
      </c>
      <c r="U959" s="3" t="s">
        <v>39</v>
      </c>
      <c r="V959" s="3">
        <v>56.11</v>
      </c>
      <c r="W959" s="3">
        <v>23.85</v>
      </c>
      <c r="X959" s="3">
        <v>22.58</v>
      </c>
      <c r="Y959" s="3">
        <v>9.68</v>
      </c>
    </row>
    <row r="960" spans="1:25" ht="60.75" x14ac:dyDescent="0.25">
      <c r="A960" s="3" t="s">
        <v>26</v>
      </c>
      <c r="B960" s="3" t="s">
        <v>27</v>
      </c>
      <c r="C960" s="3" t="s">
        <v>28</v>
      </c>
      <c r="D960" s="3" t="s">
        <v>29</v>
      </c>
      <c r="E960" s="3" t="s">
        <v>233</v>
      </c>
      <c r="F960" s="3" t="s">
        <v>31</v>
      </c>
      <c r="G960" s="3" t="s">
        <v>233</v>
      </c>
      <c r="H960" s="3" t="s">
        <v>96</v>
      </c>
      <c r="I960" s="3">
        <v>2025</v>
      </c>
      <c r="J960" s="3" t="str">
        <f>CONCATENATE("54820043898")</f>
        <v>54820043898</v>
      </c>
      <c r="K960" s="3" t="s">
        <v>33</v>
      </c>
      <c r="L960" s="3"/>
      <c r="M960" s="3" t="s">
        <v>131</v>
      </c>
      <c r="N960" s="3" t="str">
        <f>CONCATENATE("FBNNZR64M16H588F")</f>
        <v>FBNNZR64M16H588F</v>
      </c>
      <c r="O960" s="3" t="s">
        <v>1086</v>
      </c>
      <c r="P960" s="3" t="s">
        <v>36</v>
      </c>
      <c r="Q960" s="3"/>
      <c r="R960" s="4">
        <v>45996</v>
      </c>
      <c r="S960" s="3" t="s">
        <v>37</v>
      </c>
      <c r="T960" s="3" t="s">
        <v>38</v>
      </c>
      <c r="U960" s="3" t="s">
        <v>39</v>
      </c>
      <c r="V960" s="3">
        <v>127.45</v>
      </c>
      <c r="W960" s="3">
        <v>54.17</v>
      </c>
      <c r="X960" s="3">
        <v>51.3</v>
      </c>
      <c r="Y960" s="3">
        <v>21.98</v>
      </c>
    </row>
    <row r="961" spans="1:25" ht="72.75" x14ac:dyDescent="0.25">
      <c r="A961" s="3" t="s">
        <v>26</v>
      </c>
      <c r="B961" s="3" t="s">
        <v>27</v>
      </c>
      <c r="C961" s="3" t="s">
        <v>28</v>
      </c>
      <c r="D961" s="3" t="s">
        <v>29</v>
      </c>
      <c r="E961" s="3" t="s">
        <v>72</v>
      </c>
      <c r="F961" s="3" t="s">
        <v>31</v>
      </c>
      <c r="G961" s="3" t="s">
        <v>72</v>
      </c>
      <c r="H961" s="3" t="s">
        <v>45</v>
      </c>
      <c r="I961" s="3">
        <v>2025</v>
      </c>
      <c r="J961" s="3" t="str">
        <f>CONCATENATE("54820069315")</f>
        <v>54820069315</v>
      </c>
      <c r="K961" s="3" t="s">
        <v>33</v>
      </c>
      <c r="L961" s="3"/>
      <c r="M961" s="3" t="s">
        <v>131</v>
      </c>
      <c r="N961" s="3" t="str">
        <f>CONCATENATE("MGGCRL76M61F205A")</f>
        <v>MGGCRL76M61F205A</v>
      </c>
      <c r="O961" s="3" t="s">
        <v>1087</v>
      </c>
      <c r="P961" s="3" t="s">
        <v>36</v>
      </c>
      <c r="Q961" s="3"/>
      <c r="R961" s="4">
        <v>45996</v>
      </c>
      <c r="S961" s="3" t="s">
        <v>37</v>
      </c>
      <c r="T961" s="3" t="s">
        <v>38</v>
      </c>
      <c r="U961" s="3" t="s">
        <v>39</v>
      </c>
      <c r="V961" s="3">
        <v>231.85</v>
      </c>
      <c r="W961" s="3">
        <v>98.54</v>
      </c>
      <c r="X961" s="3">
        <v>93.32</v>
      </c>
      <c r="Y961" s="3">
        <v>39.99</v>
      </c>
    </row>
    <row r="962" spans="1:25" ht="72.75" x14ac:dyDescent="0.25">
      <c r="A962" s="3" t="s">
        <v>26</v>
      </c>
      <c r="B962" s="3" t="s">
        <v>27</v>
      </c>
      <c r="C962" s="3" t="s">
        <v>28</v>
      </c>
      <c r="D962" s="3" t="s">
        <v>29</v>
      </c>
      <c r="E962" s="3" t="s">
        <v>228</v>
      </c>
      <c r="F962" s="3" t="s">
        <v>31</v>
      </c>
      <c r="G962" s="3" t="s">
        <v>228</v>
      </c>
      <c r="H962" s="3" t="s">
        <v>45</v>
      </c>
      <c r="I962" s="3">
        <v>2025</v>
      </c>
      <c r="J962" s="3" t="str">
        <f>CONCATENATE("54820050265")</f>
        <v>54820050265</v>
      </c>
      <c r="K962" s="3" t="s">
        <v>33</v>
      </c>
      <c r="L962" s="3"/>
      <c r="M962" s="3" t="s">
        <v>131</v>
      </c>
      <c r="N962" s="3" t="str">
        <f>CONCATENATE("PRGPRM41A01D749W")</f>
        <v>PRGPRM41A01D749W</v>
      </c>
      <c r="O962" s="3" t="s">
        <v>1088</v>
      </c>
      <c r="P962" s="3" t="s">
        <v>36</v>
      </c>
      <c r="Q962" s="3"/>
      <c r="R962" s="4">
        <v>45996</v>
      </c>
      <c r="S962" s="3" t="s">
        <v>37</v>
      </c>
      <c r="T962" s="3" t="s">
        <v>38</v>
      </c>
      <c r="U962" s="3" t="s">
        <v>39</v>
      </c>
      <c r="V962" s="3">
        <v>270.39999999999998</v>
      </c>
      <c r="W962" s="3">
        <v>114.92</v>
      </c>
      <c r="X962" s="3">
        <v>108.84</v>
      </c>
      <c r="Y962" s="3">
        <v>46.64</v>
      </c>
    </row>
    <row r="963" spans="1:25" ht="60.75" x14ac:dyDescent="0.25">
      <c r="A963" s="3" t="s">
        <v>26</v>
      </c>
      <c r="B963" s="3" t="s">
        <v>27</v>
      </c>
      <c r="C963" s="3" t="s">
        <v>28</v>
      </c>
      <c r="D963" s="3" t="s">
        <v>40</v>
      </c>
      <c r="E963" s="3" t="s">
        <v>54</v>
      </c>
      <c r="F963" s="3" t="s">
        <v>42</v>
      </c>
      <c r="G963" s="3" t="s">
        <v>54</v>
      </c>
      <c r="H963" s="3" t="s">
        <v>45</v>
      </c>
      <c r="I963" s="3">
        <v>2025</v>
      </c>
      <c r="J963" s="3" t="str">
        <f>CONCATENATE("54820045000")</f>
        <v>54820045000</v>
      </c>
      <c r="K963" s="3" t="s">
        <v>33</v>
      </c>
      <c r="L963" s="3"/>
      <c r="M963" s="3" t="s">
        <v>131</v>
      </c>
      <c r="N963" s="3" t="str">
        <f>CONCATENATE("PSCLCU86D10D488F")</f>
        <v>PSCLCU86D10D488F</v>
      </c>
      <c r="O963" s="3" t="s">
        <v>204</v>
      </c>
      <c r="P963" s="3" t="s">
        <v>36</v>
      </c>
      <c r="Q963" s="3"/>
      <c r="R963" s="4">
        <v>45996</v>
      </c>
      <c r="S963" s="3" t="s">
        <v>37</v>
      </c>
      <c r="T963" s="3" t="s">
        <v>38</v>
      </c>
      <c r="U963" s="3" t="s">
        <v>39</v>
      </c>
      <c r="V963" s="3">
        <v>516.29</v>
      </c>
      <c r="W963" s="3">
        <v>219.42</v>
      </c>
      <c r="X963" s="3">
        <v>207.81</v>
      </c>
      <c r="Y963" s="3">
        <v>89.06</v>
      </c>
    </row>
    <row r="964" spans="1:25" ht="72.75" x14ac:dyDescent="0.25">
      <c r="A964" s="3" t="s">
        <v>26</v>
      </c>
      <c r="B964" s="3" t="s">
        <v>27</v>
      </c>
      <c r="C964" s="3" t="s">
        <v>28</v>
      </c>
      <c r="D964" s="3" t="s">
        <v>29</v>
      </c>
      <c r="E964" s="3" t="s">
        <v>228</v>
      </c>
      <c r="F964" s="3" t="s">
        <v>31</v>
      </c>
      <c r="G964" s="3" t="s">
        <v>228</v>
      </c>
      <c r="H964" s="3" t="s">
        <v>45</v>
      </c>
      <c r="I964" s="3">
        <v>2025</v>
      </c>
      <c r="J964" s="3" t="str">
        <f>CONCATENATE("54820033360")</f>
        <v>54820033360</v>
      </c>
      <c r="K964" s="3" t="s">
        <v>33</v>
      </c>
      <c r="L964" s="3"/>
      <c r="M964" s="3" t="s">
        <v>131</v>
      </c>
      <c r="N964" s="3" t="str">
        <f>CONCATENATE("BRCRND62H10D749N")</f>
        <v>BRCRND62H10D749N</v>
      </c>
      <c r="O964" s="3" t="s">
        <v>1089</v>
      </c>
      <c r="P964" s="3" t="s">
        <v>36</v>
      </c>
      <c r="Q964" s="3"/>
      <c r="R964" s="4">
        <v>45996</v>
      </c>
      <c r="S964" s="3" t="s">
        <v>37</v>
      </c>
      <c r="T964" s="3" t="s">
        <v>38</v>
      </c>
      <c r="U964" s="3" t="s">
        <v>39</v>
      </c>
      <c r="V964" s="3">
        <v>532.30999999999995</v>
      </c>
      <c r="W964" s="3">
        <v>226.23</v>
      </c>
      <c r="X964" s="3">
        <v>214.25</v>
      </c>
      <c r="Y964" s="3">
        <v>91.83</v>
      </c>
    </row>
    <row r="965" spans="1:25" ht="72.75" x14ac:dyDescent="0.25">
      <c r="A965" s="3" t="s">
        <v>26</v>
      </c>
      <c r="B965" s="3" t="s">
        <v>27</v>
      </c>
      <c r="C965" s="3" t="s">
        <v>28</v>
      </c>
      <c r="D965" s="3" t="s">
        <v>29</v>
      </c>
      <c r="E965" s="3" t="s">
        <v>119</v>
      </c>
      <c r="F965" s="3" t="s">
        <v>31</v>
      </c>
      <c r="G965" s="3" t="s">
        <v>119</v>
      </c>
      <c r="H965" s="3" t="s">
        <v>96</v>
      </c>
      <c r="I965" s="3">
        <v>2025</v>
      </c>
      <c r="J965" s="3" t="str">
        <f>CONCATENATE("54820073325")</f>
        <v>54820073325</v>
      </c>
      <c r="K965" s="3" t="s">
        <v>33</v>
      </c>
      <c r="L965" s="3"/>
      <c r="M965" s="3" t="s">
        <v>131</v>
      </c>
      <c r="N965" s="3" t="str">
        <f>CONCATENATE("MRNGLL67E70A252A")</f>
        <v>MRNGLL67E70A252A</v>
      </c>
      <c r="O965" s="3" t="s">
        <v>1090</v>
      </c>
      <c r="P965" s="3" t="s">
        <v>36</v>
      </c>
      <c r="Q965" s="3"/>
      <c r="R965" s="4">
        <v>45996</v>
      </c>
      <c r="S965" s="3" t="s">
        <v>37</v>
      </c>
      <c r="T965" s="3" t="s">
        <v>38</v>
      </c>
      <c r="U965" s="3" t="s">
        <v>39</v>
      </c>
      <c r="V965" s="3">
        <v>308.05</v>
      </c>
      <c r="W965" s="3">
        <v>130.91999999999999</v>
      </c>
      <c r="X965" s="3">
        <v>123.99</v>
      </c>
      <c r="Y965" s="3">
        <v>53.14</v>
      </c>
    </row>
    <row r="966" spans="1:25" ht="60.75" x14ac:dyDescent="0.25">
      <c r="A966" s="3" t="s">
        <v>26</v>
      </c>
      <c r="B966" s="3" t="s">
        <v>27</v>
      </c>
      <c r="C966" s="3" t="s">
        <v>28</v>
      </c>
      <c r="D966" s="3" t="s">
        <v>29</v>
      </c>
      <c r="E966" s="3" t="s">
        <v>228</v>
      </c>
      <c r="F966" s="3" t="s">
        <v>31</v>
      </c>
      <c r="G966" s="3" t="s">
        <v>228</v>
      </c>
      <c r="H966" s="3" t="s">
        <v>45</v>
      </c>
      <c r="I966" s="3">
        <v>2025</v>
      </c>
      <c r="J966" s="3" t="str">
        <f>CONCATENATE("54820019500")</f>
        <v>54820019500</v>
      </c>
      <c r="K966" s="3" t="s">
        <v>33</v>
      </c>
      <c r="L966" s="3"/>
      <c r="M966" s="3" t="s">
        <v>131</v>
      </c>
      <c r="N966" s="3" t="str">
        <f>CONCATENATE("NGLFST45P11F497U")</f>
        <v>NGLFST45P11F497U</v>
      </c>
      <c r="O966" s="3" t="s">
        <v>1091</v>
      </c>
      <c r="P966" s="3" t="s">
        <v>36</v>
      </c>
      <c r="Q966" s="3"/>
      <c r="R966" s="4">
        <v>45996</v>
      </c>
      <c r="S966" s="3" t="s">
        <v>37</v>
      </c>
      <c r="T966" s="3" t="s">
        <v>38</v>
      </c>
      <c r="U966" s="3" t="s">
        <v>39</v>
      </c>
      <c r="V966" s="3">
        <v>71.290000000000006</v>
      </c>
      <c r="W966" s="3">
        <v>30.3</v>
      </c>
      <c r="X966" s="3">
        <v>28.69</v>
      </c>
      <c r="Y966" s="3">
        <v>12.3</v>
      </c>
    </row>
    <row r="967" spans="1:25" ht="60.75" x14ac:dyDescent="0.25">
      <c r="A967" s="3" t="s">
        <v>26</v>
      </c>
      <c r="B967" s="3" t="s">
        <v>27</v>
      </c>
      <c r="C967" s="3" t="s">
        <v>28</v>
      </c>
      <c r="D967" s="3" t="s">
        <v>29</v>
      </c>
      <c r="E967" s="3" t="s">
        <v>119</v>
      </c>
      <c r="F967" s="3" t="s">
        <v>31</v>
      </c>
      <c r="G967" s="3" t="s">
        <v>119</v>
      </c>
      <c r="H967" s="3" t="s">
        <v>96</v>
      </c>
      <c r="I967" s="3">
        <v>2025</v>
      </c>
      <c r="J967" s="3" t="str">
        <f>CONCATENATE("54820039094")</f>
        <v>54820039094</v>
      </c>
      <c r="K967" s="3" t="s">
        <v>33</v>
      </c>
      <c r="L967" s="3"/>
      <c r="M967" s="3" t="s">
        <v>131</v>
      </c>
      <c r="N967" s="3" t="str">
        <f>CONCATENATE("TFFGND64S07A252U")</f>
        <v>TFFGND64S07A252U</v>
      </c>
      <c r="O967" s="3" t="s">
        <v>1092</v>
      </c>
      <c r="P967" s="3" t="s">
        <v>36</v>
      </c>
      <c r="Q967" s="3"/>
      <c r="R967" s="4">
        <v>45996</v>
      </c>
      <c r="S967" s="3" t="s">
        <v>37</v>
      </c>
      <c r="T967" s="3" t="s">
        <v>38</v>
      </c>
      <c r="U967" s="3" t="s">
        <v>39</v>
      </c>
      <c r="V967" s="3">
        <v>318.76</v>
      </c>
      <c r="W967" s="3">
        <v>135.47</v>
      </c>
      <c r="X967" s="3">
        <v>128.30000000000001</v>
      </c>
      <c r="Y967" s="3">
        <v>54.99</v>
      </c>
    </row>
    <row r="968" spans="1:25" ht="60.75" x14ac:dyDescent="0.25">
      <c r="A968" s="3" t="s">
        <v>26</v>
      </c>
      <c r="B968" s="3" t="s">
        <v>27</v>
      </c>
      <c r="C968" s="3" t="s">
        <v>28</v>
      </c>
      <c r="D968" s="3" t="s">
        <v>40</v>
      </c>
      <c r="E968" s="3" t="s">
        <v>287</v>
      </c>
      <c r="F968" s="3" t="s">
        <v>42</v>
      </c>
      <c r="G968" s="3" t="s">
        <v>287</v>
      </c>
      <c r="H968" s="3" t="s">
        <v>32</v>
      </c>
      <c r="I968" s="3">
        <v>2025</v>
      </c>
      <c r="J968" s="3" t="str">
        <f>CONCATENATE("54820018684")</f>
        <v>54820018684</v>
      </c>
      <c r="K968" s="3" t="s">
        <v>33</v>
      </c>
      <c r="L968" s="3"/>
      <c r="M968" s="3" t="s">
        <v>131</v>
      </c>
      <c r="N968" s="3" t="str">
        <f>CONCATENATE("VSCMNL87P43E783W")</f>
        <v>VSCMNL87P43E783W</v>
      </c>
      <c r="O968" s="3" t="s">
        <v>1093</v>
      </c>
      <c r="P968" s="3" t="s">
        <v>36</v>
      </c>
      <c r="Q968" s="3"/>
      <c r="R968" s="4">
        <v>45996</v>
      </c>
      <c r="S968" s="3" t="s">
        <v>37</v>
      </c>
      <c r="T968" s="3" t="s">
        <v>38</v>
      </c>
      <c r="U968" s="3" t="s">
        <v>39</v>
      </c>
      <c r="V968" s="3">
        <v>197.13</v>
      </c>
      <c r="W968" s="3">
        <v>83.78</v>
      </c>
      <c r="X968" s="3">
        <v>79.34</v>
      </c>
      <c r="Y968" s="3">
        <v>34.01</v>
      </c>
    </row>
    <row r="969" spans="1:25" ht="60.75" x14ac:dyDescent="0.25">
      <c r="A969" s="3" t="s">
        <v>26</v>
      </c>
      <c r="B969" s="3" t="s">
        <v>27</v>
      </c>
      <c r="C969" s="3" t="s">
        <v>28</v>
      </c>
      <c r="D969" s="3" t="s">
        <v>50</v>
      </c>
      <c r="E969" s="3" t="s">
        <v>173</v>
      </c>
      <c r="F969" s="3" t="s">
        <v>52</v>
      </c>
      <c r="G969" s="3" t="s">
        <v>173</v>
      </c>
      <c r="H969" s="3" t="s">
        <v>45</v>
      </c>
      <c r="I969" s="3">
        <v>2025</v>
      </c>
      <c r="J969" s="3" t="str">
        <f>CONCATENATE("54820034228")</f>
        <v>54820034228</v>
      </c>
      <c r="K969" s="3" t="s">
        <v>33</v>
      </c>
      <c r="L969" s="3"/>
      <c r="M969" s="3" t="s">
        <v>131</v>
      </c>
      <c r="N969" s="3" t="str">
        <f>CONCATENATE("DTLNTN86H25I459O")</f>
        <v>DTLNTN86H25I459O</v>
      </c>
      <c r="O969" s="3" t="s">
        <v>1094</v>
      </c>
      <c r="P969" s="3" t="s">
        <v>36</v>
      </c>
      <c r="Q969" s="3"/>
      <c r="R969" s="4">
        <v>45996</v>
      </c>
      <c r="S969" s="3" t="s">
        <v>37</v>
      </c>
      <c r="T969" s="3" t="s">
        <v>38</v>
      </c>
      <c r="U969" s="3" t="s">
        <v>39</v>
      </c>
      <c r="V969" s="3">
        <v>797.53</v>
      </c>
      <c r="W969" s="3">
        <v>338.95</v>
      </c>
      <c r="X969" s="3">
        <v>321.01</v>
      </c>
      <c r="Y969" s="3">
        <v>137.57</v>
      </c>
    </row>
    <row r="970" spans="1:25" ht="36.75" x14ac:dyDescent="0.25">
      <c r="A970" s="3" t="s">
        <v>26</v>
      </c>
      <c r="B970" s="3" t="s">
        <v>27</v>
      </c>
      <c r="C970" s="3" t="s">
        <v>28</v>
      </c>
      <c r="D970" s="3" t="s">
        <v>29</v>
      </c>
      <c r="E970" s="3" t="s">
        <v>186</v>
      </c>
      <c r="F970" s="3" t="s">
        <v>31</v>
      </c>
      <c r="G970" s="3" t="s">
        <v>186</v>
      </c>
      <c r="H970" s="3" t="s">
        <v>45</v>
      </c>
      <c r="I970" s="3">
        <v>2025</v>
      </c>
      <c r="J970" s="3" t="str">
        <f>CONCATENATE("54820141023")</f>
        <v>54820141023</v>
      </c>
      <c r="K970" s="3" t="s">
        <v>33</v>
      </c>
      <c r="L970" s="3"/>
      <c r="M970" s="3" t="s">
        <v>131</v>
      </c>
      <c r="N970" s="3" t="str">
        <f>CONCATENATE("01385210412")</f>
        <v>01385210412</v>
      </c>
      <c r="O970" s="3" t="s">
        <v>1095</v>
      </c>
      <c r="P970" s="3" t="s">
        <v>36</v>
      </c>
      <c r="Q970" s="3"/>
      <c r="R970" s="4">
        <v>45996</v>
      </c>
      <c r="S970" s="3" t="s">
        <v>37</v>
      </c>
      <c r="T970" s="3" t="s">
        <v>38</v>
      </c>
      <c r="U970" s="3" t="s">
        <v>39</v>
      </c>
      <c r="V970" s="3">
        <v>703.95</v>
      </c>
      <c r="W970" s="3">
        <v>299.18</v>
      </c>
      <c r="X970" s="3">
        <v>283.33999999999997</v>
      </c>
      <c r="Y970" s="3">
        <v>121.43</v>
      </c>
    </row>
    <row r="971" spans="1:25" ht="60.75" x14ac:dyDescent="0.25">
      <c r="A971" s="3" t="s">
        <v>26</v>
      </c>
      <c r="B971" s="3" t="s">
        <v>27</v>
      </c>
      <c r="C971" s="3" t="s">
        <v>28</v>
      </c>
      <c r="D971" s="3" t="s">
        <v>29</v>
      </c>
      <c r="E971" s="3" t="s">
        <v>119</v>
      </c>
      <c r="F971" s="3" t="s">
        <v>31</v>
      </c>
      <c r="G971" s="3" t="s">
        <v>119</v>
      </c>
      <c r="H971" s="3" t="s">
        <v>96</v>
      </c>
      <c r="I971" s="3">
        <v>2025</v>
      </c>
      <c r="J971" s="3" t="str">
        <f>CONCATENATE("54820019666")</f>
        <v>54820019666</v>
      </c>
      <c r="K971" s="3" t="s">
        <v>33</v>
      </c>
      <c r="L971" s="3"/>
      <c r="M971" s="3" t="s">
        <v>131</v>
      </c>
      <c r="N971" s="3" t="str">
        <f>CONCATENATE("NGLGNN35E21D691P")</f>
        <v>NGLGNN35E21D691P</v>
      </c>
      <c r="O971" s="3" t="s">
        <v>1096</v>
      </c>
      <c r="P971" s="3" t="s">
        <v>36</v>
      </c>
      <c r="Q971" s="3"/>
      <c r="R971" s="4">
        <v>45996</v>
      </c>
      <c r="S971" s="3" t="s">
        <v>37</v>
      </c>
      <c r="T971" s="3" t="s">
        <v>38</v>
      </c>
      <c r="U971" s="3" t="s">
        <v>39</v>
      </c>
      <c r="V971" s="3">
        <v>242.65</v>
      </c>
      <c r="W971" s="3">
        <v>103.13</v>
      </c>
      <c r="X971" s="3">
        <v>97.67</v>
      </c>
      <c r="Y971" s="3">
        <v>41.85</v>
      </c>
    </row>
    <row r="972" spans="1:25" ht="60.75" x14ac:dyDescent="0.25">
      <c r="A972" s="3" t="s">
        <v>26</v>
      </c>
      <c r="B972" s="3" t="s">
        <v>27</v>
      </c>
      <c r="C972" s="3" t="s">
        <v>28</v>
      </c>
      <c r="D972" s="3" t="s">
        <v>91</v>
      </c>
      <c r="E972" s="3" t="s">
        <v>92</v>
      </c>
      <c r="F972" s="3" t="s">
        <v>93</v>
      </c>
      <c r="G972" s="3" t="s">
        <v>92</v>
      </c>
      <c r="H972" s="3" t="s">
        <v>48</v>
      </c>
      <c r="I972" s="3">
        <v>2025</v>
      </c>
      <c r="J972" s="3" t="str">
        <f>CONCATENATE("54820007984")</f>
        <v>54820007984</v>
      </c>
      <c r="K972" s="3" t="s">
        <v>33</v>
      </c>
      <c r="L972" s="3"/>
      <c r="M972" s="3" t="s">
        <v>131</v>
      </c>
      <c r="N972" s="3" t="str">
        <f>CONCATENATE("CSTFRC51H16A271H")</f>
        <v>CSTFRC51H16A271H</v>
      </c>
      <c r="O972" s="3" t="s">
        <v>1097</v>
      </c>
      <c r="P972" s="3" t="s">
        <v>36</v>
      </c>
      <c r="Q972" s="3"/>
      <c r="R972" s="4">
        <v>45996</v>
      </c>
      <c r="S972" s="3" t="s">
        <v>37</v>
      </c>
      <c r="T972" s="3" t="s">
        <v>38</v>
      </c>
      <c r="U972" s="3" t="s">
        <v>39</v>
      </c>
      <c r="V972" s="3">
        <v>126.64</v>
      </c>
      <c r="W972" s="3">
        <v>53.82</v>
      </c>
      <c r="X972" s="3">
        <v>50.97</v>
      </c>
      <c r="Y972" s="3">
        <v>21.85</v>
      </c>
    </row>
    <row r="973" spans="1:25" ht="60.75" x14ac:dyDescent="0.25">
      <c r="A973" s="3" t="s">
        <v>26</v>
      </c>
      <c r="B973" s="3" t="s">
        <v>27</v>
      </c>
      <c r="C973" s="3" t="s">
        <v>28</v>
      </c>
      <c r="D973" s="3" t="s">
        <v>104</v>
      </c>
      <c r="E973" s="3" t="s">
        <v>268</v>
      </c>
      <c r="F973" s="3" t="s">
        <v>104</v>
      </c>
      <c r="G973" s="3" t="s">
        <v>268</v>
      </c>
      <c r="H973" s="3" t="s">
        <v>32</v>
      </c>
      <c r="I973" s="3">
        <v>2025</v>
      </c>
      <c r="J973" s="3" t="str">
        <f>CONCATENATE("54820019591")</f>
        <v>54820019591</v>
      </c>
      <c r="K973" s="3" t="s">
        <v>33</v>
      </c>
      <c r="L973" s="3"/>
      <c r="M973" s="3" t="s">
        <v>131</v>
      </c>
      <c r="N973" s="3" t="str">
        <f>CONCATENATE("NRDPQL46D26B474L")</f>
        <v>NRDPQL46D26B474L</v>
      </c>
      <c r="O973" s="3" t="s">
        <v>1098</v>
      </c>
      <c r="P973" s="3" t="s">
        <v>36</v>
      </c>
      <c r="Q973" s="3"/>
      <c r="R973" s="4">
        <v>45996</v>
      </c>
      <c r="S973" s="3" t="s">
        <v>37</v>
      </c>
      <c r="T973" s="3" t="s">
        <v>38</v>
      </c>
      <c r="U973" s="3" t="s">
        <v>39</v>
      </c>
      <c r="V973" s="3">
        <v>90.67</v>
      </c>
      <c r="W973" s="3">
        <v>38.53</v>
      </c>
      <c r="X973" s="3">
        <v>36.49</v>
      </c>
      <c r="Y973" s="3">
        <v>15.65</v>
      </c>
    </row>
    <row r="974" spans="1:25" ht="60.75" x14ac:dyDescent="0.25">
      <c r="A974" s="3" t="s">
        <v>26</v>
      </c>
      <c r="B974" s="3" t="s">
        <v>27</v>
      </c>
      <c r="C974" s="3" t="s">
        <v>28</v>
      </c>
      <c r="D974" s="3" t="s">
        <v>29</v>
      </c>
      <c r="E974" s="3" t="s">
        <v>47</v>
      </c>
      <c r="F974" s="3" t="s">
        <v>31</v>
      </c>
      <c r="G974" s="3" t="s">
        <v>47</v>
      </c>
      <c r="H974" s="3" t="s">
        <v>48</v>
      </c>
      <c r="I974" s="3">
        <v>2025</v>
      </c>
      <c r="J974" s="3" t="str">
        <f>CONCATENATE("54820038484")</f>
        <v>54820038484</v>
      </c>
      <c r="K974" s="3" t="s">
        <v>33</v>
      </c>
      <c r="L974" s="3"/>
      <c r="M974" s="3" t="s">
        <v>131</v>
      </c>
      <c r="N974" s="3" t="str">
        <f>CONCATENATE("MZZDNL67P55D451E")</f>
        <v>MZZDNL67P55D451E</v>
      </c>
      <c r="O974" s="3" t="s">
        <v>1099</v>
      </c>
      <c r="P974" s="3" t="s">
        <v>36</v>
      </c>
      <c r="Q974" s="3"/>
      <c r="R974" s="4">
        <v>45996</v>
      </c>
      <c r="S974" s="3" t="s">
        <v>37</v>
      </c>
      <c r="T974" s="3" t="s">
        <v>38</v>
      </c>
      <c r="U974" s="3" t="s">
        <v>39</v>
      </c>
      <c r="V974" s="3">
        <v>711.13</v>
      </c>
      <c r="W974" s="3">
        <v>302.23</v>
      </c>
      <c r="X974" s="3">
        <v>286.23</v>
      </c>
      <c r="Y974" s="3">
        <v>122.67</v>
      </c>
    </row>
    <row r="975" spans="1:25" ht="60.75" x14ac:dyDescent="0.25">
      <c r="A975" s="3" t="s">
        <v>26</v>
      </c>
      <c r="B975" s="3" t="s">
        <v>27</v>
      </c>
      <c r="C975" s="3" t="s">
        <v>28</v>
      </c>
      <c r="D975" s="3" t="s">
        <v>29</v>
      </c>
      <c r="E975" s="3" t="s">
        <v>186</v>
      </c>
      <c r="F975" s="3" t="s">
        <v>31</v>
      </c>
      <c r="G975" s="3" t="s">
        <v>186</v>
      </c>
      <c r="H975" s="3" t="s">
        <v>45</v>
      </c>
      <c r="I975" s="3">
        <v>2025</v>
      </c>
      <c r="J975" s="3" t="str">
        <f>CONCATENATE("54820053996")</f>
        <v>54820053996</v>
      </c>
      <c r="K975" s="3" t="s">
        <v>33</v>
      </c>
      <c r="L975" s="3"/>
      <c r="M975" s="3" t="s">
        <v>131</v>
      </c>
      <c r="N975" s="3" t="str">
        <f>CONCATENATE("SNTGZN61D14F467V")</f>
        <v>SNTGZN61D14F467V</v>
      </c>
      <c r="O975" s="3" t="s">
        <v>1100</v>
      </c>
      <c r="P975" s="3" t="s">
        <v>36</v>
      </c>
      <c r="Q975" s="3"/>
      <c r="R975" s="4">
        <v>45996</v>
      </c>
      <c r="S975" s="3" t="s">
        <v>37</v>
      </c>
      <c r="T975" s="3" t="s">
        <v>38</v>
      </c>
      <c r="U975" s="3" t="s">
        <v>39</v>
      </c>
      <c r="V975" s="3">
        <v>69.98</v>
      </c>
      <c r="W975" s="3">
        <v>29.74</v>
      </c>
      <c r="X975" s="3">
        <v>28.17</v>
      </c>
      <c r="Y975" s="3">
        <v>12.07</v>
      </c>
    </row>
    <row r="976" spans="1:25" ht="60.75" x14ac:dyDescent="0.25">
      <c r="A976" s="3" t="s">
        <v>26</v>
      </c>
      <c r="B976" s="3" t="s">
        <v>27</v>
      </c>
      <c r="C976" s="3" t="s">
        <v>28</v>
      </c>
      <c r="D976" s="3" t="s">
        <v>29</v>
      </c>
      <c r="E976" s="3" t="s">
        <v>72</v>
      </c>
      <c r="F976" s="3" t="s">
        <v>31</v>
      </c>
      <c r="G976" s="3" t="s">
        <v>72</v>
      </c>
      <c r="H976" s="3" t="s">
        <v>45</v>
      </c>
      <c r="I976" s="3">
        <v>2025</v>
      </c>
      <c r="J976" s="3" t="str">
        <f>CONCATENATE("54820023007")</f>
        <v>54820023007</v>
      </c>
      <c r="K976" s="3" t="s">
        <v>33</v>
      </c>
      <c r="L976" s="3"/>
      <c r="M976" s="3" t="s">
        <v>131</v>
      </c>
      <c r="N976" s="3" t="str">
        <f>CONCATENATE("VLRLRS64M21B352T")</f>
        <v>VLRLRS64M21B352T</v>
      </c>
      <c r="O976" s="3" t="s">
        <v>1101</v>
      </c>
      <c r="P976" s="3" t="s">
        <v>36</v>
      </c>
      <c r="Q976" s="3"/>
      <c r="R976" s="4">
        <v>45996</v>
      </c>
      <c r="S976" s="3" t="s">
        <v>37</v>
      </c>
      <c r="T976" s="3" t="s">
        <v>38</v>
      </c>
      <c r="U976" s="3" t="s">
        <v>39</v>
      </c>
      <c r="V976" s="3">
        <v>364.14</v>
      </c>
      <c r="W976" s="3">
        <v>154.76</v>
      </c>
      <c r="X976" s="3">
        <v>146.57</v>
      </c>
      <c r="Y976" s="3">
        <v>62.81</v>
      </c>
    </row>
    <row r="977" spans="1:25" ht="72.75" x14ac:dyDescent="0.25">
      <c r="A977" s="3" t="s">
        <v>26</v>
      </c>
      <c r="B977" s="3" t="s">
        <v>27</v>
      </c>
      <c r="C977" s="3" t="s">
        <v>28</v>
      </c>
      <c r="D977" s="3" t="s">
        <v>29</v>
      </c>
      <c r="E977" s="3" t="s">
        <v>228</v>
      </c>
      <c r="F977" s="3" t="s">
        <v>31</v>
      </c>
      <c r="G977" s="3" t="s">
        <v>228</v>
      </c>
      <c r="H977" s="3" t="s">
        <v>45</v>
      </c>
      <c r="I977" s="3">
        <v>2025</v>
      </c>
      <c r="J977" s="3" t="str">
        <f>CONCATENATE("54820055413")</f>
        <v>54820055413</v>
      </c>
      <c r="K977" s="3" t="s">
        <v>33</v>
      </c>
      <c r="L977" s="3"/>
      <c r="M977" s="3" t="s">
        <v>131</v>
      </c>
      <c r="N977" s="3" t="str">
        <f>CONCATENATE("TMBRMN71E52D749A")</f>
        <v>TMBRMN71E52D749A</v>
      </c>
      <c r="O977" s="3" t="s">
        <v>1102</v>
      </c>
      <c r="P977" s="3" t="s">
        <v>36</v>
      </c>
      <c r="Q977" s="3"/>
      <c r="R977" s="4">
        <v>45996</v>
      </c>
      <c r="S977" s="3" t="s">
        <v>37</v>
      </c>
      <c r="T977" s="3" t="s">
        <v>38</v>
      </c>
      <c r="U977" s="3" t="s">
        <v>39</v>
      </c>
      <c r="V977" s="3">
        <v>162.96</v>
      </c>
      <c r="W977" s="3">
        <v>69.260000000000005</v>
      </c>
      <c r="X977" s="3">
        <v>65.59</v>
      </c>
      <c r="Y977" s="3">
        <v>28.11</v>
      </c>
    </row>
    <row r="978" spans="1:25" ht="60.75" x14ac:dyDescent="0.25">
      <c r="A978" s="3" t="s">
        <v>26</v>
      </c>
      <c r="B978" s="3" t="s">
        <v>27</v>
      </c>
      <c r="C978" s="3" t="s">
        <v>28</v>
      </c>
      <c r="D978" s="3" t="s">
        <v>29</v>
      </c>
      <c r="E978" s="3" t="s">
        <v>56</v>
      </c>
      <c r="F978" s="3" t="s">
        <v>31</v>
      </c>
      <c r="G978" s="3" t="s">
        <v>56</v>
      </c>
      <c r="H978" s="3" t="s">
        <v>32</v>
      </c>
      <c r="I978" s="3">
        <v>2025</v>
      </c>
      <c r="J978" s="3" t="str">
        <f>CONCATENATE("54820012299")</f>
        <v>54820012299</v>
      </c>
      <c r="K978" s="3" t="s">
        <v>33</v>
      </c>
      <c r="L978" s="3"/>
      <c r="M978" s="3" t="s">
        <v>131</v>
      </c>
      <c r="N978" s="3" t="str">
        <f>CONCATENATE("BDLGRG68L02D429Q")</f>
        <v>BDLGRG68L02D429Q</v>
      </c>
      <c r="O978" s="3" t="s">
        <v>1103</v>
      </c>
      <c r="P978" s="3" t="s">
        <v>36</v>
      </c>
      <c r="Q978" s="3"/>
      <c r="R978" s="4">
        <v>45996</v>
      </c>
      <c r="S978" s="3" t="s">
        <v>37</v>
      </c>
      <c r="T978" s="3" t="s">
        <v>38</v>
      </c>
      <c r="U978" s="3" t="s">
        <v>39</v>
      </c>
      <c r="V978" s="3">
        <v>119.66</v>
      </c>
      <c r="W978" s="3">
        <v>50.86</v>
      </c>
      <c r="X978" s="3">
        <v>48.16</v>
      </c>
      <c r="Y978" s="3">
        <v>20.64</v>
      </c>
    </row>
    <row r="979" spans="1:25" ht="60.75" x14ac:dyDescent="0.25">
      <c r="A979" s="3" t="s">
        <v>26</v>
      </c>
      <c r="B979" s="3" t="s">
        <v>27</v>
      </c>
      <c r="C979" s="3" t="s">
        <v>28</v>
      </c>
      <c r="D979" s="3" t="s">
        <v>50</v>
      </c>
      <c r="E979" s="3" t="s">
        <v>252</v>
      </c>
      <c r="F979" s="3" t="s">
        <v>52</v>
      </c>
      <c r="G979" s="3" t="s">
        <v>252</v>
      </c>
      <c r="H979" s="3" t="s">
        <v>45</v>
      </c>
      <c r="I979" s="3">
        <v>2025</v>
      </c>
      <c r="J979" s="3" t="str">
        <f>CONCATENATE("54820071337")</f>
        <v>54820071337</v>
      </c>
      <c r="K979" s="3" t="s">
        <v>33</v>
      </c>
      <c r="L979" s="3"/>
      <c r="M979" s="3" t="s">
        <v>131</v>
      </c>
      <c r="N979" s="3" t="str">
        <f>CONCATENATE("PRSMRZ59M31D749J")</f>
        <v>PRSMRZ59M31D749J</v>
      </c>
      <c r="O979" s="3" t="s">
        <v>1104</v>
      </c>
      <c r="P979" s="3" t="s">
        <v>36</v>
      </c>
      <c r="Q979" s="3"/>
      <c r="R979" s="4">
        <v>45996</v>
      </c>
      <c r="S979" s="3" t="s">
        <v>37</v>
      </c>
      <c r="T979" s="3" t="s">
        <v>38</v>
      </c>
      <c r="U979" s="3" t="s">
        <v>39</v>
      </c>
      <c r="V979" s="3">
        <v>757.63</v>
      </c>
      <c r="W979" s="3">
        <v>321.99</v>
      </c>
      <c r="X979" s="3">
        <v>304.95</v>
      </c>
      <c r="Y979" s="3">
        <v>130.69</v>
      </c>
    </row>
    <row r="980" spans="1:25" ht="60.75" x14ac:dyDescent="0.25">
      <c r="A980" s="3" t="s">
        <v>26</v>
      </c>
      <c r="B980" s="3" t="s">
        <v>27</v>
      </c>
      <c r="C980" s="3" t="s">
        <v>28</v>
      </c>
      <c r="D980" s="3" t="s">
        <v>50</v>
      </c>
      <c r="E980" s="3" t="s">
        <v>448</v>
      </c>
      <c r="F980" s="3" t="s">
        <v>52</v>
      </c>
      <c r="G980" s="3" t="s">
        <v>448</v>
      </c>
      <c r="H980" s="3" t="s">
        <v>45</v>
      </c>
      <c r="I980" s="3">
        <v>2025</v>
      </c>
      <c r="J980" s="3" t="str">
        <f>CONCATENATE("54820143243")</f>
        <v>54820143243</v>
      </c>
      <c r="K980" s="3" t="s">
        <v>33</v>
      </c>
      <c r="L980" s="3"/>
      <c r="M980" s="3" t="s">
        <v>131</v>
      </c>
      <c r="N980" s="3" t="str">
        <f>CONCATENATE("FBRMRA38E65D488U")</f>
        <v>FBRMRA38E65D488U</v>
      </c>
      <c r="O980" s="3" t="s">
        <v>1105</v>
      </c>
      <c r="P980" s="3" t="s">
        <v>36</v>
      </c>
      <c r="Q980" s="3"/>
      <c r="R980" s="4">
        <v>45996</v>
      </c>
      <c r="S980" s="3" t="s">
        <v>37</v>
      </c>
      <c r="T980" s="3" t="s">
        <v>38</v>
      </c>
      <c r="U980" s="3" t="s">
        <v>39</v>
      </c>
      <c r="V980" s="3">
        <v>43.12</v>
      </c>
      <c r="W980" s="3">
        <v>18.329999999999998</v>
      </c>
      <c r="X980" s="3">
        <v>17.36</v>
      </c>
      <c r="Y980" s="3">
        <v>7.43</v>
      </c>
    </row>
    <row r="981" spans="1:25" ht="60.75" x14ac:dyDescent="0.25">
      <c r="A981" s="3" t="s">
        <v>26</v>
      </c>
      <c r="B981" s="3" t="s">
        <v>27</v>
      </c>
      <c r="C981" s="3" t="s">
        <v>28</v>
      </c>
      <c r="D981" s="3" t="s">
        <v>29</v>
      </c>
      <c r="E981" s="3" t="s">
        <v>56</v>
      </c>
      <c r="F981" s="3" t="s">
        <v>31</v>
      </c>
      <c r="G981" s="3" t="s">
        <v>56</v>
      </c>
      <c r="H981" s="3" t="s">
        <v>32</v>
      </c>
      <c r="I981" s="3">
        <v>2025</v>
      </c>
      <c r="J981" s="3" t="str">
        <f>CONCATENATE("54820123047")</f>
        <v>54820123047</v>
      </c>
      <c r="K981" s="3" t="s">
        <v>33</v>
      </c>
      <c r="L981" s="3"/>
      <c r="M981" s="3" t="s">
        <v>131</v>
      </c>
      <c r="N981" s="3" t="str">
        <f>CONCATENATE("RSSRRT76P30E783S")</f>
        <v>RSSRRT76P30E783S</v>
      </c>
      <c r="O981" s="3" t="s">
        <v>1106</v>
      </c>
      <c r="P981" s="3" t="s">
        <v>36</v>
      </c>
      <c r="Q981" s="3"/>
      <c r="R981" s="4">
        <v>45996</v>
      </c>
      <c r="S981" s="3" t="s">
        <v>37</v>
      </c>
      <c r="T981" s="3" t="s">
        <v>38</v>
      </c>
      <c r="U981" s="3" t="s">
        <v>39</v>
      </c>
      <c r="V981" s="3">
        <v>158.16</v>
      </c>
      <c r="W981" s="3">
        <v>67.22</v>
      </c>
      <c r="X981" s="3">
        <v>63.66</v>
      </c>
      <c r="Y981" s="3">
        <v>27.28</v>
      </c>
    </row>
    <row r="982" spans="1:25" ht="60.75" x14ac:dyDescent="0.25">
      <c r="A982" s="3" t="s">
        <v>26</v>
      </c>
      <c r="B982" s="3" t="s">
        <v>27</v>
      </c>
      <c r="C982" s="3" t="s">
        <v>28</v>
      </c>
      <c r="D982" s="3" t="s">
        <v>29</v>
      </c>
      <c r="E982" s="3" t="s">
        <v>47</v>
      </c>
      <c r="F982" s="3" t="s">
        <v>31</v>
      </c>
      <c r="G982" s="3" t="s">
        <v>47</v>
      </c>
      <c r="H982" s="3" t="s">
        <v>48</v>
      </c>
      <c r="I982" s="3">
        <v>2025</v>
      </c>
      <c r="J982" s="3" t="str">
        <f>CONCATENATE("54820072855")</f>
        <v>54820072855</v>
      </c>
      <c r="K982" s="3" t="s">
        <v>33</v>
      </c>
      <c r="L982" s="3"/>
      <c r="M982" s="3" t="s">
        <v>131</v>
      </c>
      <c r="N982" s="3" t="str">
        <f>CONCATENATE("ZMPGNN59T26A329E")</f>
        <v>ZMPGNN59T26A329E</v>
      </c>
      <c r="O982" s="3" t="s">
        <v>1107</v>
      </c>
      <c r="P982" s="3" t="s">
        <v>36</v>
      </c>
      <c r="Q982" s="3"/>
      <c r="R982" s="4">
        <v>45996</v>
      </c>
      <c r="S982" s="3" t="s">
        <v>37</v>
      </c>
      <c r="T982" s="3" t="s">
        <v>38</v>
      </c>
      <c r="U982" s="3" t="s">
        <v>39</v>
      </c>
      <c r="V982" s="3">
        <v>214.57</v>
      </c>
      <c r="W982" s="3">
        <v>91.19</v>
      </c>
      <c r="X982" s="3">
        <v>86.36</v>
      </c>
      <c r="Y982" s="3">
        <v>37.020000000000003</v>
      </c>
    </row>
    <row r="983" spans="1:25" ht="60.75" x14ac:dyDescent="0.25">
      <c r="A983" s="3" t="s">
        <v>26</v>
      </c>
      <c r="B983" s="3" t="s">
        <v>27</v>
      </c>
      <c r="C983" s="3" t="s">
        <v>28</v>
      </c>
      <c r="D983" s="3" t="s">
        <v>50</v>
      </c>
      <c r="E983" s="3" t="s">
        <v>149</v>
      </c>
      <c r="F983" s="3" t="s">
        <v>52</v>
      </c>
      <c r="G983" s="3" t="s">
        <v>149</v>
      </c>
      <c r="H983" s="3" t="s">
        <v>96</v>
      </c>
      <c r="I983" s="3">
        <v>2025</v>
      </c>
      <c r="J983" s="3" t="str">
        <f>CONCATENATE("54820119854")</f>
        <v>54820119854</v>
      </c>
      <c r="K983" s="3" t="s">
        <v>33</v>
      </c>
      <c r="L983" s="3"/>
      <c r="M983" s="3" t="s">
        <v>131</v>
      </c>
      <c r="N983" s="3" t="str">
        <f>CONCATENATE("DMTSTN48L20L597W")</f>
        <v>DMTSTN48L20L597W</v>
      </c>
      <c r="O983" s="3" t="s">
        <v>1108</v>
      </c>
      <c r="P983" s="3" t="s">
        <v>36</v>
      </c>
      <c r="Q983" s="3"/>
      <c r="R983" s="4">
        <v>45996</v>
      </c>
      <c r="S983" s="3" t="s">
        <v>37</v>
      </c>
      <c r="T983" s="3" t="s">
        <v>38</v>
      </c>
      <c r="U983" s="3" t="s">
        <v>39</v>
      </c>
      <c r="V983" s="5">
        <v>1687.5</v>
      </c>
      <c r="W983" s="3">
        <v>717.19</v>
      </c>
      <c r="X983" s="3">
        <v>679.22</v>
      </c>
      <c r="Y983" s="3">
        <v>291.08999999999997</v>
      </c>
    </row>
    <row r="984" spans="1:25" ht="60.75" x14ac:dyDescent="0.25">
      <c r="A984" s="3" t="s">
        <v>26</v>
      </c>
      <c r="B984" s="3" t="s">
        <v>27</v>
      </c>
      <c r="C984" s="3" t="s">
        <v>28</v>
      </c>
      <c r="D984" s="3" t="s">
        <v>104</v>
      </c>
      <c r="E984" s="3" t="s">
        <v>268</v>
      </c>
      <c r="F984" s="3" t="s">
        <v>104</v>
      </c>
      <c r="G984" s="3" t="s">
        <v>268</v>
      </c>
      <c r="H984" s="3" t="s">
        <v>32</v>
      </c>
      <c r="I984" s="3">
        <v>2025</v>
      </c>
      <c r="J984" s="3" t="str">
        <f>CONCATENATE("54820063243")</f>
        <v>54820063243</v>
      </c>
      <c r="K984" s="3" t="s">
        <v>33</v>
      </c>
      <c r="L984" s="3"/>
      <c r="M984" s="3" t="s">
        <v>131</v>
      </c>
      <c r="N984" s="3" t="str">
        <f>CONCATENATE("SCPGNE53L01B562O")</f>
        <v>SCPGNE53L01B562O</v>
      </c>
      <c r="O984" s="3" t="s">
        <v>1109</v>
      </c>
      <c r="P984" s="3" t="s">
        <v>36</v>
      </c>
      <c r="Q984" s="3"/>
      <c r="R984" s="4">
        <v>45996</v>
      </c>
      <c r="S984" s="3" t="s">
        <v>37</v>
      </c>
      <c r="T984" s="3" t="s">
        <v>38</v>
      </c>
      <c r="U984" s="3" t="s">
        <v>39</v>
      </c>
      <c r="V984" s="3">
        <v>85.37</v>
      </c>
      <c r="W984" s="3">
        <v>36.28</v>
      </c>
      <c r="X984" s="3">
        <v>34.36</v>
      </c>
      <c r="Y984" s="3">
        <v>14.73</v>
      </c>
    </row>
    <row r="985" spans="1:25" ht="36.75" x14ac:dyDescent="0.25">
      <c r="A985" s="3" t="s">
        <v>26</v>
      </c>
      <c r="B985" s="3" t="s">
        <v>27</v>
      </c>
      <c r="C985" s="3" t="s">
        <v>28</v>
      </c>
      <c r="D985" s="3" t="s">
        <v>40</v>
      </c>
      <c r="E985" s="3" t="s">
        <v>54</v>
      </c>
      <c r="F985" s="3" t="s">
        <v>42</v>
      </c>
      <c r="G985" s="3" t="s">
        <v>54</v>
      </c>
      <c r="H985" s="3" t="s">
        <v>45</v>
      </c>
      <c r="I985" s="3">
        <v>2025</v>
      </c>
      <c r="J985" s="3" t="str">
        <f>CONCATENATE("54820063318")</f>
        <v>54820063318</v>
      </c>
      <c r="K985" s="3" t="s">
        <v>33</v>
      </c>
      <c r="L985" s="3"/>
      <c r="M985" s="3" t="s">
        <v>131</v>
      </c>
      <c r="N985" s="3" t="str">
        <f>CONCATENATE("02724330416")</f>
        <v>02724330416</v>
      </c>
      <c r="O985" s="3" t="s">
        <v>1110</v>
      </c>
      <c r="P985" s="3" t="s">
        <v>36</v>
      </c>
      <c r="Q985" s="3"/>
      <c r="R985" s="4">
        <v>45996</v>
      </c>
      <c r="S985" s="3" t="s">
        <v>37</v>
      </c>
      <c r="T985" s="3" t="s">
        <v>38</v>
      </c>
      <c r="U985" s="3" t="s">
        <v>39</v>
      </c>
      <c r="V985" s="3">
        <v>565.94000000000005</v>
      </c>
      <c r="W985" s="3">
        <v>240.52</v>
      </c>
      <c r="X985" s="3">
        <v>227.79</v>
      </c>
      <c r="Y985" s="3">
        <v>97.63</v>
      </c>
    </row>
    <row r="986" spans="1:25" ht="60.75" x14ac:dyDescent="0.25">
      <c r="A986" s="3" t="s">
        <v>26</v>
      </c>
      <c r="B986" s="3" t="s">
        <v>27</v>
      </c>
      <c r="C986" s="3" t="s">
        <v>28</v>
      </c>
      <c r="D986" s="3" t="s">
        <v>29</v>
      </c>
      <c r="E986" s="3" t="s">
        <v>72</v>
      </c>
      <c r="F986" s="3" t="s">
        <v>31</v>
      </c>
      <c r="G986" s="3" t="s">
        <v>72</v>
      </c>
      <c r="H986" s="3" t="s">
        <v>45</v>
      </c>
      <c r="I986" s="3">
        <v>2025</v>
      </c>
      <c r="J986" s="3" t="str">
        <f>CONCATENATE("54820081997")</f>
        <v>54820081997</v>
      </c>
      <c r="K986" s="3" t="s">
        <v>33</v>
      </c>
      <c r="L986" s="3"/>
      <c r="M986" s="3" t="s">
        <v>131</v>
      </c>
      <c r="N986" s="3" t="str">
        <f>CONCATENATE("CVRLCU33S66D809A")</f>
        <v>CVRLCU33S66D809A</v>
      </c>
      <c r="O986" s="3" t="s">
        <v>1111</v>
      </c>
      <c r="P986" s="3" t="s">
        <v>36</v>
      </c>
      <c r="Q986" s="3"/>
      <c r="R986" s="4">
        <v>45996</v>
      </c>
      <c r="S986" s="3" t="s">
        <v>37</v>
      </c>
      <c r="T986" s="3" t="s">
        <v>38</v>
      </c>
      <c r="U986" s="3" t="s">
        <v>39</v>
      </c>
      <c r="V986" s="3">
        <v>56.17</v>
      </c>
      <c r="W986" s="3">
        <v>23.87</v>
      </c>
      <c r="X986" s="3">
        <v>22.61</v>
      </c>
      <c r="Y986" s="3">
        <v>9.69</v>
      </c>
    </row>
    <row r="987" spans="1:25" ht="60.75" x14ac:dyDescent="0.25">
      <c r="A987" s="3" t="s">
        <v>26</v>
      </c>
      <c r="B987" s="3" t="s">
        <v>27</v>
      </c>
      <c r="C987" s="3" t="s">
        <v>28</v>
      </c>
      <c r="D987" s="3" t="s">
        <v>29</v>
      </c>
      <c r="E987" s="3" t="s">
        <v>233</v>
      </c>
      <c r="F987" s="3" t="s">
        <v>31</v>
      </c>
      <c r="G987" s="3" t="s">
        <v>233</v>
      </c>
      <c r="H987" s="3" t="s">
        <v>96</v>
      </c>
      <c r="I987" s="3">
        <v>2025</v>
      </c>
      <c r="J987" s="3" t="str">
        <f>CONCATENATE("54820063714")</f>
        <v>54820063714</v>
      </c>
      <c r="K987" s="3" t="s">
        <v>33</v>
      </c>
      <c r="L987" s="3"/>
      <c r="M987" s="3" t="s">
        <v>131</v>
      </c>
      <c r="N987" s="3" t="str">
        <f>CONCATENATE("TBLDNC44H47F516Z")</f>
        <v>TBLDNC44H47F516Z</v>
      </c>
      <c r="O987" s="3" t="s">
        <v>1112</v>
      </c>
      <c r="P987" s="3" t="s">
        <v>36</v>
      </c>
      <c r="Q987" s="3"/>
      <c r="R987" s="4">
        <v>45996</v>
      </c>
      <c r="S987" s="3" t="s">
        <v>37</v>
      </c>
      <c r="T987" s="3" t="s">
        <v>38</v>
      </c>
      <c r="U987" s="3" t="s">
        <v>39</v>
      </c>
      <c r="V987" s="3">
        <v>89.55</v>
      </c>
      <c r="W987" s="3">
        <v>38.06</v>
      </c>
      <c r="X987" s="3">
        <v>36.04</v>
      </c>
      <c r="Y987" s="3">
        <v>15.45</v>
      </c>
    </row>
    <row r="988" spans="1:25" ht="36.75" x14ac:dyDescent="0.25">
      <c r="A988" s="3" t="s">
        <v>26</v>
      </c>
      <c r="B988" s="3" t="s">
        <v>27</v>
      </c>
      <c r="C988" s="3" t="s">
        <v>28</v>
      </c>
      <c r="D988" s="3" t="s">
        <v>29</v>
      </c>
      <c r="E988" s="3" t="s">
        <v>233</v>
      </c>
      <c r="F988" s="3" t="s">
        <v>31</v>
      </c>
      <c r="G988" s="3" t="s">
        <v>233</v>
      </c>
      <c r="H988" s="3" t="s">
        <v>96</v>
      </c>
      <c r="I988" s="3">
        <v>2025</v>
      </c>
      <c r="J988" s="3" t="str">
        <f>CONCATENATE("54820114327")</f>
        <v>54820114327</v>
      </c>
      <c r="K988" s="3" t="s">
        <v>33</v>
      </c>
      <c r="L988" s="3"/>
      <c r="M988" s="3" t="s">
        <v>131</v>
      </c>
      <c r="N988" s="3" t="str">
        <f>CONCATENATE("00356320440")</f>
        <v>00356320440</v>
      </c>
      <c r="O988" s="3" t="s">
        <v>1113</v>
      </c>
      <c r="P988" s="3" t="s">
        <v>36</v>
      </c>
      <c r="Q988" s="3"/>
      <c r="R988" s="4">
        <v>45996</v>
      </c>
      <c r="S988" s="3" t="s">
        <v>37</v>
      </c>
      <c r="T988" s="3" t="s">
        <v>38</v>
      </c>
      <c r="U988" s="3" t="s">
        <v>39</v>
      </c>
      <c r="V988" s="5">
        <v>1085.06</v>
      </c>
      <c r="W988" s="3">
        <v>461.15</v>
      </c>
      <c r="X988" s="3">
        <v>436.74</v>
      </c>
      <c r="Y988" s="3">
        <v>187.17</v>
      </c>
    </row>
    <row r="989" spans="1:25" ht="60.75" x14ac:dyDescent="0.25">
      <c r="A989" s="3" t="s">
        <v>26</v>
      </c>
      <c r="B989" s="3" t="s">
        <v>27</v>
      </c>
      <c r="C989" s="3" t="s">
        <v>28</v>
      </c>
      <c r="D989" s="3" t="s">
        <v>29</v>
      </c>
      <c r="E989" s="3" t="s">
        <v>101</v>
      </c>
      <c r="F989" s="3" t="s">
        <v>31</v>
      </c>
      <c r="G989" s="3" t="s">
        <v>101</v>
      </c>
      <c r="H989" s="3" t="s">
        <v>32</v>
      </c>
      <c r="I989" s="3">
        <v>2025</v>
      </c>
      <c r="J989" s="3" t="str">
        <f>CONCATENATE("54820081690")</f>
        <v>54820081690</v>
      </c>
      <c r="K989" s="3" t="s">
        <v>33</v>
      </c>
      <c r="L989" s="3"/>
      <c r="M989" s="3" t="s">
        <v>131</v>
      </c>
      <c r="N989" s="3" t="str">
        <f>CONCATENATE("CPRGZL61L64B474Z")</f>
        <v>CPRGZL61L64B474Z</v>
      </c>
      <c r="O989" s="3" t="s">
        <v>1114</v>
      </c>
      <c r="P989" s="3" t="s">
        <v>36</v>
      </c>
      <c r="Q989" s="3"/>
      <c r="R989" s="4">
        <v>45996</v>
      </c>
      <c r="S989" s="3" t="s">
        <v>37</v>
      </c>
      <c r="T989" s="3" t="s">
        <v>38</v>
      </c>
      <c r="U989" s="3" t="s">
        <v>39</v>
      </c>
      <c r="V989" s="3">
        <v>466.51</v>
      </c>
      <c r="W989" s="3">
        <v>198.27</v>
      </c>
      <c r="X989" s="3">
        <v>187.77</v>
      </c>
      <c r="Y989" s="3">
        <v>80.47</v>
      </c>
    </row>
    <row r="990" spans="1:25" ht="36.75" x14ac:dyDescent="0.25">
      <c r="A990" s="3" t="s">
        <v>26</v>
      </c>
      <c r="B990" s="3" t="s">
        <v>27</v>
      </c>
      <c r="C990" s="3" t="s">
        <v>28</v>
      </c>
      <c r="D990" s="3" t="s">
        <v>29</v>
      </c>
      <c r="E990" s="3" t="s">
        <v>182</v>
      </c>
      <c r="F990" s="3" t="s">
        <v>31</v>
      </c>
      <c r="G990" s="3" t="s">
        <v>182</v>
      </c>
      <c r="H990" s="3" t="s">
        <v>45</v>
      </c>
      <c r="I990" s="3">
        <v>2025</v>
      </c>
      <c r="J990" s="3" t="str">
        <f>CONCATENATE("54820140298")</f>
        <v>54820140298</v>
      </c>
      <c r="K990" s="3" t="s">
        <v>33</v>
      </c>
      <c r="L990" s="3"/>
      <c r="M990" s="3" t="s">
        <v>131</v>
      </c>
      <c r="N990" s="3" t="str">
        <f>CONCATENATE("02635080415")</f>
        <v>02635080415</v>
      </c>
      <c r="O990" s="3" t="s">
        <v>1115</v>
      </c>
      <c r="P990" s="3" t="s">
        <v>36</v>
      </c>
      <c r="Q990" s="3"/>
      <c r="R990" s="4">
        <v>45996</v>
      </c>
      <c r="S990" s="3" t="s">
        <v>37</v>
      </c>
      <c r="T990" s="3" t="s">
        <v>38</v>
      </c>
      <c r="U990" s="3" t="s">
        <v>39</v>
      </c>
      <c r="V990" s="3">
        <v>159.21</v>
      </c>
      <c r="W990" s="3">
        <v>67.66</v>
      </c>
      <c r="X990" s="3">
        <v>64.08</v>
      </c>
      <c r="Y990" s="3">
        <v>27.47</v>
      </c>
    </row>
    <row r="991" spans="1:25" ht="60.75" x14ac:dyDescent="0.25">
      <c r="A991" s="3" t="s">
        <v>26</v>
      </c>
      <c r="B991" s="3" t="s">
        <v>27</v>
      </c>
      <c r="C991" s="3" t="s">
        <v>28</v>
      </c>
      <c r="D991" s="3" t="s">
        <v>29</v>
      </c>
      <c r="E991" s="3" t="s">
        <v>182</v>
      </c>
      <c r="F991" s="3" t="s">
        <v>31</v>
      </c>
      <c r="G991" s="3" t="s">
        <v>182</v>
      </c>
      <c r="H991" s="3" t="s">
        <v>45</v>
      </c>
      <c r="I991" s="3">
        <v>2025</v>
      </c>
      <c r="J991" s="3" t="str">
        <f>CONCATENATE("54820105747")</f>
        <v>54820105747</v>
      </c>
      <c r="K991" s="3" t="s">
        <v>33</v>
      </c>
      <c r="L991" s="3"/>
      <c r="M991" s="3" t="s">
        <v>131</v>
      </c>
      <c r="N991" s="3" t="str">
        <f>CONCATENATE("CLNLDN63C51L500Q")</f>
        <v>CLNLDN63C51L500Q</v>
      </c>
      <c r="O991" s="3" t="s">
        <v>1116</v>
      </c>
      <c r="P991" s="3" t="s">
        <v>36</v>
      </c>
      <c r="Q991" s="3"/>
      <c r="R991" s="4">
        <v>45996</v>
      </c>
      <c r="S991" s="3" t="s">
        <v>37</v>
      </c>
      <c r="T991" s="3" t="s">
        <v>38</v>
      </c>
      <c r="U991" s="3" t="s">
        <v>39</v>
      </c>
      <c r="V991" s="3">
        <v>156.69999999999999</v>
      </c>
      <c r="W991" s="3">
        <v>66.599999999999994</v>
      </c>
      <c r="X991" s="3">
        <v>63.07</v>
      </c>
      <c r="Y991" s="3">
        <v>27.03</v>
      </c>
    </row>
    <row r="992" spans="1:25" ht="60.75" x14ac:dyDescent="0.25">
      <c r="A992" s="3" t="s">
        <v>26</v>
      </c>
      <c r="B992" s="3" t="s">
        <v>27</v>
      </c>
      <c r="C992" s="3" t="s">
        <v>28</v>
      </c>
      <c r="D992" s="3" t="s">
        <v>29</v>
      </c>
      <c r="E992" s="3" t="s">
        <v>119</v>
      </c>
      <c r="F992" s="3" t="s">
        <v>31</v>
      </c>
      <c r="G992" s="3" t="s">
        <v>119</v>
      </c>
      <c r="H992" s="3" t="s">
        <v>96</v>
      </c>
      <c r="I992" s="3">
        <v>2025</v>
      </c>
      <c r="J992" s="3" t="str">
        <f>CONCATENATE("54820049861")</f>
        <v>54820049861</v>
      </c>
      <c r="K992" s="3" t="s">
        <v>33</v>
      </c>
      <c r="L992" s="3"/>
      <c r="M992" s="3" t="s">
        <v>131</v>
      </c>
      <c r="N992" s="3" t="str">
        <f>CONCATENATE("NTNFNC79M01A252P")</f>
        <v>NTNFNC79M01A252P</v>
      </c>
      <c r="O992" s="3" t="s">
        <v>1117</v>
      </c>
      <c r="P992" s="3" t="s">
        <v>36</v>
      </c>
      <c r="Q992" s="3"/>
      <c r="R992" s="4">
        <v>45996</v>
      </c>
      <c r="S992" s="3" t="s">
        <v>37</v>
      </c>
      <c r="T992" s="3" t="s">
        <v>38</v>
      </c>
      <c r="U992" s="3" t="s">
        <v>39</v>
      </c>
      <c r="V992" s="3">
        <v>56.26</v>
      </c>
      <c r="W992" s="3">
        <v>23.91</v>
      </c>
      <c r="X992" s="3">
        <v>22.64</v>
      </c>
      <c r="Y992" s="3">
        <v>9.7100000000000009</v>
      </c>
    </row>
    <row r="993" spans="1:25" ht="60.75" x14ac:dyDescent="0.25">
      <c r="A993" s="3" t="s">
        <v>26</v>
      </c>
      <c r="B993" s="3" t="s">
        <v>27</v>
      </c>
      <c r="C993" s="3" t="s">
        <v>28</v>
      </c>
      <c r="D993" s="3" t="s">
        <v>29</v>
      </c>
      <c r="E993" s="3" t="s">
        <v>56</v>
      </c>
      <c r="F993" s="3" t="s">
        <v>31</v>
      </c>
      <c r="G993" s="3" t="s">
        <v>56</v>
      </c>
      <c r="H993" s="3" t="s">
        <v>32</v>
      </c>
      <c r="I993" s="3">
        <v>2025</v>
      </c>
      <c r="J993" s="3" t="str">
        <f>CONCATENATE("54820122767")</f>
        <v>54820122767</v>
      </c>
      <c r="K993" s="3" t="s">
        <v>33</v>
      </c>
      <c r="L993" s="3"/>
      <c r="M993" s="3" t="s">
        <v>131</v>
      </c>
      <c r="N993" s="3" t="str">
        <f>CONCATENATE("QTDJMG85S25Z605N")</f>
        <v>QTDJMG85S25Z605N</v>
      </c>
      <c r="O993" s="3" t="s">
        <v>1118</v>
      </c>
      <c r="P993" s="3" t="s">
        <v>36</v>
      </c>
      <c r="Q993" s="3"/>
      <c r="R993" s="4">
        <v>45996</v>
      </c>
      <c r="S993" s="3" t="s">
        <v>37</v>
      </c>
      <c r="T993" s="3" t="s">
        <v>38</v>
      </c>
      <c r="U993" s="3" t="s">
        <v>39</v>
      </c>
      <c r="V993" s="3">
        <v>165.97</v>
      </c>
      <c r="W993" s="3">
        <v>70.540000000000006</v>
      </c>
      <c r="X993" s="3">
        <v>66.8</v>
      </c>
      <c r="Y993" s="3">
        <v>28.63</v>
      </c>
    </row>
    <row r="994" spans="1:25" ht="60.75" x14ac:dyDescent="0.25">
      <c r="A994" s="3" t="s">
        <v>26</v>
      </c>
      <c r="B994" s="3" t="s">
        <v>27</v>
      </c>
      <c r="C994" s="3" t="s">
        <v>28</v>
      </c>
      <c r="D994" s="3" t="s">
        <v>29</v>
      </c>
      <c r="E994" s="3" t="s">
        <v>136</v>
      </c>
      <c r="F994" s="3" t="s">
        <v>31</v>
      </c>
      <c r="G994" s="3" t="s">
        <v>136</v>
      </c>
      <c r="H994" s="3" t="s">
        <v>48</v>
      </c>
      <c r="I994" s="3">
        <v>2025</v>
      </c>
      <c r="J994" s="3" t="str">
        <f>CONCATENATE("54820110093")</f>
        <v>54820110093</v>
      </c>
      <c r="K994" s="3" t="s">
        <v>33</v>
      </c>
      <c r="L994" s="3"/>
      <c r="M994" s="3" t="s">
        <v>131</v>
      </c>
      <c r="N994" s="3" t="str">
        <f>CONCATENATE("BNMLEA42B45I461Y")</f>
        <v>BNMLEA42B45I461Y</v>
      </c>
      <c r="O994" s="3" t="s">
        <v>1119</v>
      </c>
      <c r="P994" s="3" t="s">
        <v>36</v>
      </c>
      <c r="Q994" s="3"/>
      <c r="R994" s="4">
        <v>45996</v>
      </c>
      <c r="S994" s="3" t="s">
        <v>37</v>
      </c>
      <c r="T994" s="3" t="s">
        <v>38</v>
      </c>
      <c r="U994" s="3" t="s">
        <v>39</v>
      </c>
      <c r="V994" s="3">
        <v>121.86</v>
      </c>
      <c r="W994" s="3">
        <v>51.79</v>
      </c>
      <c r="X994" s="3">
        <v>49.05</v>
      </c>
      <c r="Y994" s="3">
        <v>21.02</v>
      </c>
    </row>
    <row r="995" spans="1:25" ht="72.75" x14ac:dyDescent="0.25">
      <c r="A995" s="3" t="s">
        <v>26</v>
      </c>
      <c r="B995" s="3" t="s">
        <v>27</v>
      </c>
      <c r="C995" s="3" t="s">
        <v>28</v>
      </c>
      <c r="D995" s="3" t="s">
        <v>29</v>
      </c>
      <c r="E995" s="3" t="s">
        <v>56</v>
      </c>
      <c r="F995" s="3" t="s">
        <v>31</v>
      </c>
      <c r="G995" s="3" t="s">
        <v>56</v>
      </c>
      <c r="H995" s="3" t="s">
        <v>32</v>
      </c>
      <c r="I995" s="3">
        <v>2025</v>
      </c>
      <c r="J995" s="3" t="str">
        <f>CONCATENATE("54820046669")</f>
        <v>54820046669</v>
      </c>
      <c r="K995" s="3" t="s">
        <v>33</v>
      </c>
      <c r="L995" s="3"/>
      <c r="M995" s="3" t="s">
        <v>131</v>
      </c>
      <c r="N995" s="3" t="str">
        <f>CONCATENATE("BRGRRT63A18D429U")</f>
        <v>BRGRRT63A18D429U</v>
      </c>
      <c r="O995" s="3" t="s">
        <v>1120</v>
      </c>
      <c r="P995" s="3" t="s">
        <v>36</v>
      </c>
      <c r="Q995" s="3"/>
      <c r="R995" s="4">
        <v>45996</v>
      </c>
      <c r="S995" s="3" t="s">
        <v>37</v>
      </c>
      <c r="T995" s="3" t="s">
        <v>38</v>
      </c>
      <c r="U995" s="3" t="s">
        <v>39</v>
      </c>
      <c r="V995" s="3">
        <v>635.97</v>
      </c>
      <c r="W995" s="3">
        <v>270.29000000000002</v>
      </c>
      <c r="X995" s="3">
        <v>255.98</v>
      </c>
      <c r="Y995" s="3">
        <v>109.7</v>
      </c>
    </row>
    <row r="996" spans="1:25" ht="60.75" x14ac:dyDescent="0.25">
      <c r="A996" s="3" t="s">
        <v>26</v>
      </c>
      <c r="B996" s="3" t="s">
        <v>27</v>
      </c>
      <c r="C996" s="3" t="s">
        <v>28</v>
      </c>
      <c r="D996" s="3" t="s">
        <v>50</v>
      </c>
      <c r="E996" s="3" t="s">
        <v>1121</v>
      </c>
      <c r="F996" s="3" t="s">
        <v>52</v>
      </c>
      <c r="G996" s="3" t="s">
        <v>1121</v>
      </c>
      <c r="H996" s="3" t="s">
        <v>48</v>
      </c>
      <c r="I996" s="3">
        <v>2025</v>
      </c>
      <c r="J996" s="3" t="str">
        <f>CONCATENATE("54820076773")</f>
        <v>54820076773</v>
      </c>
      <c r="K996" s="3" t="s">
        <v>33</v>
      </c>
      <c r="L996" s="3"/>
      <c r="M996" s="3" t="s">
        <v>131</v>
      </c>
      <c r="N996" s="3" t="str">
        <f>CONCATENATE("SNNGPP58D29A978L")</f>
        <v>SNNGPP58D29A978L</v>
      </c>
      <c r="O996" s="3" t="s">
        <v>1122</v>
      </c>
      <c r="P996" s="3" t="s">
        <v>36</v>
      </c>
      <c r="Q996" s="3"/>
      <c r="R996" s="4">
        <v>45996</v>
      </c>
      <c r="S996" s="3" t="s">
        <v>37</v>
      </c>
      <c r="T996" s="3" t="s">
        <v>38</v>
      </c>
      <c r="U996" s="3" t="s">
        <v>39</v>
      </c>
      <c r="V996" s="3">
        <v>280.27</v>
      </c>
      <c r="W996" s="3">
        <v>119.11</v>
      </c>
      <c r="X996" s="3">
        <v>112.81</v>
      </c>
      <c r="Y996" s="3">
        <v>48.35</v>
      </c>
    </row>
    <row r="997" spans="1:25" ht="60.75" x14ac:dyDescent="0.25">
      <c r="A997" s="3" t="s">
        <v>26</v>
      </c>
      <c r="B997" s="3" t="s">
        <v>27</v>
      </c>
      <c r="C997" s="3" t="s">
        <v>28</v>
      </c>
      <c r="D997" s="3" t="s">
        <v>50</v>
      </c>
      <c r="E997" s="3" t="s">
        <v>147</v>
      </c>
      <c r="F997" s="3" t="s">
        <v>52</v>
      </c>
      <c r="G997" s="3" t="s">
        <v>147</v>
      </c>
      <c r="H997" s="3" t="s">
        <v>45</v>
      </c>
      <c r="I997" s="3">
        <v>2025</v>
      </c>
      <c r="J997" s="3" t="str">
        <f>CONCATENATE("54820171467")</f>
        <v>54820171467</v>
      </c>
      <c r="K997" s="3" t="s">
        <v>33</v>
      </c>
      <c r="L997" s="3"/>
      <c r="M997" s="3" t="s">
        <v>131</v>
      </c>
      <c r="N997" s="3" t="str">
        <f>CONCATENATE("CGRNNI55E26A978V")</f>
        <v>CGRNNI55E26A978V</v>
      </c>
      <c r="O997" s="3" t="s">
        <v>1123</v>
      </c>
      <c r="P997" s="3" t="s">
        <v>36</v>
      </c>
      <c r="Q997" s="3"/>
      <c r="R997" s="4">
        <v>45996</v>
      </c>
      <c r="S997" s="3" t="s">
        <v>37</v>
      </c>
      <c r="T997" s="3" t="s">
        <v>38</v>
      </c>
      <c r="U997" s="3" t="s">
        <v>39</v>
      </c>
      <c r="V997" s="3">
        <v>569.15</v>
      </c>
      <c r="W997" s="3">
        <v>241.89</v>
      </c>
      <c r="X997" s="3">
        <v>229.08</v>
      </c>
      <c r="Y997" s="3">
        <v>98.18</v>
      </c>
    </row>
    <row r="998" spans="1:25" ht="60.75" x14ac:dyDescent="0.25">
      <c r="A998" s="3" t="s">
        <v>26</v>
      </c>
      <c r="B998" s="3" t="s">
        <v>27</v>
      </c>
      <c r="C998" s="3" t="s">
        <v>28</v>
      </c>
      <c r="D998" s="3" t="s">
        <v>312</v>
      </c>
      <c r="E998" s="3" t="s">
        <v>313</v>
      </c>
      <c r="F998" s="3" t="s">
        <v>314</v>
      </c>
      <c r="G998" s="3" t="s">
        <v>313</v>
      </c>
      <c r="H998" s="3" t="s">
        <v>96</v>
      </c>
      <c r="I998" s="3">
        <v>2025</v>
      </c>
      <c r="J998" s="3" t="str">
        <f>CONCATENATE("54820240973")</f>
        <v>54820240973</v>
      </c>
      <c r="K998" s="3" t="s">
        <v>33</v>
      </c>
      <c r="L998" s="3"/>
      <c r="M998" s="3" t="s">
        <v>131</v>
      </c>
      <c r="N998" s="3" t="str">
        <f>CONCATENATE("STNRMN78L01A462S")</f>
        <v>STNRMN78L01A462S</v>
      </c>
      <c r="O998" s="3" t="s">
        <v>1124</v>
      </c>
      <c r="P998" s="3" t="s">
        <v>36</v>
      </c>
      <c r="Q998" s="3"/>
      <c r="R998" s="4">
        <v>45996</v>
      </c>
      <c r="S998" s="3" t="s">
        <v>37</v>
      </c>
      <c r="T998" s="3" t="s">
        <v>38</v>
      </c>
      <c r="U998" s="3" t="s">
        <v>39</v>
      </c>
      <c r="V998" s="5">
        <v>3674.77</v>
      </c>
      <c r="W998" s="5">
        <v>1561.78</v>
      </c>
      <c r="X998" s="5">
        <v>1479.09</v>
      </c>
      <c r="Y998" s="3">
        <v>633.9</v>
      </c>
    </row>
    <row r="999" spans="1:25" ht="36.75" x14ac:dyDescent="0.25">
      <c r="A999" s="3" t="s">
        <v>26</v>
      </c>
      <c r="B999" s="3" t="s">
        <v>27</v>
      </c>
      <c r="C999" s="3" t="s">
        <v>28</v>
      </c>
      <c r="D999" s="3" t="s">
        <v>29</v>
      </c>
      <c r="E999" s="3" t="s">
        <v>80</v>
      </c>
      <c r="F999" s="3" t="s">
        <v>31</v>
      </c>
      <c r="G999" s="3" t="s">
        <v>80</v>
      </c>
      <c r="H999" s="3" t="s">
        <v>45</v>
      </c>
      <c r="I999" s="3">
        <v>2025</v>
      </c>
      <c r="J999" s="3" t="str">
        <f>CONCATENATE("54820251681")</f>
        <v>54820251681</v>
      </c>
      <c r="K999" s="3" t="s">
        <v>33</v>
      </c>
      <c r="L999" s="3"/>
      <c r="M999" s="3" t="s">
        <v>131</v>
      </c>
      <c r="N999" s="3" t="str">
        <f>CONCATENATE("00322350414")</f>
        <v>00322350414</v>
      </c>
      <c r="O999" s="3" t="s">
        <v>1125</v>
      </c>
      <c r="P999" s="3" t="s">
        <v>36</v>
      </c>
      <c r="Q999" s="3"/>
      <c r="R999" s="4">
        <v>45996</v>
      </c>
      <c r="S999" s="3" t="s">
        <v>37</v>
      </c>
      <c r="T999" s="3" t="s">
        <v>38</v>
      </c>
      <c r="U999" s="3" t="s">
        <v>39</v>
      </c>
      <c r="V999" s="3">
        <v>706.66</v>
      </c>
      <c r="W999" s="3">
        <v>300.33</v>
      </c>
      <c r="X999" s="3">
        <v>284.43</v>
      </c>
      <c r="Y999" s="3">
        <v>121.9</v>
      </c>
    </row>
    <row r="1000" spans="1:25" ht="60.75" x14ac:dyDescent="0.25">
      <c r="A1000" s="3" t="s">
        <v>26</v>
      </c>
      <c r="B1000" s="3" t="s">
        <v>27</v>
      </c>
      <c r="C1000" s="3" t="s">
        <v>28</v>
      </c>
      <c r="D1000" s="3" t="s">
        <v>50</v>
      </c>
      <c r="E1000" s="3" t="s">
        <v>51</v>
      </c>
      <c r="F1000" s="3" t="s">
        <v>52</v>
      </c>
      <c r="G1000" s="3" t="s">
        <v>51</v>
      </c>
      <c r="H1000" s="3" t="s">
        <v>48</v>
      </c>
      <c r="I1000" s="3">
        <v>2025</v>
      </c>
      <c r="J1000" s="3" t="str">
        <f>CONCATENATE("54820165808")</f>
        <v>54820165808</v>
      </c>
      <c r="K1000" s="3" t="s">
        <v>33</v>
      </c>
      <c r="L1000" s="3"/>
      <c r="M1000" s="3" t="s">
        <v>131</v>
      </c>
      <c r="N1000" s="3" t="str">
        <f>CONCATENATE("CSNGFR43S07D965H")</f>
        <v>CSNGFR43S07D965H</v>
      </c>
      <c r="O1000" s="3" t="s">
        <v>1126</v>
      </c>
      <c r="P1000" s="3" t="s">
        <v>36</v>
      </c>
      <c r="Q1000" s="3"/>
      <c r="R1000" s="4">
        <v>45996</v>
      </c>
      <c r="S1000" s="3" t="s">
        <v>37</v>
      </c>
      <c r="T1000" s="3" t="s">
        <v>38</v>
      </c>
      <c r="U1000" s="3" t="s">
        <v>39</v>
      </c>
      <c r="V1000" s="3">
        <v>111.44</v>
      </c>
      <c r="W1000" s="3">
        <v>47.36</v>
      </c>
      <c r="X1000" s="3">
        <v>44.85</v>
      </c>
      <c r="Y1000" s="3">
        <v>19.23</v>
      </c>
    </row>
    <row r="1001" spans="1:25" ht="60.75" x14ac:dyDescent="0.25">
      <c r="A1001" s="3" t="s">
        <v>26</v>
      </c>
      <c r="B1001" s="3" t="s">
        <v>27</v>
      </c>
      <c r="C1001" s="3" t="s">
        <v>28</v>
      </c>
      <c r="D1001" s="3" t="s">
        <v>50</v>
      </c>
      <c r="E1001" s="3" t="s">
        <v>147</v>
      </c>
      <c r="F1001" s="3" t="s">
        <v>52</v>
      </c>
      <c r="G1001" s="3" t="s">
        <v>147</v>
      </c>
      <c r="H1001" s="3" t="s">
        <v>45</v>
      </c>
      <c r="I1001" s="3">
        <v>2025</v>
      </c>
      <c r="J1001" s="3" t="str">
        <f>CONCATENATE("54820182142")</f>
        <v>54820182142</v>
      </c>
      <c r="K1001" s="3" t="s">
        <v>33</v>
      </c>
      <c r="L1001" s="3"/>
      <c r="M1001" s="3" t="s">
        <v>131</v>
      </c>
      <c r="N1001" s="3" t="str">
        <f>CONCATENATE("PSCMTT86M18L500D")</f>
        <v>PSCMTT86M18L500D</v>
      </c>
      <c r="O1001" s="3" t="s">
        <v>1127</v>
      </c>
      <c r="P1001" s="3" t="s">
        <v>36</v>
      </c>
      <c r="Q1001" s="3"/>
      <c r="R1001" s="4">
        <v>45996</v>
      </c>
      <c r="S1001" s="3" t="s">
        <v>37</v>
      </c>
      <c r="T1001" s="3" t="s">
        <v>38</v>
      </c>
      <c r="U1001" s="3" t="s">
        <v>39</v>
      </c>
      <c r="V1001" s="3">
        <v>565.55999999999995</v>
      </c>
      <c r="W1001" s="3">
        <v>240.36</v>
      </c>
      <c r="X1001" s="3">
        <v>227.64</v>
      </c>
      <c r="Y1001" s="3">
        <v>97.56</v>
      </c>
    </row>
    <row r="1002" spans="1:25" ht="60.75" x14ac:dyDescent="0.25">
      <c r="A1002" s="3" t="s">
        <v>26</v>
      </c>
      <c r="B1002" s="3" t="s">
        <v>27</v>
      </c>
      <c r="C1002" s="3" t="s">
        <v>28</v>
      </c>
      <c r="D1002" s="3" t="s">
        <v>104</v>
      </c>
      <c r="E1002" s="3" t="s">
        <v>141</v>
      </c>
      <c r="F1002" s="3" t="s">
        <v>104</v>
      </c>
      <c r="G1002" s="3" t="s">
        <v>141</v>
      </c>
      <c r="H1002" s="3" t="s">
        <v>96</v>
      </c>
      <c r="I1002" s="3">
        <v>2025</v>
      </c>
      <c r="J1002" s="3" t="str">
        <f>CONCATENATE("54820277561")</f>
        <v>54820277561</v>
      </c>
      <c r="K1002" s="3" t="s">
        <v>33</v>
      </c>
      <c r="L1002" s="3"/>
      <c r="M1002" s="3" t="s">
        <v>131</v>
      </c>
      <c r="N1002" s="3" t="str">
        <f>CONCATENATE("BRLCTN65L16F570M")</f>
        <v>BRLCTN65L16F570M</v>
      </c>
      <c r="O1002" s="3" t="s">
        <v>1128</v>
      </c>
      <c r="P1002" s="3" t="s">
        <v>36</v>
      </c>
      <c r="Q1002" s="3"/>
      <c r="R1002" s="4">
        <v>45996</v>
      </c>
      <c r="S1002" s="3" t="s">
        <v>37</v>
      </c>
      <c r="T1002" s="3" t="s">
        <v>38</v>
      </c>
      <c r="U1002" s="3" t="s">
        <v>39</v>
      </c>
      <c r="V1002" s="3">
        <v>189.75</v>
      </c>
      <c r="W1002" s="3">
        <v>80.64</v>
      </c>
      <c r="X1002" s="3">
        <v>76.37</v>
      </c>
      <c r="Y1002" s="3">
        <v>32.74</v>
      </c>
    </row>
    <row r="1003" spans="1:25" ht="60.75" x14ac:dyDescent="0.25">
      <c r="A1003" s="3" t="s">
        <v>26</v>
      </c>
      <c r="B1003" s="3" t="s">
        <v>27</v>
      </c>
      <c r="C1003" s="3" t="s">
        <v>28</v>
      </c>
      <c r="D1003" s="3" t="s">
        <v>104</v>
      </c>
      <c r="E1003" s="3" t="s">
        <v>141</v>
      </c>
      <c r="F1003" s="3" t="s">
        <v>104</v>
      </c>
      <c r="G1003" s="3" t="s">
        <v>141</v>
      </c>
      <c r="H1003" s="3" t="s">
        <v>96</v>
      </c>
      <c r="I1003" s="3">
        <v>2025</v>
      </c>
      <c r="J1003" s="3" t="str">
        <f>CONCATENATE("54820283387")</f>
        <v>54820283387</v>
      </c>
      <c r="K1003" s="3" t="s">
        <v>33</v>
      </c>
      <c r="L1003" s="3"/>
      <c r="M1003" s="3" t="s">
        <v>131</v>
      </c>
      <c r="N1003" s="3" t="str">
        <f>CONCATENATE("VNCNTN95S11H769C")</f>
        <v>VNCNTN95S11H769C</v>
      </c>
      <c r="O1003" s="3" t="s">
        <v>1129</v>
      </c>
      <c r="P1003" s="3" t="s">
        <v>36</v>
      </c>
      <c r="Q1003" s="3"/>
      <c r="R1003" s="4">
        <v>45996</v>
      </c>
      <c r="S1003" s="3" t="s">
        <v>37</v>
      </c>
      <c r="T1003" s="3" t="s">
        <v>38</v>
      </c>
      <c r="U1003" s="3" t="s">
        <v>39</v>
      </c>
      <c r="V1003" s="5">
        <v>5033.9799999999996</v>
      </c>
      <c r="W1003" s="5">
        <v>2139.44</v>
      </c>
      <c r="X1003" s="5">
        <v>2026.18</v>
      </c>
      <c r="Y1003" s="3">
        <v>868.36</v>
      </c>
    </row>
    <row r="1004" spans="1:25" ht="60.75" x14ac:dyDescent="0.25">
      <c r="A1004" s="3" t="s">
        <v>26</v>
      </c>
      <c r="B1004" s="3" t="s">
        <v>27</v>
      </c>
      <c r="C1004" s="3" t="s">
        <v>28</v>
      </c>
      <c r="D1004" s="3" t="s">
        <v>50</v>
      </c>
      <c r="E1004" s="3" t="s">
        <v>252</v>
      </c>
      <c r="F1004" s="3" t="s">
        <v>52</v>
      </c>
      <c r="G1004" s="3" t="s">
        <v>252</v>
      </c>
      <c r="H1004" s="3" t="s">
        <v>45</v>
      </c>
      <c r="I1004" s="3">
        <v>2025</v>
      </c>
      <c r="J1004" s="3" t="str">
        <f>CONCATENATE("54820181417")</f>
        <v>54820181417</v>
      </c>
      <c r="K1004" s="3" t="s">
        <v>33</v>
      </c>
      <c r="L1004" s="3"/>
      <c r="M1004" s="3" t="s">
        <v>131</v>
      </c>
      <c r="N1004" s="3" t="str">
        <f>CONCATENATE("MTTFNC53H22G479F")</f>
        <v>MTTFNC53H22G479F</v>
      </c>
      <c r="O1004" s="3" t="s">
        <v>1130</v>
      </c>
      <c r="P1004" s="3" t="s">
        <v>36</v>
      </c>
      <c r="Q1004" s="3"/>
      <c r="R1004" s="4">
        <v>45996</v>
      </c>
      <c r="S1004" s="3" t="s">
        <v>37</v>
      </c>
      <c r="T1004" s="3" t="s">
        <v>38</v>
      </c>
      <c r="U1004" s="3" t="s">
        <v>39</v>
      </c>
      <c r="V1004" s="3">
        <v>278.04000000000002</v>
      </c>
      <c r="W1004" s="3">
        <v>118.17</v>
      </c>
      <c r="X1004" s="3">
        <v>111.91</v>
      </c>
      <c r="Y1004" s="3">
        <v>47.96</v>
      </c>
    </row>
    <row r="1005" spans="1:25" ht="60.75" x14ac:dyDescent="0.25">
      <c r="A1005" s="3" t="s">
        <v>26</v>
      </c>
      <c r="B1005" s="3" t="s">
        <v>27</v>
      </c>
      <c r="C1005" s="3" t="s">
        <v>28</v>
      </c>
      <c r="D1005" s="3" t="s">
        <v>50</v>
      </c>
      <c r="E1005" s="3" t="s">
        <v>448</v>
      </c>
      <c r="F1005" s="3" t="s">
        <v>52</v>
      </c>
      <c r="G1005" s="3" t="s">
        <v>448</v>
      </c>
      <c r="H1005" s="3" t="s">
        <v>45</v>
      </c>
      <c r="I1005" s="3">
        <v>2025</v>
      </c>
      <c r="J1005" s="3" t="str">
        <f>CONCATENATE("54820223193")</f>
        <v>54820223193</v>
      </c>
      <c r="K1005" s="3" t="s">
        <v>33</v>
      </c>
      <c r="L1005" s="3"/>
      <c r="M1005" s="3" t="s">
        <v>131</v>
      </c>
      <c r="N1005" s="3" t="str">
        <f>CONCATENATE("FRTMRA63E02H958S")</f>
        <v>FRTMRA63E02H958S</v>
      </c>
      <c r="O1005" s="3" t="s">
        <v>1131</v>
      </c>
      <c r="P1005" s="3" t="s">
        <v>36</v>
      </c>
      <c r="Q1005" s="3"/>
      <c r="R1005" s="4">
        <v>45996</v>
      </c>
      <c r="S1005" s="3" t="s">
        <v>37</v>
      </c>
      <c r="T1005" s="3" t="s">
        <v>38</v>
      </c>
      <c r="U1005" s="3" t="s">
        <v>39</v>
      </c>
      <c r="V1005" s="3">
        <v>156.85</v>
      </c>
      <c r="W1005" s="3">
        <v>66.66</v>
      </c>
      <c r="X1005" s="3">
        <v>63.13</v>
      </c>
      <c r="Y1005" s="3">
        <v>27.06</v>
      </c>
    </row>
    <row r="1006" spans="1:25" ht="60.75" x14ac:dyDescent="0.25">
      <c r="A1006" s="3" t="s">
        <v>26</v>
      </c>
      <c r="B1006" s="3" t="s">
        <v>27</v>
      </c>
      <c r="C1006" s="3" t="s">
        <v>28</v>
      </c>
      <c r="D1006" s="3" t="s">
        <v>29</v>
      </c>
      <c r="E1006" s="3" t="s">
        <v>72</v>
      </c>
      <c r="F1006" s="3" t="s">
        <v>31</v>
      </c>
      <c r="G1006" s="3" t="s">
        <v>72</v>
      </c>
      <c r="H1006" s="3" t="s">
        <v>45</v>
      </c>
      <c r="I1006" s="3">
        <v>2025</v>
      </c>
      <c r="J1006" s="3" t="str">
        <f>CONCATENATE("54820275011")</f>
        <v>54820275011</v>
      </c>
      <c r="K1006" s="3" t="s">
        <v>33</v>
      </c>
      <c r="L1006" s="3"/>
      <c r="M1006" s="3" t="s">
        <v>131</v>
      </c>
      <c r="N1006" s="3" t="str">
        <f>CONCATENATE("BRGVTR89B61L500N")</f>
        <v>BRGVTR89B61L500N</v>
      </c>
      <c r="O1006" s="3" t="s">
        <v>1132</v>
      </c>
      <c r="P1006" s="3" t="s">
        <v>36</v>
      </c>
      <c r="Q1006" s="3"/>
      <c r="R1006" s="4">
        <v>45996</v>
      </c>
      <c r="S1006" s="3" t="s">
        <v>37</v>
      </c>
      <c r="T1006" s="3" t="s">
        <v>38</v>
      </c>
      <c r="U1006" s="3" t="s">
        <v>39</v>
      </c>
      <c r="V1006" s="3">
        <v>433.42</v>
      </c>
      <c r="W1006" s="3">
        <v>184.2</v>
      </c>
      <c r="X1006" s="3">
        <v>174.45</v>
      </c>
      <c r="Y1006" s="3">
        <v>74.77</v>
      </c>
    </row>
    <row r="1007" spans="1:25" ht="60.75" x14ac:dyDescent="0.25">
      <c r="A1007" s="3" t="s">
        <v>26</v>
      </c>
      <c r="B1007" s="3" t="s">
        <v>27</v>
      </c>
      <c r="C1007" s="3" t="s">
        <v>28</v>
      </c>
      <c r="D1007" s="3" t="s">
        <v>50</v>
      </c>
      <c r="E1007" s="3" t="s">
        <v>1133</v>
      </c>
      <c r="F1007" s="3" t="s">
        <v>52</v>
      </c>
      <c r="G1007" s="3" t="s">
        <v>1133</v>
      </c>
      <c r="H1007" s="3" t="s">
        <v>45</v>
      </c>
      <c r="I1007" s="3">
        <v>2025</v>
      </c>
      <c r="J1007" s="3" t="str">
        <f>CONCATENATE("54820368543")</f>
        <v>54820368543</v>
      </c>
      <c r="K1007" s="3" t="s">
        <v>33</v>
      </c>
      <c r="L1007" s="3"/>
      <c r="M1007" s="3" t="s">
        <v>131</v>
      </c>
      <c r="N1007" s="3" t="str">
        <f>CONCATENATE("MCCMRA74C24G479V")</f>
        <v>MCCMRA74C24G479V</v>
      </c>
      <c r="O1007" s="3" t="s">
        <v>1134</v>
      </c>
      <c r="P1007" s="3" t="s">
        <v>36</v>
      </c>
      <c r="Q1007" s="3"/>
      <c r="R1007" s="4">
        <v>45996</v>
      </c>
      <c r="S1007" s="3" t="s">
        <v>37</v>
      </c>
      <c r="T1007" s="3" t="s">
        <v>38</v>
      </c>
      <c r="U1007" s="3" t="s">
        <v>39</v>
      </c>
      <c r="V1007" s="3">
        <v>179.43</v>
      </c>
      <c r="W1007" s="3">
        <v>76.260000000000005</v>
      </c>
      <c r="X1007" s="3">
        <v>72.22</v>
      </c>
      <c r="Y1007" s="3">
        <v>30.95</v>
      </c>
    </row>
    <row r="1008" spans="1:25" ht="60.75" x14ac:dyDescent="0.25">
      <c r="A1008" s="3" t="s">
        <v>26</v>
      </c>
      <c r="B1008" s="3" t="s">
        <v>27</v>
      </c>
      <c r="C1008" s="3" t="s">
        <v>28</v>
      </c>
      <c r="D1008" s="3" t="s">
        <v>40</v>
      </c>
      <c r="E1008" s="3" t="s">
        <v>44</v>
      </c>
      <c r="F1008" s="3" t="s">
        <v>42</v>
      </c>
      <c r="G1008" s="3" t="s">
        <v>44</v>
      </c>
      <c r="H1008" s="3" t="s">
        <v>32</v>
      </c>
      <c r="I1008" s="3">
        <v>2025</v>
      </c>
      <c r="J1008" s="3" t="str">
        <f>CONCATENATE("54820238662")</f>
        <v>54820238662</v>
      </c>
      <c r="K1008" s="3" t="s">
        <v>33</v>
      </c>
      <c r="L1008" s="3"/>
      <c r="M1008" s="3" t="s">
        <v>131</v>
      </c>
      <c r="N1008" s="3" t="str">
        <f>CONCATENATE("RCCPRI60D14I148F")</f>
        <v>RCCPRI60D14I148F</v>
      </c>
      <c r="O1008" s="3" t="s">
        <v>1135</v>
      </c>
      <c r="P1008" s="3" t="s">
        <v>36</v>
      </c>
      <c r="Q1008" s="3"/>
      <c r="R1008" s="4">
        <v>45996</v>
      </c>
      <c r="S1008" s="3" t="s">
        <v>37</v>
      </c>
      <c r="T1008" s="3" t="s">
        <v>38</v>
      </c>
      <c r="U1008" s="3" t="s">
        <v>39</v>
      </c>
      <c r="V1008" s="3">
        <v>122.01</v>
      </c>
      <c r="W1008" s="3">
        <v>51.85</v>
      </c>
      <c r="X1008" s="3">
        <v>49.11</v>
      </c>
      <c r="Y1008" s="3">
        <v>21.05</v>
      </c>
    </row>
    <row r="1009" spans="1:25" ht="72.75" x14ac:dyDescent="0.25">
      <c r="A1009" s="3" t="s">
        <v>26</v>
      </c>
      <c r="B1009" s="3" t="s">
        <v>27</v>
      </c>
      <c r="C1009" s="3" t="s">
        <v>28</v>
      </c>
      <c r="D1009" s="3" t="s">
        <v>29</v>
      </c>
      <c r="E1009" s="3" t="s">
        <v>119</v>
      </c>
      <c r="F1009" s="3" t="s">
        <v>31</v>
      </c>
      <c r="G1009" s="3" t="s">
        <v>119</v>
      </c>
      <c r="H1009" s="3" t="s">
        <v>96</v>
      </c>
      <c r="I1009" s="3">
        <v>2025</v>
      </c>
      <c r="J1009" s="3" t="str">
        <f>CONCATENATE("54820218342")</f>
        <v>54820218342</v>
      </c>
      <c r="K1009" s="3" t="s">
        <v>33</v>
      </c>
      <c r="L1009" s="3"/>
      <c r="M1009" s="3" t="s">
        <v>131</v>
      </c>
      <c r="N1009" s="3" t="str">
        <f>CONCATENATE("VTLMSM70H06A252D")</f>
        <v>VTLMSM70H06A252D</v>
      </c>
      <c r="O1009" s="3" t="s">
        <v>1136</v>
      </c>
      <c r="P1009" s="3" t="s">
        <v>36</v>
      </c>
      <c r="Q1009" s="3"/>
      <c r="R1009" s="4">
        <v>45996</v>
      </c>
      <c r="S1009" s="3" t="s">
        <v>37</v>
      </c>
      <c r="T1009" s="3" t="s">
        <v>38</v>
      </c>
      <c r="U1009" s="3" t="s">
        <v>39</v>
      </c>
      <c r="V1009" s="3">
        <v>711.71</v>
      </c>
      <c r="W1009" s="3">
        <v>302.48</v>
      </c>
      <c r="X1009" s="3">
        <v>286.45999999999998</v>
      </c>
      <c r="Y1009" s="3">
        <v>122.77</v>
      </c>
    </row>
    <row r="1010" spans="1:25" ht="36.75" x14ac:dyDescent="0.25">
      <c r="A1010" s="3" t="s">
        <v>26</v>
      </c>
      <c r="B1010" s="3" t="s">
        <v>27</v>
      </c>
      <c r="C1010" s="3" t="s">
        <v>28</v>
      </c>
      <c r="D1010" s="3" t="s">
        <v>104</v>
      </c>
      <c r="E1010" s="3" t="s">
        <v>141</v>
      </c>
      <c r="F1010" s="3" t="s">
        <v>104</v>
      </c>
      <c r="G1010" s="3" t="s">
        <v>141</v>
      </c>
      <c r="H1010" s="3" t="s">
        <v>96</v>
      </c>
      <c r="I1010" s="3">
        <v>2025</v>
      </c>
      <c r="J1010" s="3" t="str">
        <f>CONCATENATE("54820283304")</f>
        <v>54820283304</v>
      </c>
      <c r="K1010" s="3" t="s">
        <v>33</v>
      </c>
      <c r="L1010" s="3"/>
      <c r="M1010" s="3" t="s">
        <v>131</v>
      </c>
      <c r="N1010" s="3" t="str">
        <f>CONCATENATE("02531460448")</f>
        <v>02531460448</v>
      </c>
      <c r="O1010" s="3" t="s">
        <v>1137</v>
      </c>
      <c r="P1010" s="3" t="s">
        <v>36</v>
      </c>
      <c r="Q1010" s="3"/>
      <c r="R1010" s="4">
        <v>45996</v>
      </c>
      <c r="S1010" s="3" t="s">
        <v>37</v>
      </c>
      <c r="T1010" s="3" t="s">
        <v>38</v>
      </c>
      <c r="U1010" s="3" t="s">
        <v>39</v>
      </c>
      <c r="V1010" s="3">
        <v>885.24</v>
      </c>
      <c r="W1010" s="3">
        <v>376.23</v>
      </c>
      <c r="X1010" s="3">
        <v>356.31</v>
      </c>
      <c r="Y1010" s="3">
        <v>152.69999999999999</v>
      </c>
    </row>
    <row r="1011" spans="1:25" ht="36.75" x14ac:dyDescent="0.25">
      <c r="A1011" s="3" t="s">
        <v>26</v>
      </c>
      <c r="B1011" s="3" t="s">
        <v>27</v>
      </c>
      <c r="C1011" s="3" t="s">
        <v>28</v>
      </c>
      <c r="D1011" s="3" t="s">
        <v>91</v>
      </c>
      <c r="E1011" s="3" t="s">
        <v>92</v>
      </c>
      <c r="F1011" s="3" t="s">
        <v>93</v>
      </c>
      <c r="G1011" s="3" t="s">
        <v>92</v>
      </c>
      <c r="H1011" s="3" t="s">
        <v>48</v>
      </c>
      <c r="I1011" s="3">
        <v>2025</v>
      </c>
      <c r="J1011" s="3" t="str">
        <f>CONCATENATE("54820290986")</f>
        <v>54820290986</v>
      </c>
      <c r="K1011" s="3" t="s">
        <v>33</v>
      </c>
      <c r="L1011" s="3"/>
      <c r="M1011" s="3" t="s">
        <v>131</v>
      </c>
      <c r="N1011" s="3" t="str">
        <f>CONCATENATE("02713340426")</f>
        <v>02713340426</v>
      </c>
      <c r="O1011" s="3" t="s">
        <v>1138</v>
      </c>
      <c r="P1011" s="3" t="s">
        <v>36</v>
      </c>
      <c r="Q1011" s="3"/>
      <c r="R1011" s="4">
        <v>45996</v>
      </c>
      <c r="S1011" s="3" t="s">
        <v>37</v>
      </c>
      <c r="T1011" s="3" t="s">
        <v>38</v>
      </c>
      <c r="U1011" s="3" t="s">
        <v>39</v>
      </c>
      <c r="V1011" s="3">
        <v>216.59</v>
      </c>
      <c r="W1011" s="3">
        <v>92.05</v>
      </c>
      <c r="X1011" s="3">
        <v>87.18</v>
      </c>
      <c r="Y1011" s="3">
        <v>37.36</v>
      </c>
    </row>
    <row r="1012" spans="1:25" ht="60.75" x14ac:dyDescent="0.25">
      <c r="A1012" s="3" t="s">
        <v>26</v>
      </c>
      <c r="B1012" s="3" t="s">
        <v>27</v>
      </c>
      <c r="C1012" s="3" t="s">
        <v>28</v>
      </c>
      <c r="D1012" s="3" t="s">
        <v>29</v>
      </c>
      <c r="E1012" s="3" t="s">
        <v>56</v>
      </c>
      <c r="F1012" s="3" t="s">
        <v>31</v>
      </c>
      <c r="G1012" s="3" t="s">
        <v>56</v>
      </c>
      <c r="H1012" s="3" t="s">
        <v>32</v>
      </c>
      <c r="I1012" s="3">
        <v>2025</v>
      </c>
      <c r="J1012" s="3" t="str">
        <f>CONCATENATE("54820271440")</f>
        <v>54820271440</v>
      </c>
      <c r="K1012" s="3" t="s">
        <v>33</v>
      </c>
      <c r="L1012" s="3"/>
      <c r="M1012" s="3" t="s">
        <v>131</v>
      </c>
      <c r="N1012" s="3" t="str">
        <f>CONCATENATE("STRPLA73L17B474W")</f>
        <v>STRPLA73L17B474W</v>
      </c>
      <c r="O1012" s="3" t="s">
        <v>1139</v>
      </c>
      <c r="P1012" s="3" t="s">
        <v>36</v>
      </c>
      <c r="Q1012" s="3"/>
      <c r="R1012" s="4">
        <v>45996</v>
      </c>
      <c r="S1012" s="3" t="s">
        <v>37</v>
      </c>
      <c r="T1012" s="3" t="s">
        <v>38</v>
      </c>
      <c r="U1012" s="3" t="s">
        <v>39</v>
      </c>
      <c r="V1012" s="5">
        <v>1234.81</v>
      </c>
      <c r="W1012" s="3">
        <v>524.79</v>
      </c>
      <c r="X1012" s="3">
        <v>497.01</v>
      </c>
      <c r="Y1012" s="3">
        <v>213.01</v>
      </c>
    </row>
    <row r="1013" spans="1:25" ht="72.75" x14ac:dyDescent="0.25">
      <c r="A1013" s="3" t="s">
        <v>26</v>
      </c>
      <c r="B1013" s="3" t="s">
        <v>27</v>
      </c>
      <c r="C1013" s="3" t="s">
        <v>28</v>
      </c>
      <c r="D1013" s="3" t="s">
        <v>104</v>
      </c>
      <c r="E1013" s="3" t="s">
        <v>141</v>
      </c>
      <c r="F1013" s="3" t="s">
        <v>104</v>
      </c>
      <c r="G1013" s="3" t="s">
        <v>141</v>
      </c>
      <c r="H1013" s="3" t="s">
        <v>96</v>
      </c>
      <c r="I1013" s="3">
        <v>2025</v>
      </c>
      <c r="J1013" s="3" t="str">
        <f>CONCATENATE("54820281217")</f>
        <v>54820281217</v>
      </c>
      <c r="K1013" s="3" t="s">
        <v>33</v>
      </c>
      <c r="L1013" s="3"/>
      <c r="M1013" s="3" t="s">
        <v>131</v>
      </c>
      <c r="N1013" s="3" t="str">
        <f>CONCATENATE("MRNMRZ57H11F509V")</f>
        <v>MRNMRZ57H11F509V</v>
      </c>
      <c r="O1013" s="3" t="s">
        <v>1140</v>
      </c>
      <c r="P1013" s="3" t="s">
        <v>36</v>
      </c>
      <c r="Q1013" s="3"/>
      <c r="R1013" s="4">
        <v>45996</v>
      </c>
      <c r="S1013" s="3" t="s">
        <v>37</v>
      </c>
      <c r="T1013" s="3" t="s">
        <v>38</v>
      </c>
      <c r="U1013" s="3" t="s">
        <v>39</v>
      </c>
      <c r="V1013" s="3">
        <v>104.44</v>
      </c>
      <c r="W1013" s="3">
        <v>44.39</v>
      </c>
      <c r="X1013" s="3">
        <v>42.04</v>
      </c>
      <c r="Y1013" s="3">
        <v>18.010000000000002</v>
      </c>
    </row>
    <row r="1014" spans="1:25" ht="36.75" x14ac:dyDescent="0.25">
      <c r="A1014" s="3" t="s">
        <v>26</v>
      </c>
      <c r="B1014" s="3" t="s">
        <v>27</v>
      </c>
      <c r="C1014" s="3" t="s">
        <v>28</v>
      </c>
      <c r="D1014" s="3" t="s">
        <v>29</v>
      </c>
      <c r="E1014" s="3" t="s">
        <v>56</v>
      </c>
      <c r="F1014" s="3" t="s">
        <v>31</v>
      </c>
      <c r="G1014" s="3" t="s">
        <v>56</v>
      </c>
      <c r="H1014" s="3" t="s">
        <v>32</v>
      </c>
      <c r="I1014" s="3">
        <v>2025</v>
      </c>
      <c r="J1014" s="3" t="str">
        <f>CONCATENATE("54820261326")</f>
        <v>54820261326</v>
      </c>
      <c r="K1014" s="3" t="s">
        <v>33</v>
      </c>
      <c r="L1014" s="3"/>
      <c r="M1014" s="3" t="s">
        <v>131</v>
      </c>
      <c r="N1014" s="3" t="str">
        <f>CONCATENATE("01710950435")</f>
        <v>01710950435</v>
      </c>
      <c r="O1014" s="3" t="s">
        <v>1141</v>
      </c>
      <c r="P1014" s="3" t="s">
        <v>36</v>
      </c>
      <c r="Q1014" s="3"/>
      <c r="R1014" s="4">
        <v>45996</v>
      </c>
      <c r="S1014" s="3" t="s">
        <v>37</v>
      </c>
      <c r="T1014" s="3" t="s">
        <v>38</v>
      </c>
      <c r="U1014" s="3" t="s">
        <v>39</v>
      </c>
      <c r="V1014" s="5">
        <v>1259.3699999999999</v>
      </c>
      <c r="W1014" s="3">
        <v>535.23</v>
      </c>
      <c r="X1014" s="3">
        <v>506.9</v>
      </c>
      <c r="Y1014" s="3">
        <v>217.24</v>
      </c>
    </row>
    <row r="1015" spans="1:25" ht="60.75" x14ac:dyDescent="0.25">
      <c r="A1015" s="3" t="s">
        <v>26</v>
      </c>
      <c r="B1015" s="3" t="s">
        <v>27</v>
      </c>
      <c r="C1015" s="3" t="s">
        <v>28</v>
      </c>
      <c r="D1015" s="3" t="s">
        <v>50</v>
      </c>
      <c r="E1015" s="3" t="s">
        <v>252</v>
      </c>
      <c r="F1015" s="3" t="s">
        <v>52</v>
      </c>
      <c r="G1015" s="3" t="s">
        <v>252</v>
      </c>
      <c r="H1015" s="3" t="s">
        <v>45</v>
      </c>
      <c r="I1015" s="3">
        <v>2025</v>
      </c>
      <c r="J1015" s="3" t="str">
        <f>CONCATENATE("54820290739")</f>
        <v>54820290739</v>
      </c>
      <c r="K1015" s="3" t="s">
        <v>33</v>
      </c>
      <c r="L1015" s="3"/>
      <c r="M1015" s="3" t="s">
        <v>131</v>
      </c>
      <c r="N1015" s="3" t="str">
        <f>CONCATENATE("LTZLCU71C20A639R")</f>
        <v>LTZLCU71C20A639R</v>
      </c>
      <c r="O1015" s="3" t="s">
        <v>1142</v>
      </c>
      <c r="P1015" s="3" t="s">
        <v>36</v>
      </c>
      <c r="Q1015" s="3"/>
      <c r="R1015" s="4">
        <v>45996</v>
      </c>
      <c r="S1015" s="3" t="s">
        <v>37</v>
      </c>
      <c r="T1015" s="3" t="s">
        <v>38</v>
      </c>
      <c r="U1015" s="3" t="s">
        <v>39</v>
      </c>
      <c r="V1015" s="3">
        <v>218.65</v>
      </c>
      <c r="W1015" s="3">
        <v>92.93</v>
      </c>
      <c r="X1015" s="3">
        <v>88.01</v>
      </c>
      <c r="Y1015" s="3">
        <v>37.71</v>
      </c>
    </row>
    <row r="1016" spans="1:25" ht="60.75" x14ac:dyDescent="0.25">
      <c r="A1016" s="3" t="s">
        <v>26</v>
      </c>
      <c r="B1016" s="3" t="s">
        <v>27</v>
      </c>
      <c r="C1016" s="3" t="s">
        <v>28</v>
      </c>
      <c r="D1016" s="3" t="s">
        <v>91</v>
      </c>
      <c r="E1016" s="3" t="s">
        <v>151</v>
      </c>
      <c r="F1016" s="3" t="s">
        <v>93</v>
      </c>
      <c r="G1016" s="3" t="s">
        <v>151</v>
      </c>
      <c r="H1016" s="3" t="s">
        <v>45</v>
      </c>
      <c r="I1016" s="3">
        <v>2025</v>
      </c>
      <c r="J1016" s="3" t="str">
        <f>CONCATENATE("54820235254")</f>
        <v>54820235254</v>
      </c>
      <c r="K1016" s="3" t="s">
        <v>33</v>
      </c>
      <c r="L1016" s="3"/>
      <c r="M1016" s="3" t="s">
        <v>131</v>
      </c>
      <c r="N1016" s="3" t="str">
        <f>CONCATENATE("PRNGPR58D24G453C")</f>
        <v>PRNGPR58D24G453C</v>
      </c>
      <c r="O1016" s="3" t="s">
        <v>1143</v>
      </c>
      <c r="P1016" s="3" t="s">
        <v>36</v>
      </c>
      <c r="Q1016" s="3"/>
      <c r="R1016" s="4">
        <v>45996</v>
      </c>
      <c r="S1016" s="3" t="s">
        <v>37</v>
      </c>
      <c r="T1016" s="3" t="s">
        <v>38</v>
      </c>
      <c r="U1016" s="3" t="s">
        <v>39</v>
      </c>
      <c r="V1016" s="3">
        <v>178.18</v>
      </c>
      <c r="W1016" s="3">
        <v>75.73</v>
      </c>
      <c r="X1016" s="3">
        <v>71.72</v>
      </c>
      <c r="Y1016" s="3">
        <v>30.73</v>
      </c>
    </row>
    <row r="1017" spans="1:25" ht="72.75" x14ac:dyDescent="0.25">
      <c r="A1017" s="3" t="s">
        <v>26</v>
      </c>
      <c r="B1017" s="3" t="s">
        <v>27</v>
      </c>
      <c r="C1017" s="3" t="s">
        <v>28</v>
      </c>
      <c r="D1017" s="3" t="s">
        <v>104</v>
      </c>
      <c r="E1017" s="3" t="s">
        <v>141</v>
      </c>
      <c r="F1017" s="3" t="s">
        <v>104</v>
      </c>
      <c r="G1017" s="3" t="s">
        <v>141</v>
      </c>
      <c r="H1017" s="3" t="s">
        <v>96</v>
      </c>
      <c r="I1017" s="3">
        <v>2025</v>
      </c>
      <c r="J1017" s="3" t="str">
        <f>CONCATENATE("54820282025")</f>
        <v>54820282025</v>
      </c>
      <c r="K1017" s="3" t="s">
        <v>33</v>
      </c>
      <c r="L1017" s="3"/>
      <c r="M1017" s="3" t="s">
        <v>131</v>
      </c>
      <c r="N1017" s="3" t="str">
        <f>CONCATENATE("GNNLCU96D30A252H")</f>
        <v>GNNLCU96D30A252H</v>
      </c>
      <c r="O1017" s="3" t="s">
        <v>1144</v>
      </c>
      <c r="P1017" s="3" t="s">
        <v>36</v>
      </c>
      <c r="Q1017" s="3"/>
      <c r="R1017" s="4">
        <v>45996</v>
      </c>
      <c r="S1017" s="3" t="s">
        <v>37</v>
      </c>
      <c r="T1017" s="3" t="s">
        <v>38</v>
      </c>
      <c r="U1017" s="3" t="s">
        <v>39</v>
      </c>
      <c r="V1017" s="3">
        <v>89.71</v>
      </c>
      <c r="W1017" s="3">
        <v>38.130000000000003</v>
      </c>
      <c r="X1017" s="3">
        <v>36.11</v>
      </c>
      <c r="Y1017" s="3">
        <v>15.47</v>
      </c>
    </row>
    <row r="1018" spans="1:25" ht="36.75" x14ac:dyDescent="0.25">
      <c r="A1018" s="3" t="s">
        <v>26</v>
      </c>
      <c r="B1018" s="3" t="s">
        <v>27</v>
      </c>
      <c r="C1018" s="3" t="s">
        <v>28</v>
      </c>
      <c r="D1018" s="3" t="s">
        <v>29</v>
      </c>
      <c r="E1018" s="3" t="s">
        <v>47</v>
      </c>
      <c r="F1018" s="3" t="s">
        <v>31</v>
      </c>
      <c r="G1018" s="3" t="s">
        <v>47</v>
      </c>
      <c r="H1018" s="3" t="s">
        <v>48</v>
      </c>
      <c r="I1018" s="3">
        <v>2025</v>
      </c>
      <c r="J1018" s="3" t="str">
        <f>CONCATENATE("54820216619")</f>
        <v>54820216619</v>
      </c>
      <c r="K1018" s="3" t="s">
        <v>33</v>
      </c>
      <c r="L1018" s="3"/>
      <c r="M1018" s="3" t="s">
        <v>131</v>
      </c>
      <c r="N1018" s="3" t="str">
        <f>CONCATENATE("02771980428")</f>
        <v>02771980428</v>
      </c>
      <c r="O1018" s="3" t="s">
        <v>1145</v>
      </c>
      <c r="P1018" s="3" t="s">
        <v>36</v>
      </c>
      <c r="Q1018" s="3"/>
      <c r="R1018" s="4">
        <v>45996</v>
      </c>
      <c r="S1018" s="3" t="s">
        <v>37</v>
      </c>
      <c r="T1018" s="3" t="s">
        <v>38</v>
      </c>
      <c r="U1018" s="3" t="s">
        <v>39</v>
      </c>
      <c r="V1018" s="5">
        <v>1143.82</v>
      </c>
      <c r="W1018" s="3">
        <v>486.12</v>
      </c>
      <c r="X1018" s="3">
        <v>460.39</v>
      </c>
      <c r="Y1018" s="3">
        <v>197.31</v>
      </c>
    </row>
    <row r="1019" spans="1:25" ht="36.75" x14ac:dyDescent="0.25">
      <c r="A1019" s="3" t="s">
        <v>26</v>
      </c>
      <c r="B1019" s="3" t="s">
        <v>27</v>
      </c>
      <c r="C1019" s="3" t="s">
        <v>28</v>
      </c>
      <c r="D1019" s="3" t="s">
        <v>29</v>
      </c>
      <c r="E1019" s="3" t="s">
        <v>101</v>
      </c>
      <c r="F1019" s="3" t="s">
        <v>31</v>
      </c>
      <c r="G1019" s="3" t="s">
        <v>101</v>
      </c>
      <c r="H1019" s="3" t="s">
        <v>32</v>
      </c>
      <c r="I1019" s="3">
        <v>2025</v>
      </c>
      <c r="J1019" s="3" t="str">
        <f>CONCATENATE("54820239173")</f>
        <v>54820239173</v>
      </c>
      <c r="K1019" s="3" t="s">
        <v>33</v>
      </c>
      <c r="L1019" s="3"/>
      <c r="M1019" s="3" t="s">
        <v>131</v>
      </c>
      <c r="N1019" s="3" t="str">
        <f>CONCATENATE("01724150436")</f>
        <v>01724150436</v>
      </c>
      <c r="O1019" s="3" t="s">
        <v>1146</v>
      </c>
      <c r="P1019" s="3" t="s">
        <v>36</v>
      </c>
      <c r="Q1019" s="3"/>
      <c r="R1019" s="4">
        <v>45996</v>
      </c>
      <c r="S1019" s="3" t="s">
        <v>37</v>
      </c>
      <c r="T1019" s="3" t="s">
        <v>38</v>
      </c>
      <c r="U1019" s="3" t="s">
        <v>39</v>
      </c>
      <c r="V1019" s="3">
        <v>143.11000000000001</v>
      </c>
      <c r="W1019" s="3">
        <v>60.82</v>
      </c>
      <c r="X1019" s="3">
        <v>57.6</v>
      </c>
      <c r="Y1019" s="3">
        <v>24.69</v>
      </c>
    </row>
    <row r="1020" spans="1:25" ht="60.75" x14ac:dyDescent="0.25">
      <c r="A1020" s="3" t="s">
        <v>26</v>
      </c>
      <c r="B1020" s="3" t="s">
        <v>27</v>
      </c>
      <c r="C1020" s="3" t="s">
        <v>28</v>
      </c>
      <c r="D1020" s="3" t="s">
        <v>104</v>
      </c>
      <c r="E1020" s="3" t="s">
        <v>141</v>
      </c>
      <c r="F1020" s="3" t="s">
        <v>104</v>
      </c>
      <c r="G1020" s="3" t="s">
        <v>141</v>
      </c>
      <c r="H1020" s="3" t="s">
        <v>96</v>
      </c>
      <c r="I1020" s="3">
        <v>2025</v>
      </c>
      <c r="J1020" s="3" t="str">
        <f>CONCATENATE("54820277678")</f>
        <v>54820277678</v>
      </c>
      <c r="K1020" s="3" t="s">
        <v>33</v>
      </c>
      <c r="L1020" s="3"/>
      <c r="M1020" s="3" t="s">
        <v>131</v>
      </c>
      <c r="N1020" s="3" t="str">
        <f>CONCATENATE("FRTSFN96L15A252S")</f>
        <v>FRTSFN96L15A252S</v>
      </c>
      <c r="O1020" s="3" t="s">
        <v>1147</v>
      </c>
      <c r="P1020" s="3" t="s">
        <v>36</v>
      </c>
      <c r="Q1020" s="3"/>
      <c r="R1020" s="4">
        <v>45996</v>
      </c>
      <c r="S1020" s="3" t="s">
        <v>37</v>
      </c>
      <c r="T1020" s="3" t="s">
        <v>38</v>
      </c>
      <c r="U1020" s="3" t="s">
        <v>39</v>
      </c>
      <c r="V1020" s="3">
        <v>236.42</v>
      </c>
      <c r="W1020" s="3">
        <v>100.48</v>
      </c>
      <c r="X1020" s="3">
        <v>95.16</v>
      </c>
      <c r="Y1020" s="3">
        <v>40.78</v>
      </c>
    </row>
    <row r="1021" spans="1:25" ht="60.75" x14ac:dyDescent="0.25">
      <c r="A1021" s="3" t="s">
        <v>26</v>
      </c>
      <c r="B1021" s="3" t="s">
        <v>27</v>
      </c>
      <c r="C1021" s="3" t="s">
        <v>28</v>
      </c>
      <c r="D1021" s="3" t="s">
        <v>50</v>
      </c>
      <c r="E1021" s="3" t="s">
        <v>51</v>
      </c>
      <c r="F1021" s="3" t="s">
        <v>52</v>
      </c>
      <c r="G1021" s="3" t="s">
        <v>51</v>
      </c>
      <c r="H1021" s="3" t="s">
        <v>48</v>
      </c>
      <c r="I1021" s="3">
        <v>2025</v>
      </c>
      <c r="J1021" s="3" t="str">
        <f>CONCATENATE("54820363007")</f>
        <v>54820363007</v>
      </c>
      <c r="K1021" s="3" t="s">
        <v>33</v>
      </c>
      <c r="L1021" s="3"/>
      <c r="M1021" s="3" t="s">
        <v>131</v>
      </c>
      <c r="N1021" s="3" t="str">
        <f>CONCATENATE("CNTGPP42C69I653E")</f>
        <v>CNTGPP42C69I653E</v>
      </c>
      <c r="O1021" s="3" t="s">
        <v>1148</v>
      </c>
      <c r="P1021" s="3" t="s">
        <v>36</v>
      </c>
      <c r="Q1021" s="3"/>
      <c r="R1021" s="4">
        <v>45996</v>
      </c>
      <c r="S1021" s="3" t="s">
        <v>37</v>
      </c>
      <c r="T1021" s="3" t="s">
        <v>38</v>
      </c>
      <c r="U1021" s="3" t="s">
        <v>39</v>
      </c>
      <c r="V1021" s="3">
        <v>70.78</v>
      </c>
      <c r="W1021" s="3">
        <v>30.08</v>
      </c>
      <c r="X1021" s="3">
        <v>28.49</v>
      </c>
      <c r="Y1021" s="3">
        <v>12.21</v>
      </c>
    </row>
    <row r="1022" spans="1:25" ht="60.75" x14ac:dyDescent="0.25">
      <c r="A1022" s="3" t="s">
        <v>26</v>
      </c>
      <c r="B1022" s="3" t="s">
        <v>27</v>
      </c>
      <c r="C1022" s="3" t="s">
        <v>28</v>
      </c>
      <c r="D1022" s="3" t="s">
        <v>457</v>
      </c>
      <c r="E1022" s="3" t="s">
        <v>458</v>
      </c>
      <c r="F1022" s="3" t="s">
        <v>459</v>
      </c>
      <c r="G1022" s="3" t="s">
        <v>458</v>
      </c>
      <c r="H1022" s="3" t="s">
        <v>32</v>
      </c>
      <c r="I1022" s="3">
        <v>2025</v>
      </c>
      <c r="J1022" s="3" t="str">
        <f>CONCATENATE("54820291091")</f>
        <v>54820291091</v>
      </c>
      <c r="K1022" s="3" t="s">
        <v>33</v>
      </c>
      <c r="L1022" s="3"/>
      <c r="M1022" s="3" t="s">
        <v>131</v>
      </c>
      <c r="N1022" s="3" t="str">
        <f>CONCATENATE("PPLMRA57P15B474B")</f>
        <v>PPLMRA57P15B474B</v>
      </c>
      <c r="O1022" s="3" t="s">
        <v>1149</v>
      </c>
      <c r="P1022" s="3" t="s">
        <v>36</v>
      </c>
      <c r="Q1022" s="3"/>
      <c r="R1022" s="4">
        <v>45996</v>
      </c>
      <c r="S1022" s="3" t="s">
        <v>37</v>
      </c>
      <c r="T1022" s="3" t="s">
        <v>38</v>
      </c>
      <c r="U1022" s="3" t="s">
        <v>39</v>
      </c>
      <c r="V1022" s="3">
        <v>648.73</v>
      </c>
      <c r="W1022" s="3">
        <v>275.70999999999998</v>
      </c>
      <c r="X1022" s="3">
        <v>261.11</v>
      </c>
      <c r="Y1022" s="3">
        <v>111.91</v>
      </c>
    </row>
    <row r="1023" spans="1:25" ht="60.75" x14ac:dyDescent="0.25">
      <c r="A1023" s="3" t="s">
        <v>26</v>
      </c>
      <c r="B1023" s="3" t="s">
        <v>27</v>
      </c>
      <c r="C1023" s="3" t="s">
        <v>28</v>
      </c>
      <c r="D1023" s="3" t="s">
        <v>50</v>
      </c>
      <c r="E1023" s="3" t="s">
        <v>60</v>
      </c>
      <c r="F1023" s="3" t="s">
        <v>52</v>
      </c>
      <c r="G1023" s="3" t="s">
        <v>60</v>
      </c>
      <c r="H1023" s="3" t="s">
        <v>45</v>
      </c>
      <c r="I1023" s="3">
        <v>2025</v>
      </c>
      <c r="J1023" s="3" t="str">
        <f>CONCATENATE("54820242714")</f>
        <v>54820242714</v>
      </c>
      <c r="K1023" s="3" t="s">
        <v>33</v>
      </c>
      <c r="L1023" s="3"/>
      <c r="M1023" s="3" t="s">
        <v>131</v>
      </c>
      <c r="N1023" s="3" t="str">
        <f>CONCATENATE("BRDLSN58L24H958S")</f>
        <v>BRDLSN58L24H958S</v>
      </c>
      <c r="O1023" s="3" t="s">
        <v>1150</v>
      </c>
      <c r="P1023" s="3" t="s">
        <v>36</v>
      </c>
      <c r="Q1023" s="3"/>
      <c r="R1023" s="4">
        <v>45996</v>
      </c>
      <c r="S1023" s="3" t="s">
        <v>37</v>
      </c>
      <c r="T1023" s="3" t="s">
        <v>38</v>
      </c>
      <c r="U1023" s="3" t="s">
        <v>39</v>
      </c>
      <c r="V1023" s="5">
        <v>1060.9000000000001</v>
      </c>
      <c r="W1023" s="3">
        <v>450.88</v>
      </c>
      <c r="X1023" s="3">
        <v>427.01</v>
      </c>
      <c r="Y1023" s="3">
        <v>183.01</v>
      </c>
    </row>
    <row r="1024" spans="1:25" ht="60.75" x14ac:dyDescent="0.25">
      <c r="A1024" s="3" t="s">
        <v>26</v>
      </c>
      <c r="B1024" s="3" t="s">
        <v>27</v>
      </c>
      <c r="C1024" s="3" t="s">
        <v>28</v>
      </c>
      <c r="D1024" s="3" t="s">
        <v>40</v>
      </c>
      <c r="E1024" s="3" t="s">
        <v>287</v>
      </c>
      <c r="F1024" s="3" t="s">
        <v>42</v>
      </c>
      <c r="G1024" s="3" t="s">
        <v>287</v>
      </c>
      <c r="H1024" s="3" t="s">
        <v>32</v>
      </c>
      <c r="I1024" s="3">
        <v>2025</v>
      </c>
      <c r="J1024" s="3" t="str">
        <f>CONCATENATE("54820014568")</f>
        <v>54820014568</v>
      </c>
      <c r="K1024" s="3" t="s">
        <v>33</v>
      </c>
      <c r="L1024" s="3"/>
      <c r="M1024" s="3" t="s">
        <v>131</v>
      </c>
      <c r="N1024" s="3" t="str">
        <f>CONCATENATE("NGLMRC83S25B474X")</f>
        <v>NGLMRC83S25B474X</v>
      </c>
      <c r="O1024" s="3" t="s">
        <v>1151</v>
      </c>
      <c r="P1024" s="3" t="s">
        <v>36</v>
      </c>
      <c r="Q1024" s="3"/>
      <c r="R1024" s="4">
        <v>45996</v>
      </c>
      <c r="S1024" s="3" t="s">
        <v>37</v>
      </c>
      <c r="T1024" s="3" t="s">
        <v>38</v>
      </c>
      <c r="U1024" s="3" t="s">
        <v>39</v>
      </c>
      <c r="V1024" s="3">
        <v>175.25</v>
      </c>
      <c r="W1024" s="3">
        <v>74.48</v>
      </c>
      <c r="X1024" s="3">
        <v>70.540000000000006</v>
      </c>
      <c r="Y1024" s="3">
        <v>30.23</v>
      </c>
    </row>
    <row r="1025" spans="1:25" ht="72.75" x14ac:dyDescent="0.25">
      <c r="A1025" s="3" t="s">
        <v>26</v>
      </c>
      <c r="B1025" s="3" t="s">
        <v>27</v>
      </c>
      <c r="C1025" s="3" t="s">
        <v>28</v>
      </c>
      <c r="D1025" s="3" t="s">
        <v>50</v>
      </c>
      <c r="E1025" s="3" t="s">
        <v>51</v>
      </c>
      <c r="F1025" s="3" t="s">
        <v>52</v>
      </c>
      <c r="G1025" s="3" t="s">
        <v>51</v>
      </c>
      <c r="H1025" s="3" t="s">
        <v>48</v>
      </c>
      <c r="I1025" s="3">
        <v>2025</v>
      </c>
      <c r="J1025" s="3" t="str">
        <f>CONCATENATE("54820124722")</f>
        <v>54820124722</v>
      </c>
      <c r="K1025" s="3" t="s">
        <v>33</v>
      </c>
      <c r="L1025" s="3"/>
      <c r="M1025" s="3" t="s">
        <v>131</v>
      </c>
      <c r="N1025" s="3" t="str">
        <f>CONCATENATE("CPPMRC77R28A271G")</f>
        <v>CPPMRC77R28A271G</v>
      </c>
      <c r="O1025" s="3" t="s">
        <v>1152</v>
      </c>
      <c r="P1025" s="3" t="s">
        <v>36</v>
      </c>
      <c r="Q1025" s="3"/>
      <c r="R1025" s="4">
        <v>45996</v>
      </c>
      <c r="S1025" s="3" t="s">
        <v>37</v>
      </c>
      <c r="T1025" s="3" t="s">
        <v>38</v>
      </c>
      <c r="U1025" s="3" t="s">
        <v>39</v>
      </c>
      <c r="V1025" s="3">
        <v>567.87</v>
      </c>
      <c r="W1025" s="3">
        <v>241.34</v>
      </c>
      <c r="X1025" s="3">
        <v>228.57</v>
      </c>
      <c r="Y1025" s="3">
        <v>97.96</v>
      </c>
    </row>
    <row r="1026" spans="1:25" ht="36.75" x14ac:dyDescent="0.25">
      <c r="A1026" s="3" t="s">
        <v>26</v>
      </c>
      <c r="B1026" s="3" t="s">
        <v>27</v>
      </c>
      <c r="C1026" s="3" t="s">
        <v>28</v>
      </c>
      <c r="D1026" s="3" t="s">
        <v>29</v>
      </c>
      <c r="E1026" s="3" t="s">
        <v>186</v>
      </c>
      <c r="F1026" s="3" t="s">
        <v>31</v>
      </c>
      <c r="G1026" s="3" t="s">
        <v>186</v>
      </c>
      <c r="H1026" s="3" t="s">
        <v>45</v>
      </c>
      <c r="I1026" s="3">
        <v>2025</v>
      </c>
      <c r="J1026" s="3" t="str">
        <f>CONCATENATE("54820075106")</f>
        <v>54820075106</v>
      </c>
      <c r="K1026" s="3" t="s">
        <v>33</v>
      </c>
      <c r="L1026" s="3"/>
      <c r="M1026" s="3" t="s">
        <v>131</v>
      </c>
      <c r="N1026" s="3" t="str">
        <f>CONCATENATE("02144520414")</f>
        <v>02144520414</v>
      </c>
      <c r="O1026" s="3" t="s">
        <v>1153</v>
      </c>
      <c r="P1026" s="3" t="s">
        <v>36</v>
      </c>
      <c r="Q1026" s="3"/>
      <c r="R1026" s="4">
        <v>45996</v>
      </c>
      <c r="S1026" s="3" t="s">
        <v>37</v>
      </c>
      <c r="T1026" s="3" t="s">
        <v>38</v>
      </c>
      <c r="U1026" s="3" t="s">
        <v>39</v>
      </c>
      <c r="V1026" s="3">
        <v>445.33</v>
      </c>
      <c r="W1026" s="3">
        <v>189.27</v>
      </c>
      <c r="X1026" s="3">
        <v>179.25</v>
      </c>
      <c r="Y1026" s="3">
        <v>76.81</v>
      </c>
    </row>
    <row r="1027" spans="1:25" ht="36.75" x14ac:dyDescent="0.25">
      <c r="A1027" s="3" t="s">
        <v>26</v>
      </c>
      <c r="B1027" s="3" t="s">
        <v>27</v>
      </c>
      <c r="C1027" s="3" t="s">
        <v>28</v>
      </c>
      <c r="D1027" s="3" t="s">
        <v>40</v>
      </c>
      <c r="E1027" s="3" t="s">
        <v>99</v>
      </c>
      <c r="F1027" s="3" t="s">
        <v>42</v>
      </c>
      <c r="G1027" s="3" t="s">
        <v>99</v>
      </c>
      <c r="H1027" s="3" t="s">
        <v>96</v>
      </c>
      <c r="I1027" s="3">
        <v>2025</v>
      </c>
      <c r="J1027" s="3" t="str">
        <f>CONCATENATE("54820286943")</f>
        <v>54820286943</v>
      </c>
      <c r="K1027" s="3" t="s">
        <v>33</v>
      </c>
      <c r="L1027" s="3"/>
      <c r="M1027" s="3" t="s">
        <v>131</v>
      </c>
      <c r="N1027" s="3" t="str">
        <f>CONCATENATE("02452140441")</f>
        <v>02452140441</v>
      </c>
      <c r="O1027" s="3" t="s">
        <v>1154</v>
      </c>
      <c r="P1027" s="3" t="s">
        <v>36</v>
      </c>
      <c r="Q1027" s="3"/>
      <c r="R1027" s="4">
        <v>45996</v>
      </c>
      <c r="S1027" s="3" t="s">
        <v>37</v>
      </c>
      <c r="T1027" s="3" t="s">
        <v>38</v>
      </c>
      <c r="U1027" s="3" t="s">
        <v>39</v>
      </c>
      <c r="V1027" s="3">
        <v>322.18</v>
      </c>
      <c r="W1027" s="3">
        <v>136.93</v>
      </c>
      <c r="X1027" s="3">
        <v>129.68</v>
      </c>
      <c r="Y1027" s="3">
        <v>55.57</v>
      </c>
    </row>
    <row r="1028" spans="1:25" ht="60.75" x14ac:dyDescent="0.25">
      <c r="A1028" s="3" t="s">
        <v>26</v>
      </c>
      <c r="B1028" s="3" t="s">
        <v>27</v>
      </c>
      <c r="C1028" s="3" t="s">
        <v>28</v>
      </c>
      <c r="D1028" s="3" t="s">
        <v>29</v>
      </c>
      <c r="E1028" s="3" t="s">
        <v>182</v>
      </c>
      <c r="F1028" s="3" t="s">
        <v>31</v>
      </c>
      <c r="G1028" s="3" t="s">
        <v>182</v>
      </c>
      <c r="H1028" s="3" t="s">
        <v>45</v>
      </c>
      <c r="I1028" s="3">
        <v>2025</v>
      </c>
      <c r="J1028" s="3" t="str">
        <f>CONCATENATE("54820053400")</f>
        <v>54820053400</v>
      </c>
      <c r="K1028" s="3" t="s">
        <v>33</v>
      </c>
      <c r="L1028" s="3"/>
      <c r="M1028" s="3" t="s">
        <v>131</v>
      </c>
      <c r="N1028" s="3" t="str">
        <f>CONCATENATE("GNSTLI53E11L500S")</f>
        <v>GNSTLI53E11L500S</v>
      </c>
      <c r="O1028" s="3" t="s">
        <v>1155</v>
      </c>
      <c r="P1028" s="3" t="s">
        <v>36</v>
      </c>
      <c r="Q1028" s="3"/>
      <c r="R1028" s="4">
        <v>45996</v>
      </c>
      <c r="S1028" s="3" t="s">
        <v>37</v>
      </c>
      <c r="T1028" s="3" t="s">
        <v>38</v>
      </c>
      <c r="U1028" s="3" t="s">
        <v>39</v>
      </c>
      <c r="V1028" s="3">
        <v>226.52</v>
      </c>
      <c r="W1028" s="3">
        <v>96.27</v>
      </c>
      <c r="X1028" s="3">
        <v>91.17</v>
      </c>
      <c r="Y1028" s="3">
        <v>39.08</v>
      </c>
    </row>
    <row r="1029" spans="1:25" ht="60.75" x14ac:dyDescent="0.25">
      <c r="A1029" s="3" t="s">
        <v>26</v>
      </c>
      <c r="B1029" s="3" t="s">
        <v>27</v>
      </c>
      <c r="C1029" s="3" t="s">
        <v>28</v>
      </c>
      <c r="D1029" s="3" t="s">
        <v>50</v>
      </c>
      <c r="E1029" s="3" t="s">
        <v>290</v>
      </c>
      <c r="F1029" s="3" t="s">
        <v>52</v>
      </c>
      <c r="G1029" s="3" t="s">
        <v>290</v>
      </c>
      <c r="H1029" s="3" t="s">
        <v>96</v>
      </c>
      <c r="I1029" s="3">
        <v>2025</v>
      </c>
      <c r="J1029" s="3" t="str">
        <f>CONCATENATE("54820255476")</f>
        <v>54820255476</v>
      </c>
      <c r="K1029" s="3" t="s">
        <v>33</v>
      </c>
      <c r="L1029" s="3"/>
      <c r="M1029" s="3" t="s">
        <v>131</v>
      </c>
      <c r="N1029" s="3" t="str">
        <f>CONCATENATE("TTVGCM54T11F509H")</f>
        <v>TTVGCM54T11F509H</v>
      </c>
      <c r="O1029" s="3" t="s">
        <v>1156</v>
      </c>
      <c r="P1029" s="3" t="s">
        <v>36</v>
      </c>
      <c r="Q1029" s="3"/>
      <c r="R1029" s="4">
        <v>45996</v>
      </c>
      <c r="S1029" s="3" t="s">
        <v>37</v>
      </c>
      <c r="T1029" s="3" t="s">
        <v>38</v>
      </c>
      <c r="U1029" s="3" t="s">
        <v>39</v>
      </c>
      <c r="V1029" s="3">
        <v>283.27</v>
      </c>
      <c r="W1029" s="3">
        <v>120.39</v>
      </c>
      <c r="X1029" s="3">
        <v>114.02</v>
      </c>
      <c r="Y1029" s="3">
        <v>48.86</v>
      </c>
    </row>
    <row r="1030" spans="1:25" ht="36.75" x14ac:dyDescent="0.25">
      <c r="A1030" s="3" t="s">
        <v>26</v>
      </c>
      <c r="B1030" s="3" t="s">
        <v>27</v>
      </c>
      <c r="C1030" s="3" t="s">
        <v>28</v>
      </c>
      <c r="D1030" s="3" t="s">
        <v>50</v>
      </c>
      <c r="E1030" s="3" t="s">
        <v>51</v>
      </c>
      <c r="F1030" s="3" t="s">
        <v>52</v>
      </c>
      <c r="G1030" s="3" t="s">
        <v>51</v>
      </c>
      <c r="H1030" s="3" t="s">
        <v>48</v>
      </c>
      <c r="I1030" s="3">
        <v>2025</v>
      </c>
      <c r="J1030" s="3" t="str">
        <f>CONCATENATE("54820145685")</f>
        <v>54820145685</v>
      </c>
      <c r="K1030" s="3" t="s">
        <v>33</v>
      </c>
      <c r="L1030" s="3"/>
      <c r="M1030" s="3" t="s">
        <v>131</v>
      </c>
      <c r="N1030" s="3" t="str">
        <f>CONCATENATE("02028850416")</f>
        <v>02028850416</v>
      </c>
      <c r="O1030" s="3" t="s">
        <v>1157</v>
      </c>
      <c r="P1030" s="3" t="s">
        <v>36</v>
      </c>
      <c r="Q1030" s="3"/>
      <c r="R1030" s="4">
        <v>45996</v>
      </c>
      <c r="S1030" s="3" t="s">
        <v>37</v>
      </c>
      <c r="T1030" s="3" t="s">
        <v>38</v>
      </c>
      <c r="U1030" s="3" t="s">
        <v>39</v>
      </c>
      <c r="V1030" s="3">
        <v>229</v>
      </c>
      <c r="W1030" s="3">
        <v>97.33</v>
      </c>
      <c r="X1030" s="3">
        <v>92.17</v>
      </c>
      <c r="Y1030" s="3">
        <v>39.5</v>
      </c>
    </row>
    <row r="1031" spans="1:25" ht="60.75" x14ac:dyDescent="0.25">
      <c r="A1031" s="3" t="s">
        <v>26</v>
      </c>
      <c r="B1031" s="3" t="s">
        <v>27</v>
      </c>
      <c r="C1031" s="3" t="s">
        <v>28</v>
      </c>
      <c r="D1031" s="3" t="s">
        <v>50</v>
      </c>
      <c r="E1031" s="3" t="s">
        <v>60</v>
      </c>
      <c r="F1031" s="3" t="s">
        <v>52</v>
      </c>
      <c r="G1031" s="3" t="s">
        <v>60</v>
      </c>
      <c r="H1031" s="3" t="s">
        <v>45</v>
      </c>
      <c r="I1031" s="3">
        <v>2025</v>
      </c>
      <c r="J1031" s="3" t="str">
        <f>CONCATENATE("54820251384")</f>
        <v>54820251384</v>
      </c>
      <c r="K1031" s="3" t="s">
        <v>33</v>
      </c>
      <c r="L1031" s="3"/>
      <c r="M1031" s="3" t="s">
        <v>131</v>
      </c>
      <c r="N1031" s="3" t="str">
        <f>CONCATENATE("SNTCRL64B29D007T")</f>
        <v>SNTCRL64B29D007T</v>
      </c>
      <c r="O1031" s="3" t="s">
        <v>1158</v>
      </c>
      <c r="P1031" s="3" t="s">
        <v>36</v>
      </c>
      <c r="Q1031" s="3"/>
      <c r="R1031" s="4">
        <v>45996</v>
      </c>
      <c r="S1031" s="3" t="s">
        <v>37</v>
      </c>
      <c r="T1031" s="3" t="s">
        <v>38</v>
      </c>
      <c r="U1031" s="3" t="s">
        <v>39</v>
      </c>
      <c r="V1031" s="3">
        <v>523.79</v>
      </c>
      <c r="W1031" s="3">
        <v>222.61</v>
      </c>
      <c r="X1031" s="3">
        <v>210.83</v>
      </c>
      <c r="Y1031" s="3">
        <v>90.35</v>
      </c>
    </row>
    <row r="1032" spans="1:25" ht="60.75" x14ac:dyDescent="0.25">
      <c r="A1032" s="3" t="s">
        <v>26</v>
      </c>
      <c r="B1032" s="3" t="s">
        <v>27</v>
      </c>
      <c r="C1032" s="3" t="s">
        <v>28</v>
      </c>
      <c r="D1032" s="3" t="s">
        <v>157</v>
      </c>
      <c r="E1032" s="3" t="s">
        <v>158</v>
      </c>
      <c r="F1032" s="3" t="s">
        <v>159</v>
      </c>
      <c r="G1032" s="3" t="s">
        <v>158</v>
      </c>
      <c r="H1032" s="3" t="s">
        <v>45</v>
      </c>
      <c r="I1032" s="3">
        <v>2025</v>
      </c>
      <c r="J1032" s="3" t="str">
        <f>CONCATENATE("54820010061")</f>
        <v>54820010061</v>
      </c>
      <c r="K1032" s="3" t="s">
        <v>33</v>
      </c>
      <c r="L1032" s="3"/>
      <c r="M1032" s="3" t="s">
        <v>131</v>
      </c>
      <c r="N1032" s="3" t="str">
        <f>CONCATENATE("BRSGNE89B07L500Z")</f>
        <v>BRSGNE89B07L500Z</v>
      </c>
      <c r="O1032" s="3" t="s">
        <v>1159</v>
      </c>
      <c r="P1032" s="3" t="s">
        <v>36</v>
      </c>
      <c r="Q1032" s="3"/>
      <c r="R1032" s="4">
        <v>45996</v>
      </c>
      <c r="S1032" s="3" t="s">
        <v>37</v>
      </c>
      <c r="T1032" s="3" t="s">
        <v>38</v>
      </c>
      <c r="U1032" s="3" t="s">
        <v>39</v>
      </c>
      <c r="V1032" s="3">
        <v>101.96</v>
      </c>
      <c r="W1032" s="3">
        <v>43.33</v>
      </c>
      <c r="X1032" s="3">
        <v>41.04</v>
      </c>
      <c r="Y1032" s="3">
        <v>17.59</v>
      </c>
    </row>
    <row r="1033" spans="1:25" ht="60.75" x14ac:dyDescent="0.25">
      <c r="A1033" s="3" t="s">
        <v>26</v>
      </c>
      <c r="B1033" s="3" t="s">
        <v>27</v>
      </c>
      <c r="C1033" s="3" t="s">
        <v>28</v>
      </c>
      <c r="D1033" s="3" t="s">
        <v>91</v>
      </c>
      <c r="E1033" s="3" t="s">
        <v>92</v>
      </c>
      <c r="F1033" s="3" t="s">
        <v>93</v>
      </c>
      <c r="G1033" s="3" t="s">
        <v>92</v>
      </c>
      <c r="H1033" s="3" t="s">
        <v>48</v>
      </c>
      <c r="I1033" s="3">
        <v>2025</v>
      </c>
      <c r="J1033" s="3" t="str">
        <f>CONCATENATE("54820009113")</f>
        <v>54820009113</v>
      </c>
      <c r="K1033" s="3" t="s">
        <v>33</v>
      </c>
      <c r="L1033" s="3"/>
      <c r="M1033" s="3" t="s">
        <v>131</v>
      </c>
      <c r="N1033" s="3" t="str">
        <f>CONCATENATE("FSSMHL80L21D451V")</f>
        <v>FSSMHL80L21D451V</v>
      </c>
      <c r="O1033" s="3" t="s">
        <v>1160</v>
      </c>
      <c r="P1033" s="3" t="s">
        <v>36</v>
      </c>
      <c r="Q1033" s="3"/>
      <c r="R1033" s="4">
        <v>45996</v>
      </c>
      <c r="S1033" s="3" t="s">
        <v>37</v>
      </c>
      <c r="T1033" s="3" t="s">
        <v>38</v>
      </c>
      <c r="U1033" s="3" t="s">
        <v>39</v>
      </c>
      <c r="V1033" s="3">
        <v>216.13</v>
      </c>
      <c r="W1033" s="3">
        <v>91.86</v>
      </c>
      <c r="X1033" s="3">
        <v>86.99</v>
      </c>
      <c r="Y1033" s="3">
        <v>37.28</v>
      </c>
    </row>
    <row r="1034" spans="1:25" ht="60.75" x14ac:dyDescent="0.25">
      <c r="A1034" s="3" t="s">
        <v>26</v>
      </c>
      <c r="B1034" s="3" t="s">
        <v>27</v>
      </c>
      <c r="C1034" s="3" t="s">
        <v>28</v>
      </c>
      <c r="D1034" s="3" t="s">
        <v>29</v>
      </c>
      <c r="E1034" s="3" t="s">
        <v>186</v>
      </c>
      <c r="F1034" s="3" t="s">
        <v>31</v>
      </c>
      <c r="G1034" s="3" t="s">
        <v>186</v>
      </c>
      <c r="H1034" s="3" t="s">
        <v>45</v>
      </c>
      <c r="I1034" s="3">
        <v>2025</v>
      </c>
      <c r="J1034" s="3" t="str">
        <f>CONCATENATE("54820043922")</f>
        <v>54820043922</v>
      </c>
      <c r="K1034" s="3" t="s">
        <v>33</v>
      </c>
      <c r="L1034" s="3"/>
      <c r="M1034" s="3" t="s">
        <v>131</v>
      </c>
      <c r="N1034" s="3" t="str">
        <f>CONCATENATE("GLNPLA68T14E785Y")</f>
        <v>GLNPLA68T14E785Y</v>
      </c>
      <c r="O1034" s="3" t="s">
        <v>1161</v>
      </c>
      <c r="P1034" s="3" t="s">
        <v>36</v>
      </c>
      <c r="Q1034" s="3"/>
      <c r="R1034" s="4">
        <v>45996</v>
      </c>
      <c r="S1034" s="3" t="s">
        <v>37</v>
      </c>
      <c r="T1034" s="3" t="s">
        <v>38</v>
      </c>
      <c r="U1034" s="3" t="s">
        <v>39</v>
      </c>
      <c r="V1034" s="3">
        <v>908.3</v>
      </c>
      <c r="W1034" s="3">
        <v>386.03</v>
      </c>
      <c r="X1034" s="3">
        <v>365.59</v>
      </c>
      <c r="Y1034" s="3">
        <v>156.68</v>
      </c>
    </row>
    <row r="1035" spans="1:25" ht="60.75" x14ac:dyDescent="0.25">
      <c r="A1035" s="3" t="s">
        <v>26</v>
      </c>
      <c r="B1035" s="3" t="s">
        <v>27</v>
      </c>
      <c r="C1035" s="3" t="s">
        <v>28</v>
      </c>
      <c r="D1035" s="3" t="s">
        <v>29</v>
      </c>
      <c r="E1035" s="3" t="s">
        <v>56</v>
      </c>
      <c r="F1035" s="3" t="s">
        <v>31</v>
      </c>
      <c r="G1035" s="3" t="s">
        <v>56</v>
      </c>
      <c r="H1035" s="3" t="s">
        <v>32</v>
      </c>
      <c r="I1035" s="3">
        <v>2025</v>
      </c>
      <c r="J1035" s="3" t="str">
        <f>CONCATENATE("54820027701")</f>
        <v>54820027701</v>
      </c>
      <c r="K1035" s="3" t="s">
        <v>33</v>
      </c>
      <c r="L1035" s="3"/>
      <c r="M1035" s="3" t="s">
        <v>131</v>
      </c>
      <c r="N1035" s="3" t="str">
        <f>CONCATENATE("BRBMRZ61P22D429T")</f>
        <v>BRBMRZ61P22D429T</v>
      </c>
      <c r="O1035" s="3" t="s">
        <v>1162</v>
      </c>
      <c r="P1035" s="3" t="s">
        <v>36</v>
      </c>
      <c r="Q1035" s="3"/>
      <c r="R1035" s="4">
        <v>45996</v>
      </c>
      <c r="S1035" s="3" t="s">
        <v>37</v>
      </c>
      <c r="T1035" s="3" t="s">
        <v>38</v>
      </c>
      <c r="U1035" s="3" t="s">
        <v>39</v>
      </c>
      <c r="V1035" s="3">
        <v>220.61</v>
      </c>
      <c r="W1035" s="3">
        <v>93.76</v>
      </c>
      <c r="X1035" s="3">
        <v>88.8</v>
      </c>
      <c r="Y1035" s="3">
        <v>38.049999999999997</v>
      </c>
    </row>
    <row r="1036" spans="1:25" ht="60.75" x14ac:dyDescent="0.25">
      <c r="A1036" s="3" t="s">
        <v>26</v>
      </c>
      <c r="B1036" s="3" t="s">
        <v>27</v>
      </c>
      <c r="C1036" s="3" t="s">
        <v>28</v>
      </c>
      <c r="D1036" s="3" t="s">
        <v>104</v>
      </c>
      <c r="E1036" s="3" t="s">
        <v>691</v>
      </c>
      <c r="F1036" s="3" t="s">
        <v>104</v>
      </c>
      <c r="G1036" s="3" t="s">
        <v>691</v>
      </c>
      <c r="H1036" s="3" t="s">
        <v>48</v>
      </c>
      <c r="I1036" s="3">
        <v>2025</v>
      </c>
      <c r="J1036" s="3" t="str">
        <f>CONCATENATE("54820010913")</f>
        <v>54820010913</v>
      </c>
      <c r="K1036" s="3" t="s">
        <v>33</v>
      </c>
      <c r="L1036" s="3"/>
      <c r="M1036" s="3" t="s">
        <v>131</v>
      </c>
      <c r="N1036" s="3" t="str">
        <f>CONCATENATE("PTRLRD59B23I461C")</f>
        <v>PTRLRD59B23I461C</v>
      </c>
      <c r="O1036" s="3" t="s">
        <v>1163</v>
      </c>
      <c r="P1036" s="3" t="s">
        <v>36</v>
      </c>
      <c r="Q1036" s="3"/>
      <c r="R1036" s="4">
        <v>45996</v>
      </c>
      <c r="S1036" s="3" t="s">
        <v>37</v>
      </c>
      <c r="T1036" s="3" t="s">
        <v>38</v>
      </c>
      <c r="U1036" s="3" t="s">
        <v>39</v>
      </c>
      <c r="V1036" s="3">
        <v>132.94999999999999</v>
      </c>
      <c r="W1036" s="3">
        <v>56.5</v>
      </c>
      <c r="X1036" s="3">
        <v>53.51</v>
      </c>
      <c r="Y1036" s="3">
        <v>22.94</v>
      </c>
    </row>
    <row r="1037" spans="1:25" ht="60.75" x14ac:dyDescent="0.25">
      <c r="A1037" s="3" t="s">
        <v>26</v>
      </c>
      <c r="B1037" s="3" t="s">
        <v>27</v>
      </c>
      <c r="C1037" s="3" t="s">
        <v>28</v>
      </c>
      <c r="D1037" s="3" t="s">
        <v>40</v>
      </c>
      <c r="E1037" s="3" t="s">
        <v>218</v>
      </c>
      <c r="F1037" s="3" t="s">
        <v>42</v>
      </c>
      <c r="G1037" s="3" t="s">
        <v>218</v>
      </c>
      <c r="H1037" s="3" t="s">
        <v>45</v>
      </c>
      <c r="I1037" s="3">
        <v>2025</v>
      </c>
      <c r="J1037" s="3" t="str">
        <f>CONCATENATE("54820075536")</f>
        <v>54820075536</v>
      </c>
      <c r="K1037" s="3" t="s">
        <v>33</v>
      </c>
      <c r="L1037" s="3"/>
      <c r="M1037" s="3" t="s">
        <v>131</v>
      </c>
      <c r="N1037" s="3" t="str">
        <f>CONCATENATE("GRLSFN75E67G453F")</f>
        <v>GRLSFN75E67G453F</v>
      </c>
      <c r="O1037" s="3" t="s">
        <v>1164</v>
      </c>
      <c r="P1037" s="3" t="s">
        <v>36</v>
      </c>
      <c r="Q1037" s="3"/>
      <c r="R1037" s="4">
        <v>45996</v>
      </c>
      <c r="S1037" s="3" t="s">
        <v>37</v>
      </c>
      <c r="T1037" s="3" t="s">
        <v>38</v>
      </c>
      <c r="U1037" s="3" t="s">
        <v>39</v>
      </c>
      <c r="V1037" s="3">
        <v>943.63</v>
      </c>
      <c r="W1037" s="3">
        <v>401.04</v>
      </c>
      <c r="X1037" s="3">
        <v>379.81</v>
      </c>
      <c r="Y1037" s="3">
        <v>162.78</v>
      </c>
    </row>
    <row r="1038" spans="1:25" ht="60.75" x14ac:dyDescent="0.25">
      <c r="A1038" s="3" t="s">
        <v>26</v>
      </c>
      <c r="B1038" s="3" t="s">
        <v>27</v>
      </c>
      <c r="C1038" s="3" t="s">
        <v>28</v>
      </c>
      <c r="D1038" s="3" t="s">
        <v>40</v>
      </c>
      <c r="E1038" s="3" t="s">
        <v>44</v>
      </c>
      <c r="F1038" s="3" t="s">
        <v>42</v>
      </c>
      <c r="G1038" s="3" t="s">
        <v>44</v>
      </c>
      <c r="H1038" s="3" t="s">
        <v>32</v>
      </c>
      <c r="I1038" s="3">
        <v>2025</v>
      </c>
      <c r="J1038" s="3" t="str">
        <f>CONCATENATE("54820015128")</f>
        <v>54820015128</v>
      </c>
      <c r="K1038" s="3" t="s">
        <v>33</v>
      </c>
      <c r="L1038" s="3"/>
      <c r="M1038" s="3" t="s">
        <v>131</v>
      </c>
      <c r="N1038" s="3" t="str">
        <f>CONCATENATE("CCCFNC67P11I156P")</f>
        <v>CCCFNC67P11I156P</v>
      </c>
      <c r="O1038" s="3" t="s">
        <v>1165</v>
      </c>
      <c r="P1038" s="3" t="s">
        <v>36</v>
      </c>
      <c r="Q1038" s="3"/>
      <c r="R1038" s="4">
        <v>45996</v>
      </c>
      <c r="S1038" s="3" t="s">
        <v>37</v>
      </c>
      <c r="T1038" s="3" t="s">
        <v>38</v>
      </c>
      <c r="U1038" s="3" t="s">
        <v>39</v>
      </c>
      <c r="V1038" s="3">
        <v>420.42</v>
      </c>
      <c r="W1038" s="3">
        <v>178.68</v>
      </c>
      <c r="X1038" s="3">
        <v>169.22</v>
      </c>
      <c r="Y1038" s="3">
        <v>72.52</v>
      </c>
    </row>
    <row r="1039" spans="1:25" ht="36.75" x14ac:dyDescent="0.25">
      <c r="A1039" s="3" t="s">
        <v>26</v>
      </c>
      <c r="B1039" s="3" t="s">
        <v>27</v>
      </c>
      <c r="C1039" s="3" t="s">
        <v>28</v>
      </c>
      <c r="D1039" s="3" t="s">
        <v>40</v>
      </c>
      <c r="E1039" s="3" t="s">
        <v>287</v>
      </c>
      <c r="F1039" s="3" t="s">
        <v>42</v>
      </c>
      <c r="G1039" s="3" t="s">
        <v>287</v>
      </c>
      <c r="H1039" s="3" t="s">
        <v>32</v>
      </c>
      <c r="I1039" s="3">
        <v>2025</v>
      </c>
      <c r="J1039" s="3" t="str">
        <f>CONCATENATE("54820018254")</f>
        <v>54820018254</v>
      </c>
      <c r="K1039" s="3" t="s">
        <v>33</v>
      </c>
      <c r="L1039" s="3"/>
      <c r="M1039" s="3" t="s">
        <v>131</v>
      </c>
      <c r="N1039" s="3" t="str">
        <f>CONCATENATE("01201590435")</f>
        <v>01201590435</v>
      </c>
      <c r="O1039" s="3" t="s">
        <v>1166</v>
      </c>
      <c r="P1039" s="3" t="s">
        <v>36</v>
      </c>
      <c r="Q1039" s="3"/>
      <c r="R1039" s="4">
        <v>45996</v>
      </c>
      <c r="S1039" s="3" t="s">
        <v>37</v>
      </c>
      <c r="T1039" s="3" t="s">
        <v>38</v>
      </c>
      <c r="U1039" s="3" t="s">
        <v>39</v>
      </c>
      <c r="V1039" s="5">
        <v>1051.07</v>
      </c>
      <c r="W1039" s="3">
        <v>446.7</v>
      </c>
      <c r="X1039" s="3">
        <v>423.06</v>
      </c>
      <c r="Y1039" s="3">
        <v>181.31</v>
      </c>
    </row>
    <row r="1040" spans="1:25" ht="36.75" x14ac:dyDescent="0.25">
      <c r="A1040" s="3" t="s">
        <v>26</v>
      </c>
      <c r="B1040" s="3" t="s">
        <v>27</v>
      </c>
      <c r="C1040" s="3" t="s">
        <v>28</v>
      </c>
      <c r="D1040" s="3" t="s">
        <v>29</v>
      </c>
      <c r="E1040" s="3" t="s">
        <v>119</v>
      </c>
      <c r="F1040" s="3" t="s">
        <v>31</v>
      </c>
      <c r="G1040" s="3" t="s">
        <v>119</v>
      </c>
      <c r="H1040" s="3" t="s">
        <v>96</v>
      </c>
      <c r="I1040" s="3">
        <v>2025</v>
      </c>
      <c r="J1040" s="3" t="str">
        <f>CONCATENATE("54820055942")</f>
        <v>54820055942</v>
      </c>
      <c r="K1040" s="3" t="s">
        <v>33</v>
      </c>
      <c r="L1040" s="3"/>
      <c r="M1040" s="3" t="s">
        <v>131</v>
      </c>
      <c r="N1040" s="3" t="str">
        <f>CONCATENATE("01782880445")</f>
        <v>01782880445</v>
      </c>
      <c r="O1040" s="3" t="s">
        <v>1167</v>
      </c>
      <c r="P1040" s="3" t="s">
        <v>36</v>
      </c>
      <c r="Q1040" s="3"/>
      <c r="R1040" s="4">
        <v>45996</v>
      </c>
      <c r="S1040" s="3" t="s">
        <v>37</v>
      </c>
      <c r="T1040" s="3" t="s">
        <v>38</v>
      </c>
      <c r="U1040" s="3" t="s">
        <v>39</v>
      </c>
      <c r="V1040" s="3">
        <v>104.63</v>
      </c>
      <c r="W1040" s="3">
        <v>44.47</v>
      </c>
      <c r="X1040" s="3">
        <v>42.11</v>
      </c>
      <c r="Y1040" s="3">
        <v>18.05</v>
      </c>
    </row>
    <row r="1041" spans="1:25" ht="60.75" x14ac:dyDescent="0.25">
      <c r="A1041" s="3" t="s">
        <v>26</v>
      </c>
      <c r="B1041" s="3" t="s">
        <v>27</v>
      </c>
      <c r="C1041" s="3" t="s">
        <v>28</v>
      </c>
      <c r="D1041" s="3" t="s">
        <v>40</v>
      </c>
      <c r="E1041" s="3" t="s">
        <v>287</v>
      </c>
      <c r="F1041" s="3" t="s">
        <v>42</v>
      </c>
      <c r="G1041" s="3" t="s">
        <v>287</v>
      </c>
      <c r="H1041" s="3" t="s">
        <v>32</v>
      </c>
      <c r="I1041" s="3">
        <v>2025</v>
      </c>
      <c r="J1041" s="3" t="str">
        <f>CONCATENATE("54820016043")</f>
        <v>54820016043</v>
      </c>
      <c r="K1041" s="3" t="s">
        <v>33</v>
      </c>
      <c r="L1041" s="3"/>
      <c r="M1041" s="3" t="s">
        <v>131</v>
      </c>
      <c r="N1041" s="3" t="str">
        <f>CONCATENATE("FDLMNL52M24I661G")</f>
        <v>FDLMNL52M24I661G</v>
      </c>
      <c r="O1041" s="3" t="s">
        <v>1168</v>
      </c>
      <c r="P1041" s="3" t="s">
        <v>36</v>
      </c>
      <c r="Q1041" s="3"/>
      <c r="R1041" s="4">
        <v>45996</v>
      </c>
      <c r="S1041" s="3" t="s">
        <v>37</v>
      </c>
      <c r="T1041" s="3" t="s">
        <v>38</v>
      </c>
      <c r="U1041" s="3" t="s">
        <v>39</v>
      </c>
      <c r="V1041" s="3">
        <v>47.14</v>
      </c>
      <c r="W1041" s="3">
        <v>20.03</v>
      </c>
      <c r="X1041" s="3">
        <v>18.97</v>
      </c>
      <c r="Y1041" s="3">
        <v>8.14</v>
      </c>
    </row>
    <row r="1042" spans="1:25" ht="60.75" x14ac:dyDescent="0.25">
      <c r="A1042" s="3" t="s">
        <v>26</v>
      </c>
      <c r="B1042" s="3" t="s">
        <v>27</v>
      </c>
      <c r="C1042" s="3" t="s">
        <v>28</v>
      </c>
      <c r="D1042" s="3" t="s">
        <v>29</v>
      </c>
      <c r="E1042" s="3" t="s">
        <v>182</v>
      </c>
      <c r="F1042" s="3" t="s">
        <v>31</v>
      </c>
      <c r="G1042" s="3" t="s">
        <v>182</v>
      </c>
      <c r="H1042" s="3" t="s">
        <v>45</v>
      </c>
      <c r="I1042" s="3">
        <v>2025</v>
      </c>
      <c r="J1042" s="3" t="str">
        <f>CONCATENATE("54820067053")</f>
        <v>54820067053</v>
      </c>
      <c r="K1042" s="3" t="s">
        <v>33</v>
      </c>
      <c r="L1042" s="3"/>
      <c r="M1042" s="3" t="s">
        <v>131</v>
      </c>
      <c r="N1042" s="3" t="str">
        <f>CONCATENATE("BRTFBA85E21H294X")</f>
        <v>BRTFBA85E21H294X</v>
      </c>
      <c r="O1042" s="3" t="s">
        <v>1169</v>
      </c>
      <c r="P1042" s="3" t="s">
        <v>36</v>
      </c>
      <c r="Q1042" s="3"/>
      <c r="R1042" s="4">
        <v>45996</v>
      </c>
      <c r="S1042" s="3" t="s">
        <v>37</v>
      </c>
      <c r="T1042" s="3" t="s">
        <v>38</v>
      </c>
      <c r="U1042" s="3" t="s">
        <v>39</v>
      </c>
      <c r="V1042" s="3">
        <v>204.88</v>
      </c>
      <c r="W1042" s="3">
        <v>87.07</v>
      </c>
      <c r="X1042" s="3">
        <v>82.46</v>
      </c>
      <c r="Y1042" s="3">
        <v>35.35</v>
      </c>
    </row>
    <row r="1043" spans="1:25" ht="60.75" x14ac:dyDescent="0.25">
      <c r="A1043" s="3" t="s">
        <v>26</v>
      </c>
      <c r="B1043" s="3" t="s">
        <v>27</v>
      </c>
      <c r="C1043" s="3" t="s">
        <v>28</v>
      </c>
      <c r="D1043" s="3" t="s">
        <v>104</v>
      </c>
      <c r="E1043" s="3" t="s">
        <v>141</v>
      </c>
      <c r="F1043" s="3" t="s">
        <v>104</v>
      </c>
      <c r="G1043" s="3" t="s">
        <v>141</v>
      </c>
      <c r="H1043" s="3" t="s">
        <v>96</v>
      </c>
      <c r="I1043" s="3">
        <v>2025</v>
      </c>
      <c r="J1043" s="3" t="str">
        <f>CONCATENATE("54820276803")</f>
        <v>54820276803</v>
      </c>
      <c r="K1043" s="3" t="s">
        <v>33</v>
      </c>
      <c r="L1043" s="3"/>
      <c r="M1043" s="3" t="s">
        <v>131</v>
      </c>
      <c r="N1043" s="3" t="str">
        <f>CONCATENATE("SRCNTN65H30C935Y")</f>
        <v>SRCNTN65H30C935Y</v>
      </c>
      <c r="O1043" s="3" t="s">
        <v>1170</v>
      </c>
      <c r="P1043" s="3" t="s">
        <v>36</v>
      </c>
      <c r="Q1043" s="3"/>
      <c r="R1043" s="4">
        <v>45996</v>
      </c>
      <c r="S1043" s="3" t="s">
        <v>37</v>
      </c>
      <c r="T1043" s="3" t="s">
        <v>38</v>
      </c>
      <c r="U1043" s="3" t="s">
        <v>39</v>
      </c>
      <c r="V1043" s="3">
        <v>122.97</v>
      </c>
      <c r="W1043" s="3">
        <v>52.26</v>
      </c>
      <c r="X1043" s="3">
        <v>49.5</v>
      </c>
      <c r="Y1043" s="3">
        <v>21.21</v>
      </c>
    </row>
    <row r="1044" spans="1:25" ht="60.75" x14ac:dyDescent="0.25">
      <c r="A1044" s="3" t="s">
        <v>26</v>
      </c>
      <c r="B1044" s="3" t="s">
        <v>27</v>
      </c>
      <c r="C1044" s="3" t="s">
        <v>28</v>
      </c>
      <c r="D1044" s="3" t="s">
        <v>104</v>
      </c>
      <c r="E1044" s="3" t="s">
        <v>661</v>
      </c>
      <c r="F1044" s="3" t="s">
        <v>104</v>
      </c>
      <c r="G1044" s="3" t="s">
        <v>661</v>
      </c>
      <c r="H1044" s="3" t="s">
        <v>45</v>
      </c>
      <c r="I1044" s="3">
        <v>2025</v>
      </c>
      <c r="J1044" s="3" t="str">
        <f>CONCATENATE("54820194923")</f>
        <v>54820194923</v>
      </c>
      <c r="K1044" s="3" t="s">
        <v>33</v>
      </c>
      <c r="L1044" s="3"/>
      <c r="M1044" s="3" t="s">
        <v>131</v>
      </c>
      <c r="N1044" s="3" t="str">
        <f>CONCATENATE("TMBLCU61C04D612M")</f>
        <v>TMBLCU61C04D612M</v>
      </c>
      <c r="O1044" s="3" t="s">
        <v>1171</v>
      </c>
      <c r="P1044" s="3" t="s">
        <v>36</v>
      </c>
      <c r="Q1044" s="3"/>
      <c r="R1044" s="4">
        <v>45996</v>
      </c>
      <c r="S1044" s="3" t="s">
        <v>37</v>
      </c>
      <c r="T1044" s="3" t="s">
        <v>38</v>
      </c>
      <c r="U1044" s="3" t="s">
        <v>39</v>
      </c>
      <c r="V1044" s="3">
        <v>85.22</v>
      </c>
      <c r="W1044" s="3">
        <v>36.22</v>
      </c>
      <c r="X1044" s="3">
        <v>34.299999999999997</v>
      </c>
      <c r="Y1044" s="3">
        <v>14.7</v>
      </c>
    </row>
    <row r="1045" spans="1:25" ht="60.75" x14ac:dyDescent="0.25">
      <c r="A1045" s="3" t="s">
        <v>26</v>
      </c>
      <c r="B1045" s="3" t="s">
        <v>27</v>
      </c>
      <c r="C1045" s="3" t="s">
        <v>28</v>
      </c>
      <c r="D1045" s="3" t="s">
        <v>50</v>
      </c>
      <c r="E1045" s="3" t="s">
        <v>147</v>
      </c>
      <c r="F1045" s="3" t="s">
        <v>52</v>
      </c>
      <c r="G1045" s="3" t="s">
        <v>147</v>
      </c>
      <c r="H1045" s="3" t="s">
        <v>45</v>
      </c>
      <c r="I1045" s="3">
        <v>2025</v>
      </c>
      <c r="J1045" s="3" t="str">
        <f>CONCATENATE("54820163365")</f>
        <v>54820163365</v>
      </c>
      <c r="K1045" s="3" t="s">
        <v>33</v>
      </c>
      <c r="L1045" s="3"/>
      <c r="M1045" s="3" t="s">
        <v>131</v>
      </c>
      <c r="N1045" s="3" t="str">
        <f>CONCATENATE("SPCMGB49T48F109L")</f>
        <v>SPCMGB49T48F109L</v>
      </c>
      <c r="O1045" s="3" t="s">
        <v>1172</v>
      </c>
      <c r="P1045" s="3" t="s">
        <v>36</v>
      </c>
      <c r="Q1045" s="3"/>
      <c r="R1045" s="4">
        <v>45996</v>
      </c>
      <c r="S1045" s="3" t="s">
        <v>37</v>
      </c>
      <c r="T1045" s="3" t="s">
        <v>38</v>
      </c>
      <c r="U1045" s="3" t="s">
        <v>39</v>
      </c>
      <c r="V1045" s="3">
        <v>85.89</v>
      </c>
      <c r="W1045" s="3">
        <v>36.5</v>
      </c>
      <c r="X1045" s="3">
        <v>34.57</v>
      </c>
      <c r="Y1045" s="3">
        <v>14.82</v>
      </c>
    </row>
    <row r="1046" spans="1:25" ht="60.75" x14ac:dyDescent="0.25">
      <c r="A1046" s="3" t="s">
        <v>26</v>
      </c>
      <c r="B1046" s="3" t="s">
        <v>27</v>
      </c>
      <c r="C1046" s="3" t="s">
        <v>28</v>
      </c>
      <c r="D1046" s="3" t="s">
        <v>29</v>
      </c>
      <c r="E1046" s="3" t="s">
        <v>136</v>
      </c>
      <c r="F1046" s="3" t="s">
        <v>31</v>
      </c>
      <c r="G1046" s="3" t="s">
        <v>136</v>
      </c>
      <c r="H1046" s="3" t="s">
        <v>48</v>
      </c>
      <c r="I1046" s="3">
        <v>2025</v>
      </c>
      <c r="J1046" s="3" t="str">
        <f>CONCATENATE("54820127428")</f>
        <v>54820127428</v>
      </c>
      <c r="K1046" s="3" t="s">
        <v>33</v>
      </c>
      <c r="L1046" s="3"/>
      <c r="M1046" s="3" t="s">
        <v>131</v>
      </c>
      <c r="N1046" s="3" t="str">
        <f>CONCATENATE("GBBDNC40M51I461S")</f>
        <v>GBBDNC40M51I461S</v>
      </c>
      <c r="O1046" s="3" t="s">
        <v>1173</v>
      </c>
      <c r="P1046" s="3" t="s">
        <v>36</v>
      </c>
      <c r="Q1046" s="3"/>
      <c r="R1046" s="4">
        <v>45996</v>
      </c>
      <c r="S1046" s="3" t="s">
        <v>37</v>
      </c>
      <c r="T1046" s="3" t="s">
        <v>38</v>
      </c>
      <c r="U1046" s="3" t="s">
        <v>39</v>
      </c>
      <c r="V1046" s="3">
        <v>160.16999999999999</v>
      </c>
      <c r="W1046" s="3">
        <v>68.069999999999993</v>
      </c>
      <c r="X1046" s="3">
        <v>64.47</v>
      </c>
      <c r="Y1046" s="3">
        <v>27.63</v>
      </c>
    </row>
    <row r="1047" spans="1:25" ht="60.75" x14ac:dyDescent="0.25">
      <c r="A1047" s="3" t="s">
        <v>26</v>
      </c>
      <c r="B1047" s="3" t="s">
        <v>27</v>
      </c>
      <c r="C1047" s="3" t="s">
        <v>28</v>
      </c>
      <c r="D1047" s="3" t="s">
        <v>50</v>
      </c>
      <c r="E1047" s="3" t="s">
        <v>173</v>
      </c>
      <c r="F1047" s="3" t="s">
        <v>52</v>
      </c>
      <c r="G1047" s="3" t="s">
        <v>173</v>
      </c>
      <c r="H1047" s="3" t="s">
        <v>45</v>
      </c>
      <c r="I1047" s="3">
        <v>2025</v>
      </c>
      <c r="J1047" s="3" t="str">
        <f>CONCATENATE("54820025358")</f>
        <v>54820025358</v>
      </c>
      <c r="K1047" s="3" t="s">
        <v>33</v>
      </c>
      <c r="L1047" s="3"/>
      <c r="M1047" s="3" t="s">
        <v>131</v>
      </c>
      <c r="N1047" s="3" t="str">
        <f>CONCATENATE("MRTPLA51R13E785K")</f>
        <v>MRTPLA51R13E785K</v>
      </c>
      <c r="O1047" s="3" t="s">
        <v>1174</v>
      </c>
      <c r="P1047" s="3" t="s">
        <v>36</v>
      </c>
      <c r="Q1047" s="3"/>
      <c r="R1047" s="4">
        <v>45996</v>
      </c>
      <c r="S1047" s="3" t="s">
        <v>37</v>
      </c>
      <c r="T1047" s="3" t="s">
        <v>38</v>
      </c>
      <c r="U1047" s="3" t="s">
        <v>39</v>
      </c>
      <c r="V1047" s="3">
        <v>53.55</v>
      </c>
      <c r="W1047" s="3">
        <v>22.76</v>
      </c>
      <c r="X1047" s="3">
        <v>21.55</v>
      </c>
      <c r="Y1047" s="3">
        <v>9.24</v>
      </c>
    </row>
    <row r="1048" spans="1:25" ht="60.75" x14ac:dyDescent="0.25">
      <c r="A1048" s="3" t="s">
        <v>26</v>
      </c>
      <c r="B1048" s="3" t="s">
        <v>27</v>
      </c>
      <c r="C1048" s="3" t="s">
        <v>28</v>
      </c>
      <c r="D1048" s="3" t="s">
        <v>91</v>
      </c>
      <c r="E1048" s="3" t="s">
        <v>1175</v>
      </c>
      <c r="F1048" s="3" t="s">
        <v>93</v>
      </c>
      <c r="G1048" s="3" t="s">
        <v>1175</v>
      </c>
      <c r="H1048" s="3" t="s">
        <v>32</v>
      </c>
      <c r="I1048" s="3">
        <v>2025</v>
      </c>
      <c r="J1048" s="3" t="str">
        <f>CONCATENATE("54820198148")</f>
        <v>54820198148</v>
      </c>
      <c r="K1048" s="3" t="s">
        <v>33</v>
      </c>
      <c r="L1048" s="3"/>
      <c r="M1048" s="3" t="s">
        <v>131</v>
      </c>
      <c r="N1048" s="3" t="str">
        <f>CONCATENATE("PCFLRT74E22D653T")</f>
        <v>PCFLRT74E22D653T</v>
      </c>
      <c r="O1048" s="3" t="s">
        <v>1176</v>
      </c>
      <c r="P1048" s="3" t="s">
        <v>36</v>
      </c>
      <c r="Q1048" s="3"/>
      <c r="R1048" s="4">
        <v>45996</v>
      </c>
      <c r="S1048" s="3" t="s">
        <v>37</v>
      </c>
      <c r="T1048" s="3" t="s">
        <v>38</v>
      </c>
      <c r="U1048" s="3" t="s">
        <v>39</v>
      </c>
      <c r="V1048" s="3">
        <v>144.47</v>
      </c>
      <c r="W1048" s="3">
        <v>61.4</v>
      </c>
      <c r="X1048" s="3">
        <v>58.15</v>
      </c>
      <c r="Y1048" s="3">
        <v>24.92</v>
      </c>
    </row>
    <row r="1049" spans="1:25" ht="60.75" x14ac:dyDescent="0.25">
      <c r="A1049" s="3" t="s">
        <v>26</v>
      </c>
      <c r="B1049" s="3" t="s">
        <v>27</v>
      </c>
      <c r="C1049" s="3" t="s">
        <v>28</v>
      </c>
      <c r="D1049" s="3" t="s">
        <v>29</v>
      </c>
      <c r="E1049" s="3" t="s">
        <v>47</v>
      </c>
      <c r="F1049" s="3" t="s">
        <v>31</v>
      </c>
      <c r="G1049" s="3" t="s">
        <v>47</v>
      </c>
      <c r="H1049" s="3" t="s">
        <v>48</v>
      </c>
      <c r="I1049" s="3">
        <v>2025</v>
      </c>
      <c r="J1049" s="3" t="str">
        <f>CONCATENATE("54820030010")</f>
        <v>54820030010</v>
      </c>
      <c r="K1049" s="3" t="s">
        <v>33</v>
      </c>
      <c r="L1049" s="3"/>
      <c r="M1049" s="3" t="s">
        <v>131</v>
      </c>
      <c r="N1049" s="3" t="str">
        <f>CONCATENATE("PRNNDR79S07D451T")</f>
        <v>PRNNDR79S07D451T</v>
      </c>
      <c r="O1049" s="3" t="s">
        <v>1177</v>
      </c>
      <c r="P1049" s="3" t="s">
        <v>36</v>
      </c>
      <c r="Q1049" s="3"/>
      <c r="R1049" s="4">
        <v>45996</v>
      </c>
      <c r="S1049" s="3" t="s">
        <v>37</v>
      </c>
      <c r="T1049" s="3" t="s">
        <v>38</v>
      </c>
      <c r="U1049" s="3" t="s">
        <v>39</v>
      </c>
      <c r="V1049" s="3">
        <v>104.24</v>
      </c>
      <c r="W1049" s="3">
        <v>44.3</v>
      </c>
      <c r="X1049" s="3">
        <v>41.96</v>
      </c>
      <c r="Y1049" s="3">
        <v>17.98</v>
      </c>
    </row>
    <row r="1050" spans="1:25" ht="60.75" x14ac:dyDescent="0.25">
      <c r="A1050" s="3" t="s">
        <v>26</v>
      </c>
      <c r="B1050" s="3" t="s">
        <v>27</v>
      </c>
      <c r="C1050" s="3" t="s">
        <v>28</v>
      </c>
      <c r="D1050" s="3" t="s">
        <v>29</v>
      </c>
      <c r="E1050" s="3" t="s">
        <v>186</v>
      </c>
      <c r="F1050" s="3" t="s">
        <v>31</v>
      </c>
      <c r="G1050" s="3" t="s">
        <v>186</v>
      </c>
      <c r="H1050" s="3" t="s">
        <v>45</v>
      </c>
      <c r="I1050" s="3">
        <v>2025</v>
      </c>
      <c r="J1050" s="3" t="str">
        <f>CONCATENATE("54820044730")</f>
        <v>54820044730</v>
      </c>
      <c r="K1050" s="3" t="s">
        <v>33</v>
      </c>
      <c r="L1050" s="3"/>
      <c r="M1050" s="3" t="s">
        <v>131</v>
      </c>
      <c r="N1050" s="3" t="str">
        <f>CONCATENATE("SLVZEI67D15E743U")</f>
        <v>SLVZEI67D15E743U</v>
      </c>
      <c r="O1050" s="3" t="s">
        <v>1178</v>
      </c>
      <c r="P1050" s="3" t="s">
        <v>36</v>
      </c>
      <c r="Q1050" s="3"/>
      <c r="R1050" s="4">
        <v>45996</v>
      </c>
      <c r="S1050" s="3" t="s">
        <v>37</v>
      </c>
      <c r="T1050" s="3" t="s">
        <v>38</v>
      </c>
      <c r="U1050" s="3" t="s">
        <v>39</v>
      </c>
      <c r="V1050" s="3">
        <v>283.77999999999997</v>
      </c>
      <c r="W1050" s="3">
        <v>120.61</v>
      </c>
      <c r="X1050" s="3">
        <v>114.22</v>
      </c>
      <c r="Y1050" s="3">
        <v>48.95</v>
      </c>
    </row>
    <row r="1051" spans="1:25" ht="60.75" x14ac:dyDescent="0.25">
      <c r="A1051" s="3" t="s">
        <v>26</v>
      </c>
      <c r="B1051" s="3" t="s">
        <v>27</v>
      </c>
      <c r="C1051" s="3" t="s">
        <v>28</v>
      </c>
      <c r="D1051" s="3" t="s">
        <v>29</v>
      </c>
      <c r="E1051" s="3" t="s">
        <v>228</v>
      </c>
      <c r="F1051" s="3" t="s">
        <v>31</v>
      </c>
      <c r="G1051" s="3" t="s">
        <v>228</v>
      </c>
      <c r="H1051" s="3" t="s">
        <v>45</v>
      </c>
      <c r="I1051" s="3">
        <v>2025</v>
      </c>
      <c r="J1051" s="3" t="str">
        <f>CONCATENATE("54820036272")</f>
        <v>54820036272</v>
      </c>
      <c r="K1051" s="3" t="s">
        <v>33</v>
      </c>
      <c r="L1051" s="3"/>
      <c r="M1051" s="3" t="s">
        <v>131</v>
      </c>
      <c r="N1051" s="3" t="str">
        <f>CONCATENATE("GNTGPR49E19D749G")</f>
        <v>GNTGPR49E19D749G</v>
      </c>
      <c r="O1051" s="3" t="s">
        <v>1179</v>
      </c>
      <c r="P1051" s="3" t="s">
        <v>36</v>
      </c>
      <c r="Q1051" s="3"/>
      <c r="R1051" s="4">
        <v>45996</v>
      </c>
      <c r="S1051" s="3" t="s">
        <v>37</v>
      </c>
      <c r="T1051" s="3" t="s">
        <v>38</v>
      </c>
      <c r="U1051" s="3" t="s">
        <v>39</v>
      </c>
      <c r="V1051" s="3">
        <v>72.75</v>
      </c>
      <c r="W1051" s="3">
        <v>30.92</v>
      </c>
      <c r="X1051" s="3">
        <v>29.28</v>
      </c>
      <c r="Y1051" s="3">
        <v>12.55</v>
      </c>
    </row>
    <row r="1052" spans="1:25" ht="60.75" x14ac:dyDescent="0.25">
      <c r="A1052" s="3" t="s">
        <v>26</v>
      </c>
      <c r="B1052" s="3" t="s">
        <v>27</v>
      </c>
      <c r="C1052" s="3" t="s">
        <v>28</v>
      </c>
      <c r="D1052" s="3" t="s">
        <v>29</v>
      </c>
      <c r="E1052" s="3" t="s">
        <v>228</v>
      </c>
      <c r="F1052" s="3" t="s">
        <v>31</v>
      </c>
      <c r="G1052" s="3" t="s">
        <v>228</v>
      </c>
      <c r="H1052" s="3" t="s">
        <v>45</v>
      </c>
      <c r="I1052" s="3">
        <v>2025</v>
      </c>
      <c r="J1052" s="3" t="str">
        <f>CONCATENATE("54820051727")</f>
        <v>54820051727</v>
      </c>
      <c r="K1052" s="3" t="s">
        <v>33</v>
      </c>
      <c r="L1052" s="3"/>
      <c r="M1052" s="3" t="s">
        <v>131</v>
      </c>
      <c r="N1052" s="3" t="str">
        <f>CONCATENATE("SNCDNI34P54D541F")</f>
        <v>SNCDNI34P54D541F</v>
      </c>
      <c r="O1052" s="3" t="s">
        <v>1180</v>
      </c>
      <c r="P1052" s="3" t="s">
        <v>36</v>
      </c>
      <c r="Q1052" s="3"/>
      <c r="R1052" s="4">
        <v>45996</v>
      </c>
      <c r="S1052" s="3" t="s">
        <v>37</v>
      </c>
      <c r="T1052" s="3" t="s">
        <v>38</v>
      </c>
      <c r="U1052" s="3" t="s">
        <v>39</v>
      </c>
      <c r="V1052" s="3">
        <v>73.650000000000006</v>
      </c>
      <c r="W1052" s="3">
        <v>31.3</v>
      </c>
      <c r="X1052" s="3">
        <v>29.64</v>
      </c>
      <c r="Y1052" s="3">
        <v>12.71</v>
      </c>
    </row>
    <row r="1053" spans="1:25" ht="60.75" x14ac:dyDescent="0.25">
      <c r="A1053" s="3" t="s">
        <v>26</v>
      </c>
      <c r="B1053" s="3" t="s">
        <v>27</v>
      </c>
      <c r="C1053" s="3" t="s">
        <v>28</v>
      </c>
      <c r="D1053" s="3" t="s">
        <v>29</v>
      </c>
      <c r="E1053" s="3" t="s">
        <v>72</v>
      </c>
      <c r="F1053" s="3" t="s">
        <v>31</v>
      </c>
      <c r="G1053" s="3" t="s">
        <v>72</v>
      </c>
      <c r="H1053" s="3" t="s">
        <v>45</v>
      </c>
      <c r="I1053" s="3">
        <v>2025</v>
      </c>
      <c r="J1053" s="3" t="str">
        <f>CONCATENATE("54820022868")</f>
        <v>54820022868</v>
      </c>
      <c r="K1053" s="3" t="s">
        <v>33</v>
      </c>
      <c r="L1053" s="3"/>
      <c r="M1053" s="3" t="s">
        <v>131</v>
      </c>
      <c r="N1053" s="3" t="str">
        <f>CONCATENATE("RLNMRS75A11D488K")</f>
        <v>RLNMRS75A11D488K</v>
      </c>
      <c r="O1053" s="3" t="s">
        <v>1181</v>
      </c>
      <c r="P1053" s="3" t="s">
        <v>36</v>
      </c>
      <c r="Q1053" s="3"/>
      <c r="R1053" s="4">
        <v>45996</v>
      </c>
      <c r="S1053" s="3" t="s">
        <v>37</v>
      </c>
      <c r="T1053" s="3" t="s">
        <v>38</v>
      </c>
      <c r="U1053" s="3" t="s">
        <v>39</v>
      </c>
      <c r="V1053" s="3">
        <v>70.27</v>
      </c>
      <c r="W1053" s="3">
        <v>29.86</v>
      </c>
      <c r="X1053" s="3">
        <v>28.28</v>
      </c>
      <c r="Y1053" s="3">
        <v>12.13</v>
      </c>
    </row>
    <row r="1054" spans="1:25" ht="60.75" x14ac:dyDescent="0.25">
      <c r="A1054" s="3" t="s">
        <v>26</v>
      </c>
      <c r="B1054" s="3" t="s">
        <v>27</v>
      </c>
      <c r="C1054" s="3" t="s">
        <v>28</v>
      </c>
      <c r="D1054" s="3" t="s">
        <v>29</v>
      </c>
      <c r="E1054" s="3" t="s">
        <v>233</v>
      </c>
      <c r="F1054" s="3" t="s">
        <v>31</v>
      </c>
      <c r="G1054" s="3" t="s">
        <v>233</v>
      </c>
      <c r="H1054" s="3" t="s">
        <v>96</v>
      </c>
      <c r="I1054" s="3">
        <v>2025</v>
      </c>
      <c r="J1054" s="3" t="str">
        <f>CONCATENATE("54820067277")</f>
        <v>54820067277</v>
      </c>
      <c r="K1054" s="3" t="s">
        <v>33</v>
      </c>
      <c r="L1054" s="3"/>
      <c r="M1054" s="3" t="s">
        <v>131</v>
      </c>
      <c r="N1054" s="3" t="str">
        <f>CONCATENATE("ZCHRRT64S45F205B")</f>
        <v>ZCHRRT64S45F205B</v>
      </c>
      <c r="O1054" s="3" t="s">
        <v>1182</v>
      </c>
      <c r="P1054" s="3" t="s">
        <v>36</v>
      </c>
      <c r="Q1054" s="3"/>
      <c r="R1054" s="4">
        <v>45996</v>
      </c>
      <c r="S1054" s="3" t="s">
        <v>37</v>
      </c>
      <c r="T1054" s="3" t="s">
        <v>38</v>
      </c>
      <c r="U1054" s="3" t="s">
        <v>39</v>
      </c>
      <c r="V1054" s="3">
        <v>136.44</v>
      </c>
      <c r="W1054" s="3">
        <v>57.99</v>
      </c>
      <c r="X1054" s="3">
        <v>54.92</v>
      </c>
      <c r="Y1054" s="3">
        <v>23.53</v>
      </c>
    </row>
    <row r="1055" spans="1:25" ht="60.75" x14ac:dyDescent="0.25">
      <c r="A1055" s="3" t="s">
        <v>26</v>
      </c>
      <c r="B1055" s="3" t="s">
        <v>27</v>
      </c>
      <c r="C1055" s="3" t="s">
        <v>28</v>
      </c>
      <c r="D1055" s="3" t="s">
        <v>29</v>
      </c>
      <c r="E1055" s="3" t="s">
        <v>186</v>
      </c>
      <c r="F1055" s="3" t="s">
        <v>31</v>
      </c>
      <c r="G1055" s="3" t="s">
        <v>186</v>
      </c>
      <c r="H1055" s="3" t="s">
        <v>45</v>
      </c>
      <c r="I1055" s="3">
        <v>2025</v>
      </c>
      <c r="J1055" s="3" t="str">
        <f>CONCATENATE("54820027297")</f>
        <v>54820027297</v>
      </c>
      <c r="K1055" s="3" t="s">
        <v>33</v>
      </c>
      <c r="L1055" s="3"/>
      <c r="M1055" s="3" t="s">
        <v>131</v>
      </c>
      <c r="N1055" s="3" t="str">
        <f>CONCATENATE("CRBSRA86S69A271U")</f>
        <v>CRBSRA86S69A271U</v>
      </c>
      <c r="O1055" s="3" t="s">
        <v>1183</v>
      </c>
      <c r="P1055" s="3" t="s">
        <v>36</v>
      </c>
      <c r="Q1055" s="3"/>
      <c r="R1055" s="4">
        <v>45996</v>
      </c>
      <c r="S1055" s="3" t="s">
        <v>37</v>
      </c>
      <c r="T1055" s="3" t="s">
        <v>38</v>
      </c>
      <c r="U1055" s="3" t="s">
        <v>39</v>
      </c>
      <c r="V1055" s="3">
        <v>100.25</v>
      </c>
      <c r="W1055" s="3">
        <v>42.61</v>
      </c>
      <c r="X1055" s="3">
        <v>40.35</v>
      </c>
      <c r="Y1055" s="3">
        <v>17.29</v>
      </c>
    </row>
    <row r="1056" spans="1:25" ht="72.75" x14ac:dyDescent="0.25">
      <c r="A1056" s="3" t="s">
        <v>26</v>
      </c>
      <c r="B1056" s="3" t="s">
        <v>27</v>
      </c>
      <c r="C1056" s="3" t="s">
        <v>28</v>
      </c>
      <c r="D1056" s="3" t="s">
        <v>50</v>
      </c>
      <c r="E1056" s="3" t="s">
        <v>51</v>
      </c>
      <c r="F1056" s="3" t="s">
        <v>52</v>
      </c>
      <c r="G1056" s="3" t="s">
        <v>51</v>
      </c>
      <c r="H1056" s="3" t="s">
        <v>48</v>
      </c>
      <c r="I1056" s="3">
        <v>2025</v>
      </c>
      <c r="J1056" s="3" t="str">
        <f>CONCATENATE("54820041553")</f>
        <v>54820041553</v>
      </c>
      <c r="K1056" s="3" t="s">
        <v>33</v>
      </c>
      <c r="L1056" s="3"/>
      <c r="M1056" s="3" t="s">
        <v>131</v>
      </c>
      <c r="N1056" s="3" t="str">
        <f>CONCATENATE("GRLFRZ77B10D451N")</f>
        <v>GRLFRZ77B10D451N</v>
      </c>
      <c r="O1056" s="3" t="s">
        <v>1184</v>
      </c>
      <c r="P1056" s="3" t="s">
        <v>36</v>
      </c>
      <c r="Q1056" s="3"/>
      <c r="R1056" s="4">
        <v>45996</v>
      </c>
      <c r="S1056" s="3" t="s">
        <v>37</v>
      </c>
      <c r="T1056" s="3" t="s">
        <v>38</v>
      </c>
      <c r="U1056" s="3" t="s">
        <v>39</v>
      </c>
      <c r="V1056" s="3">
        <v>449.07</v>
      </c>
      <c r="W1056" s="3">
        <v>190.85</v>
      </c>
      <c r="X1056" s="3">
        <v>180.75</v>
      </c>
      <c r="Y1056" s="3">
        <v>77.47</v>
      </c>
    </row>
    <row r="1057" spans="1:25" ht="60.75" x14ac:dyDescent="0.25">
      <c r="A1057" s="3" t="s">
        <v>26</v>
      </c>
      <c r="B1057" s="3" t="s">
        <v>27</v>
      </c>
      <c r="C1057" s="3" t="s">
        <v>28</v>
      </c>
      <c r="D1057" s="3" t="s">
        <v>29</v>
      </c>
      <c r="E1057" s="3" t="s">
        <v>136</v>
      </c>
      <c r="F1057" s="3" t="s">
        <v>31</v>
      </c>
      <c r="G1057" s="3" t="s">
        <v>136</v>
      </c>
      <c r="H1057" s="3" t="s">
        <v>48</v>
      </c>
      <c r="I1057" s="3">
        <v>2025</v>
      </c>
      <c r="J1057" s="3" t="str">
        <f>CONCATENATE("54820067590")</f>
        <v>54820067590</v>
      </c>
      <c r="K1057" s="3" t="s">
        <v>33</v>
      </c>
      <c r="L1057" s="3"/>
      <c r="M1057" s="3" t="s">
        <v>131</v>
      </c>
      <c r="N1057" s="3" t="str">
        <f>CONCATENATE("SPSDNL79A55L063N")</f>
        <v>SPSDNL79A55L063N</v>
      </c>
      <c r="O1057" s="3" t="s">
        <v>1185</v>
      </c>
      <c r="P1057" s="3" t="s">
        <v>36</v>
      </c>
      <c r="Q1057" s="3"/>
      <c r="R1057" s="4">
        <v>45996</v>
      </c>
      <c r="S1057" s="3" t="s">
        <v>37</v>
      </c>
      <c r="T1057" s="3" t="s">
        <v>38</v>
      </c>
      <c r="U1057" s="3" t="s">
        <v>39</v>
      </c>
      <c r="V1057" s="3">
        <v>297.31</v>
      </c>
      <c r="W1057" s="3">
        <v>126.36</v>
      </c>
      <c r="X1057" s="3">
        <v>119.67</v>
      </c>
      <c r="Y1057" s="3">
        <v>51.28</v>
      </c>
    </row>
    <row r="1058" spans="1:25" ht="60.75" x14ac:dyDescent="0.25">
      <c r="A1058" s="3" t="s">
        <v>26</v>
      </c>
      <c r="B1058" s="3" t="s">
        <v>27</v>
      </c>
      <c r="C1058" s="3" t="s">
        <v>28</v>
      </c>
      <c r="D1058" s="3" t="s">
        <v>29</v>
      </c>
      <c r="E1058" s="3" t="s">
        <v>72</v>
      </c>
      <c r="F1058" s="3" t="s">
        <v>31</v>
      </c>
      <c r="G1058" s="3" t="s">
        <v>72</v>
      </c>
      <c r="H1058" s="3" t="s">
        <v>45</v>
      </c>
      <c r="I1058" s="3">
        <v>2025</v>
      </c>
      <c r="J1058" s="3" t="str">
        <f>CONCATENATE("54820060462")</f>
        <v>54820060462</v>
      </c>
      <c r="K1058" s="3" t="s">
        <v>33</v>
      </c>
      <c r="L1058" s="3"/>
      <c r="M1058" s="3" t="s">
        <v>131</v>
      </c>
      <c r="N1058" s="3" t="str">
        <f>CONCATENATE("VGLTMR76T62D749L")</f>
        <v>VGLTMR76T62D749L</v>
      </c>
      <c r="O1058" s="3" t="s">
        <v>1186</v>
      </c>
      <c r="P1058" s="3" t="s">
        <v>36</v>
      </c>
      <c r="Q1058" s="3"/>
      <c r="R1058" s="4">
        <v>45996</v>
      </c>
      <c r="S1058" s="3" t="s">
        <v>37</v>
      </c>
      <c r="T1058" s="3" t="s">
        <v>38</v>
      </c>
      <c r="U1058" s="3" t="s">
        <v>39</v>
      </c>
      <c r="V1058" s="3">
        <v>136.1</v>
      </c>
      <c r="W1058" s="3">
        <v>57.84</v>
      </c>
      <c r="X1058" s="3">
        <v>54.78</v>
      </c>
      <c r="Y1058" s="3">
        <v>23.48</v>
      </c>
    </row>
    <row r="1059" spans="1:25" ht="60.75" x14ac:dyDescent="0.25">
      <c r="A1059" s="3" t="s">
        <v>26</v>
      </c>
      <c r="B1059" s="3" t="s">
        <v>27</v>
      </c>
      <c r="C1059" s="3" t="s">
        <v>28</v>
      </c>
      <c r="D1059" s="3" t="s">
        <v>29</v>
      </c>
      <c r="E1059" s="3" t="s">
        <v>228</v>
      </c>
      <c r="F1059" s="3" t="s">
        <v>31</v>
      </c>
      <c r="G1059" s="3" t="s">
        <v>228</v>
      </c>
      <c r="H1059" s="3" t="s">
        <v>45</v>
      </c>
      <c r="I1059" s="3">
        <v>2025</v>
      </c>
      <c r="J1059" s="3" t="str">
        <f>CONCATENATE("54820040522")</f>
        <v>54820040522</v>
      </c>
      <c r="K1059" s="3" t="s">
        <v>33</v>
      </c>
      <c r="L1059" s="3"/>
      <c r="M1059" s="3" t="s">
        <v>131</v>
      </c>
      <c r="N1059" s="3" t="str">
        <f>CONCATENATE("NBLMLD34S45F474K")</f>
        <v>NBLMLD34S45F474K</v>
      </c>
      <c r="O1059" s="3" t="s">
        <v>1187</v>
      </c>
      <c r="P1059" s="3" t="s">
        <v>36</v>
      </c>
      <c r="Q1059" s="3"/>
      <c r="R1059" s="4">
        <v>45996</v>
      </c>
      <c r="S1059" s="3" t="s">
        <v>37</v>
      </c>
      <c r="T1059" s="3" t="s">
        <v>38</v>
      </c>
      <c r="U1059" s="3" t="s">
        <v>39</v>
      </c>
      <c r="V1059" s="3">
        <v>132.15</v>
      </c>
      <c r="W1059" s="3">
        <v>56.16</v>
      </c>
      <c r="X1059" s="3">
        <v>53.19</v>
      </c>
      <c r="Y1059" s="3">
        <v>22.8</v>
      </c>
    </row>
    <row r="1060" spans="1:25" ht="60.75" x14ac:dyDescent="0.25">
      <c r="A1060" s="3" t="s">
        <v>26</v>
      </c>
      <c r="B1060" s="3" t="s">
        <v>27</v>
      </c>
      <c r="C1060" s="3" t="s">
        <v>28</v>
      </c>
      <c r="D1060" s="3" t="s">
        <v>40</v>
      </c>
      <c r="E1060" s="3" t="s">
        <v>41</v>
      </c>
      <c r="F1060" s="3" t="s">
        <v>42</v>
      </c>
      <c r="G1060" s="3" t="s">
        <v>41</v>
      </c>
      <c r="H1060" s="3" t="s">
        <v>32</v>
      </c>
      <c r="I1060" s="3">
        <v>2025</v>
      </c>
      <c r="J1060" s="3" t="str">
        <f>CONCATENATE("54820036892")</f>
        <v>54820036892</v>
      </c>
      <c r="K1060" s="3" t="s">
        <v>33</v>
      </c>
      <c r="L1060" s="3"/>
      <c r="M1060" s="3" t="s">
        <v>131</v>
      </c>
      <c r="N1060" s="3" t="str">
        <f>CONCATENATE("MRTTLL64A31I156E")</f>
        <v>MRTTLL64A31I156E</v>
      </c>
      <c r="O1060" s="3" t="s">
        <v>1188</v>
      </c>
      <c r="P1060" s="3" t="s">
        <v>36</v>
      </c>
      <c r="Q1060" s="3"/>
      <c r="R1060" s="4">
        <v>45996</v>
      </c>
      <c r="S1060" s="3" t="s">
        <v>37</v>
      </c>
      <c r="T1060" s="3" t="s">
        <v>38</v>
      </c>
      <c r="U1060" s="3" t="s">
        <v>39</v>
      </c>
      <c r="V1060" s="3">
        <v>81.650000000000006</v>
      </c>
      <c r="W1060" s="3">
        <v>34.700000000000003</v>
      </c>
      <c r="X1060" s="3">
        <v>32.86</v>
      </c>
      <c r="Y1060" s="3">
        <v>14.09</v>
      </c>
    </row>
    <row r="1061" spans="1:25" ht="60.75" x14ac:dyDescent="0.25">
      <c r="A1061" s="3" t="s">
        <v>26</v>
      </c>
      <c r="B1061" s="3" t="s">
        <v>27</v>
      </c>
      <c r="C1061" s="3" t="s">
        <v>28</v>
      </c>
      <c r="D1061" s="3" t="s">
        <v>29</v>
      </c>
      <c r="E1061" s="3" t="s">
        <v>119</v>
      </c>
      <c r="F1061" s="3" t="s">
        <v>31</v>
      </c>
      <c r="G1061" s="3" t="s">
        <v>119</v>
      </c>
      <c r="H1061" s="3" t="s">
        <v>96</v>
      </c>
      <c r="I1061" s="3">
        <v>2025</v>
      </c>
      <c r="J1061" s="3" t="str">
        <f>CONCATENATE("54820068978")</f>
        <v>54820068978</v>
      </c>
      <c r="K1061" s="3" t="s">
        <v>33</v>
      </c>
      <c r="L1061" s="3"/>
      <c r="M1061" s="3" t="s">
        <v>131</v>
      </c>
      <c r="N1061" s="3" t="str">
        <f>CONCATENATE("RMLFNC59M23C935J")</f>
        <v>RMLFNC59M23C935J</v>
      </c>
      <c r="O1061" s="3" t="s">
        <v>1189</v>
      </c>
      <c r="P1061" s="3" t="s">
        <v>36</v>
      </c>
      <c r="Q1061" s="3"/>
      <c r="R1061" s="4">
        <v>45996</v>
      </c>
      <c r="S1061" s="3" t="s">
        <v>37</v>
      </c>
      <c r="T1061" s="3" t="s">
        <v>38</v>
      </c>
      <c r="U1061" s="3" t="s">
        <v>39</v>
      </c>
      <c r="V1061" s="3">
        <v>156.03</v>
      </c>
      <c r="W1061" s="3">
        <v>66.31</v>
      </c>
      <c r="X1061" s="3">
        <v>62.8</v>
      </c>
      <c r="Y1061" s="3">
        <v>26.92</v>
      </c>
    </row>
    <row r="1062" spans="1:25" ht="60.75" x14ac:dyDescent="0.25">
      <c r="A1062" s="3" t="s">
        <v>26</v>
      </c>
      <c r="B1062" s="3" t="s">
        <v>27</v>
      </c>
      <c r="C1062" s="3" t="s">
        <v>28</v>
      </c>
      <c r="D1062" s="3" t="s">
        <v>50</v>
      </c>
      <c r="E1062" s="3" t="s">
        <v>51</v>
      </c>
      <c r="F1062" s="3" t="s">
        <v>52</v>
      </c>
      <c r="G1062" s="3" t="s">
        <v>51</v>
      </c>
      <c r="H1062" s="3" t="s">
        <v>48</v>
      </c>
      <c r="I1062" s="3">
        <v>2025</v>
      </c>
      <c r="J1062" s="3" t="str">
        <f>CONCATENATE("54820062906")</f>
        <v>54820062906</v>
      </c>
      <c r="K1062" s="3" t="s">
        <v>33</v>
      </c>
      <c r="L1062" s="3"/>
      <c r="M1062" s="3" t="s">
        <v>131</v>
      </c>
      <c r="N1062" s="3" t="str">
        <f>CONCATENATE("LBRFRZ78L02D451Y")</f>
        <v>LBRFRZ78L02D451Y</v>
      </c>
      <c r="O1062" s="3" t="s">
        <v>1190</v>
      </c>
      <c r="P1062" s="3" t="s">
        <v>36</v>
      </c>
      <c r="Q1062" s="3"/>
      <c r="R1062" s="4">
        <v>45996</v>
      </c>
      <c r="S1062" s="3" t="s">
        <v>37</v>
      </c>
      <c r="T1062" s="3" t="s">
        <v>38</v>
      </c>
      <c r="U1062" s="3" t="s">
        <v>39</v>
      </c>
      <c r="V1062" s="3">
        <v>103.7</v>
      </c>
      <c r="W1062" s="3">
        <v>44.07</v>
      </c>
      <c r="X1062" s="3">
        <v>41.74</v>
      </c>
      <c r="Y1062" s="3">
        <v>17.89</v>
      </c>
    </row>
    <row r="1063" spans="1:25" ht="36.75" x14ac:dyDescent="0.25">
      <c r="A1063" s="3" t="s">
        <v>26</v>
      </c>
      <c r="B1063" s="3" t="s">
        <v>27</v>
      </c>
      <c r="C1063" s="3" t="s">
        <v>28</v>
      </c>
      <c r="D1063" s="3" t="s">
        <v>50</v>
      </c>
      <c r="E1063" s="3" t="s">
        <v>107</v>
      </c>
      <c r="F1063" s="3" t="s">
        <v>52</v>
      </c>
      <c r="G1063" s="3" t="s">
        <v>107</v>
      </c>
      <c r="H1063" s="3" t="s">
        <v>32</v>
      </c>
      <c r="I1063" s="3">
        <v>2025</v>
      </c>
      <c r="J1063" s="3" t="str">
        <f>CONCATENATE("54820047162")</f>
        <v>54820047162</v>
      </c>
      <c r="K1063" s="3" t="s">
        <v>33</v>
      </c>
      <c r="L1063" s="3"/>
      <c r="M1063" s="3" t="s">
        <v>131</v>
      </c>
      <c r="N1063" s="3" t="str">
        <f>CONCATENATE("02818400422")</f>
        <v>02818400422</v>
      </c>
      <c r="O1063" s="3" t="s">
        <v>1191</v>
      </c>
      <c r="P1063" s="3" t="s">
        <v>36</v>
      </c>
      <c r="Q1063" s="3"/>
      <c r="R1063" s="4">
        <v>45996</v>
      </c>
      <c r="S1063" s="3" t="s">
        <v>37</v>
      </c>
      <c r="T1063" s="3" t="s">
        <v>38</v>
      </c>
      <c r="U1063" s="3" t="s">
        <v>39</v>
      </c>
      <c r="V1063" s="5">
        <v>1086.27</v>
      </c>
      <c r="W1063" s="3">
        <v>461.66</v>
      </c>
      <c r="X1063" s="3">
        <v>437.22</v>
      </c>
      <c r="Y1063" s="3">
        <v>187.39</v>
      </c>
    </row>
    <row r="1064" spans="1:25" ht="60.75" x14ac:dyDescent="0.25">
      <c r="A1064" s="3" t="s">
        <v>26</v>
      </c>
      <c r="B1064" s="3" t="s">
        <v>27</v>
      </c>
      <c r="C1064" s="3" t="s">
        <v>28</v>
      </c>
      <c r="D1064" s="3" t="s">
        <v>29</v>
      </c>
      <c r="E1064" s="3" t="s">
        <v>119</v>
      </c>
      <c r="F1064" s="3" t="s">
        <v>31</v>
      </c>
      <c r="G1064" s="3" t="s">
        <v>119</v>
      </c>
      <c r="H1064" s="3" t="s">
        <v>96</v>
      </c>
      <c r="I1064" s="3">
        <v>2025</v>
      </c>
      <c r="J1064" s="3" t="str">
        <f>CONCATENATE("54820071071")</f>
        <v>54820071071</v>
      </c>
      <c r="K1064" s="3" t="s">
        <v>33</v>
      </c>
      <c r="L1064" s="3"/>
      <c r="M1064" s="3" t="s">
        <v>131</v>
      </c>
      <c r="N1064" s="3" t="str">
        <f>CONCATENATE("GRZPQL41H18H588Z")</f>
        <v>GRZPQL41H18H588Z</v>
      </c>
      <c r="O1064" s="3" t="s">
        <v>1192</v>
      </c>
      <c r="P1064" s="3" t="s">
        <v>36</v>
      </c>
      <c r="Q1064" s="3"/>
      <c r="R1064" s="4">
        <v>45996</v>
      </c>
      <c r="S1064" s="3" t="s">
        <v>37</v>
      </c>
      <c r="T1064" s="3" t="s">
        <v>38</v>
      </c>
      <c r="U1064" s="3" t="s">
        <v>39</v>
      </c>
      <c r="V1064" s="3">
        <v>174.72</v>
      </c>
      <c r="W1064" s="3">
        <v>74.260000000000005</v>
      </c>
      <c r="X1064" s="3">
        <v>70.319999999999993</v>
      </c>
      <c r="Y1064" s="3">
        <v>30.14</v>
      </c>
    </row>
    <row r="1065" spans="1:25" ht="72.75" x14ac:dyDescent="0.25">
      <c r="A1065" s="3" t="s">
        <v>26</v>
      </c>
      <c r="B1065" s="3" t="s">
        <v>27</v>
      </c>
      <c r="C1065" s="3" t="s">
        <v>28</v>
      </c>
      <c r="D1065" s="3" t="s">
        <v>29</v>
      </c>
      <c r="E1065" s="3" t="s">
        <v>136</v>
      </c>
      <c r="F1065" s="3" t="s">
        <v>31</v>
      </c>
      <c r="G1065" s="3" t="s">
        <v>136</v>
      </c>
      <c r="H1065" s="3" t="s">
        <v>48</v>
      </c>
      <c r="I1065" s="3">
        <v>2025</v>
      </c>
      <c r="J1065" s="3" t="str">
        <f>CONCATENATE("54820046636")</f>
        <v>54820046636</v>
      </c>
      <c r="K1065" s="3" t="s">
        <v>33</v>
      </c>
      <c r="L1065" s="3"/>
      <c r="M1065" s="3" t="s">
        <v>131</v>
      </c>
      <c r="N1065" s="3" t="str">
        <f>CONCATENATE("BLLGNN34B16D965U")</f>
        <v>BLLGNN34B16D965U</v>
      </c>
      <c r="O1065" s="3" t="s">
        <v>1193</v>
      </c>
      <c r="P1065" s="3" t="s">
        <v>36</v>
      </c>
      <c r="Q1065" s="3"/>
      <c r="R1065" s="4">
        <v>45996</v>
      </c>
      <c r="S1065" s="3" t="s">
        <v>37</v>
      </c>
      <c r="T1065" s="3" t="s">
        <v>38</v>
      </c>
      <c r="U1065" s="3" t="s">
        <v>39</v>
      </c>
      <c r="V1065" s="3">
        <v>197.23</v>
      </c>
      <c r="W1065" s="3">
        <v>83.82</v>
      </c>
      <c r="X1065" s="3">
        <v>79.39</v>
      </c>
      <c r="Y1065" s="3">
        <v>34.020000000000003</v>
      </c>
    </row>
    <row r="1066" spans="1:25" ht="60.75" x14ac:dyDescent="0.25">
      <c r="A1066" s="3" t="s">
        <v>26</v>
      </c>
      <c r="B1066" s="3" t="s">
        <v>27</v>
      </c>
      <c r="C1066" s="3" t="s">
        <v>28</v>
      </c>
      <c r="D1066" s="3" t="s">
        <v>29</v>
      </c>
      <c r="E1066" s="3" t="s">
        <v>72</v>
      </c>
      <c r="F1066" s="3" t="s">
        <v>31</v>
      </c>
      <c r="G1066" s="3" t="s">
        <v>72</v>
      </c>
      <c r="H1066" s="3" t="s">
        <v>45</v>
      </c>
      <c r="I1066" s="3">
        <v>2025</v>
      </c>
      <c r="J1066" s="3" t="str">
        <f>CONCATENATE("54820052600")</f>
        <v>54820052600</v>
      </c>
      <c r="K1066" s="3" t="s">
        <v>33</v>
      </c>
      <c r="L1066" s="3"/>
      <c r="M1066" s="3" t="s">
        <v>131</v>
      </c>
      <c r="N1066" s="3" t="str">
        <f>CONCATENATE("MSCVLN54D11B352S")</f>
        <v>MSCVLN54D11B352S</v>
      </c>
      <c r="O1066" s="3" t="s">
        <v>1194</v>
      </c>
      <c r="P1066" s="3" t="s">
        <v>36</v>
      </c>
      <c r="Q1066" s="3"/>
      <c r="R1066" s="4">
        <v>45996</v>
      </c>
      <c r="S1066" s="3" t="s">
        <v>37</v>
      </c>
      <c r="T1066" s="3" t="s">
        <v>38</v>
      </c>
      <c r="U1066" s="3" t="s">
        <v>39</v>
      </c>
      <c r="V1066" s="3">
        <v>203.09</v>
      </c>
      <c r="W1066" s="3">
        <v>86.31</v>
      </c>
      <c r="X1066" s="3">
        <v>81.739999999999995</v>
      </c>
      <c r="Y1066" s="3">
        <v>35.04</v>
      </c>
    </row>
    <row r="1067" spans="1:25" ht="36.75" x14ac:dyDescent="0.25">
      <c r="A1067" s="3" t="s">
        <v>26</v>
      </c>
      <c r="B1067" s="3" t="s">
        <v>27</v>
      </c>
      <c r="C1067" s="3" t="s">
        <v>28</v>
      </c>
      <c r="D1067" s="3" t="s">
        <v>91</v>
      </c>
      <c r="E1067" s="3" t="s">
        <v>522</v>
      </c>
      <c r="F1067" s="3" t="s">
        <v>93</v>
      </c>
      <c r="G1067" s="3" t="s">
        <v>522</v>
      </c>
      <c r="H1067" s="3" t="s">
        <v>32</v>
      </c>
      <c r="I1067" s="3">
        <v>2025</v>
      </c>
      <c r="J1067" s="3" t="str">
        <f>CONCATENATE("54820052360")</f>
        <v>54820052360</v>
      </c>
      <c r="K1067" s="3" t="s">
        <v>33</v>
      </c>
      <c r="L1067" s="3"/>
      <c r="M1067" s="3" t="s">
        <v>131</v>
      </c>
      <c r="N1067" s="3" t="str">
        <f>CONCATENATE("01976650430")</f>
        <v>01976650430</v>
      </c>
      <c r="O1067" s="3" t="s">
        <v>1195</v>
      </c>
      <c r="P1067" s="3" t="s">
        <v>36</v>
      </c>
      <c r="Q1067" s="3"/>
      <c r="R1067" s="4">
        <v>45996</v>
      </c>
      <c r="S1067" s="3" t="s">
        <v>37</v>
      </c>
      <c r="T1067" s="3" t="s">
        <v>38</v>
      </c>
      <c r="U1067" s="3" t="s">
        <v>39</v>
      </c>
      <c r="V1067" s="3">
        <v>766.66</v>
      </c>
      <c r="W1067" s="3">
        <v>325.83</v>
      </c>
      <c r="X1067" s="3">
        <v>308.58</v>
      </c>
      <c r="Y1067" s="3">
        <v>132.25</v>
      </c>
    </row>
    <row r="1068" spans="1:25" ht="60.75" x14ac:dyDescent="0.25">
      <c r="A1068" s="3" t="s">
        <v>26</v>
      </c>
      <c r="B1068" s="3" t="s">
        <v>27</v>
      </c>
      <c r="C1068" s="3" t="s">
        <v>28</v>
      </c>
      <c r="D1068" s="3" t="s">
        <v>29</v>
      </c>
      <c r="E1068" s="3" t="s">
        <v>228</v>
      </c>
      <c r="F1068" s="3" t="s">
        <v>31</v>
      </c>
      <c r="G1068" s="3" t="s">
        <v>228</v>
      </c>
      <c r="H1068" s="3" t="s">
        <v>45</v>
      </c>
      <c r="I1068" s="3">
        <v>2025</v>
      </c>
      <c r="J1068" s="3" t="str">
        <f>CONCATENATE("54820062492")</f>
        <v>54820062492</v>
      </c>
      <c r="K1068" s="3" t="s">
        <v>33</v>
      </c>
      <c r="L1068" s="3"/>
      <c r="M1068" s="3" t="s">
        <v>131</v>
      </c>
      <c r="N1068" s="3" t="str">
        <f>CONCATENATE("CNTGCR45L24F497Z")</f>
        <v>CNTGCR45L24F497Z</v>
      </c>
      <c r="O1068" s="3" t="s">
        <v>396</v>
      </c>
      <c r="P1068" s="3" t="s">
        <v>36</v>
      </c>
      <c r="Q1068" s="3"/>
      <c r="R1068" s="4">
        <v>45996</v>
      </c>
      <c r="S1068" s="3" t="s">
        <v>37</v>
      </c>
      <c r="T1068" s="3" t="s">
        <v>38</v>
      </c>
      <c r="U1068" s="3" t="s">
        <v>39</v>
      </c>
      <c r="V1068" s="3">
        <v>567.87</v>
      </c>
      <c r="W1068" s="3">
        <v>241.34</v>
      </c>
      <c r="X1068" s="3">
        <v>228.57</v>
      </c>
      <c r="Y1068" s="3">
        <v>97.96</v>
      </c>
    </row>
    <row r="1069" spans="1:25" ht="72.75" x14ac:dyDescent="0.25">
      <c r="A1069" s="3" t="s">
        <v>26</v>
      </c>
      <c r="B1069" s="3" t="s">
        <v>27</v>
      </c>
      <c r="C1069" s="3" t="s">
        <v>28</v>
      </c>
      <c r="D1069" s="3" t="s">
        <v>29</v>
      </c>
      <c r="E1069" s="3" t="s">
        <v>119</v>
      </c>
      <c r="F1069" s="3" t="s">
        <v>31</v>
      </c>
      <c r="G1069" s="3" t="s">
        <v>119</v>
      </c>
      <c r="H1069" s="3" t="s">
        <v>96</v>
      </c>
      <c r="I1069" s="3">
        <v>2025</v>
      </c>
      <c r="J1069" s="3" t="str">
        <f>CONCATENATE("54820039375")</f>
        <v>54820039375</v>
      </c>
      <c r="K1069" s="3" t="s">
        <v>33</v>
      </c>
      <c r="L1069" s="3"/>
      <c r="M1069" s="3" t="s">
        <v>131</v>
      </c>
      <c r="N1069" s="3" t="str">
        <f>CONCATENATE("GNGSDR67A13A252B")</f>
        <v>GNGSDR67A13A252B</v>
      </c>
      <c r="O1069" s="3" t="s">
        <v>1196</v>
      </c>
      <c r="P1069" s="3" t="s">
        <v>36</v>
      </c>
      <c r="Q1069" s="3"/>
      <c r="R1069" s="4">
        <v>45996</v>
      </c>
      <c r="S1069" s="3" t="s">
        <v>37</v>
      </c>
      <c r="T1069" s="3" t="s">
        <v>38</v>
      </c>
      <c r="U1069" s="3" t="s">
        <v>39</v>
      </c>
      <c r="V1069" s="3">
        <v>54.36</v>
      </c>
      <c r="W1069" s="3">
        <v>23.1</v>
      </c>
      <c r="X1069" s="3">
        <v>21.88</v>
      </c>
      <c r="Y1069" s="3">
        <v>9.3800000000000008</v>
      </c>
    </row>
    <row r="1070" spans="1:25" ht="60.75" x14ac:dyDescent="0.25">
      <c r="A1070" s="3" t="s">
        <v>26</v>
      </c>
      <c r="B1070" s="3" t="s">
        <v>27</v>
      </c>
      <c r="C1070" s="3" t="s">
        <v>28</v>
      </c>
      <c r="D1070" s="3" t="s">
        <v>29</v>
      </c>
      <c r="E1070" s="3" t="s">
        <v>136</v>
      </c>
      <c r="F1070" s="3" t="s">
        <v>31</v>
      </c>
      <c r="G1070" s="3" t="s">
        <v>136</v>
      </c>
      <c r="H1070" s="3" t="s">
        <v>48</v>
      </c>
      <c r="I1070" s="3">
        <v>2025</v>
      </c>
      <c r="J1070" s="3" t="str">
        <f>CONCATENATE("54820040746")</f>
        <v>54820040746</v>
      </c>
      <c r="K1070" s="3" t="s">
        <v>33</v>
      </c>
      <c r="L1070" s="3"/>
      <c r="M1070" s="3" t="s">
        <v>131</v>
      </c>
      <c r="N1070" s="3" t="str">
        <f>CONCATENATE("LSSLCU82S62D451B")</f>
        <v>LSSLCU82S62D451B</v>
      </c>
      <c r="O1070" s="3" t="s">
        <v>1197</v>
      </c>
      <c r="P1070" s="3" t="s">
        <v>36</v>
      </c>
      <c r="Q1070" s="3"/>
      <c r="R1070" s="4">
        <v>45996</v>
      </c>
      <c r="S1070" s="3" t="s">
        <v>37</v>
      </c>
      <c r="T1070" s="3" t="s">
        <v>38</v>
      </c>
      <c r="U1070" s="3" t="s">
        <v>39</v>
      </c>
      <c r="V1070" s="3">
        <v>498.97</v>
      </c>
      <c r="W1070" s="3">
        <v>212.06</v>
      </c>
      <c r="X1070" s="3">
        <v>200.84</v>
      </c>
      <c r="Y1070" s="3">
        <v>86.07</v>
      </c>
    </row>
    <row r="1071" spans="1:25" ht="60.75" x14ac:dyDescent="0.25">
      <c r="A1071" s="3" t="s">
        <v>26</v>
      </c>
      <c r="B1071" s="3" t="s">
        <v>27</v>
      </c>
      <c r="C1071" s="3" t="s">
        <v>28</v>
      </c>
      <c r="D1071" s="3" t="s">
        <v>50</v>
      </c>
      <c r="E1071" s="3" t="s">
        <v>290</v>
      </c>
      <c r="F1071" s="3" t="s">
        <v>52</v>
      </c>
      <c r="G1071" s="3" t="s">
        <v>290</v>
      </c>
      <c r="H1071" s="3" t="s">
        <v>96</v>
      </c>
      <c r="I1071" s="3">
        <v>2025</v>
      </c>
      <c r="J1071" s="3" t="str">
        <f>CONCATENATE("54820050315")</f>
        <v>54820050315</v>
      </c>
      <c r="K1071" s="3" t="s">
        <v>33</v>
      </c>
      <c r="L1071" s="3"/>
      <c r="M1071" s="3" t="s">
        <v>131</v>
      </c>
      <c r="N1071" s="3" t="str">
        <f>CONCATENATE("FRLQNT53L13F509A")</f>
        <v>FRLQNT53L13F509A</v>
      </c>
      <c r="O1071" s="3" t="s">
        <v>1198</v>
      </c>
      <c r="P1071" s="3" t="s">
        <v>36</v>
      </c>
      <c r="Q1071" s="3"/>
      <c r="R1071" s="4">
        <v>45996</v>
      </c>
      <c r="S1071" s="3" t="s">
        <v>37</v>
      </c>
      <c r="T1071" s="3" t="s">
        <v>38</v>
      </c>
      <c r="U1071" s="3" t="s">
        <v>39</v>
      </c>
      <c r="V1071" s="3">
        <v>154.94999999999999</v>
      </c>
      <c r="W1071" s="3">
        <v>65.849999999999994</v>
      </c>
      <c r="X1071" s="3">
        <v>62.37</v>
      </c>
      <c r="Y1071" s="3">
        <v>26.73</v>
      </c>
    </row>
    <row r="1072" spans="1:25" ht="72.75" x14ac:dyDescent="0.25">
      <c r="A1072" s="3" t="s">
        <v>26</v>
      </c>
      <c r="B1072" s="3" t="s">
        <v>27</v>
      </c>
      <c r="C1072" s="3" t="s">
        <v>28</v>
      </c>
      <c r="D1072" s="3" t="s">
        <v>264</v>
      </c>
      <c r="E1072" s="3" t="s">
        <v>265</v>
      </c>
      <c r="F1072" s="3" t="s">
        <v>266</v>
      </c>
      <c r="G1072" s="3" t="s">
        <v>265</v>
      </c>
      <c r="H1072" s="3" t="s">
        <v>45</v>
      </c>
      <c r="I1072" s="3">
        <v>2025</v>
      </c>
      <c r="J1072" s="3" t="str">
        <f>CONCATENATE("54820274170")</f>
        <v>54820274170</v>
      </c>
      <c r="K1072" s="3" t="s">
        <v>33</v>
      </c>
      <c r="L1072" s="3"/>
      <c r="M1072" s="3" t="s">
        <v>131</v>
      </c>
      <c r="N1072" s="3" t="str">
        <f>CONCATENATE("SNTMGR58D50E785D")</f>
        <v>SNTMGR58D50E785D</v>
      </c>
      <c r="O1072" s="3" t="s">
        <v>1199</v>
      </c>
      <c r="P1072" s="3" t="s">
        <v>36</v>
      </c>
      <c r="Q1072" s="3"/>
      <c r="R1072" s="4">
        <v>45996</v>
      </c>
      <c r="S1072" s="3" t="s">
        <v>37</v>
      </c>
      <c r="T1072" s="3" t="s">
        <v>38</v>
      </c>
      <c r="U1072" s="3" t="s">
        <v>39</v>
      </c>
      <c r="V1072" s="3">
        <v>138.24</v>
      </c>
      <c r="W1072" s="3">
        <v>58.75</v>
      </c>
      <c r="X1072" s="3">
        <v>55.64</v>
      </c>
      <c r="Y1072" s="3">
        <v>23.85</v>
      </c>
    </row>
    <row r="1073" spans="1:25" ht="60.75" x14ac:dyDescent="0.25">
      <c r="A1073" s="3" t="s">
        <v>26</v>
      </c>
      <c r="B1073" s="3" t="s">
        <v>27</v>
      </c>
      <c r="C1073" s="3" t="s">
        <v>28</v>
      </c>
      <c r="D1073" s="3" t="s">
        <v>29</v>
      </c>
      <c r="E1073" s="3" t="s">
        <v>68</v>
      </c>
      <c r="F1073" s="3" t="s">
        <v>31</v>
      </c>
      <c r="G1073" s="3" t="s">
        <v>68</v>
      </c>
      <c r="H1073" s="3" t="s">
        <v>32</v>
      </c>
      <c r="I1073" s="3">
        <v>2025</v>
      </c>
      <c r="J1073" s="3" t="str">
        <f>CONCATENATE("54820234042")</f>
        <v>54820234042</v>
      </c>
      <c r="K1073" s="3" t="s">
        <v>33</v>
      </c>
      <c r="L1073" s="3"/>
      <c r="M1073" s="3" t="s">
        <v>131</v>
      </c>
      <c r="N1073" s="3" t="str">
        <f>CONCATENATE("LCZNDR75E19I436Y")</f>
        <v>LCZNDR75E19I436Y</v>
      </c>
      <c r="O1073" s="3" t="s">
        <v>1200</v>
      </c>
      <c r="P1073" s="3" t="s">
        <v>36</v>
      </c>
      <c r="Q1073" s="3"/>
      <c r="R1073" s="4">
        <v>45996</v>
      </c>
      <c r="S1073" s="3" t="s">
        <v>37</v>
      </c>
      <c r="T1073" s="3" t="s">
        <v>38</v>
      </c>
      <c r="U1073" s="3" t="s">
        <v>39</v>
      </c>
      <c r="V1073" s="3">
        <v>500.5</v>
      </c>
      <c r="W1073" s="3">
        <v>212.71</v>
      </c>
      <c r="X1073" s="3">
        <v>201.45</v>
      </c>
      <c r="Y1073" s="3">
        <v>86.34</v>
      </c>
    </row>
    <row r="1074" spans="1:25" ht="72.75" x14ac:dyDescent="0.25">
      <c r="A1074" s="3" t="s">
        <v>26</v>
      </c>
      <c r="B1074" s="3" t="s">
        <v>27</v>
      </c>
      <c r="C1074" s="3" t="s">
        <v>28</v>
      </c>
      <c r="D1074" s="3" t="s">
        <v>50</v>
      </c>
      <c r="E1074" s="3" t="s">
        <v>51</v>
      </c>
      <c r="F1074" s="3" t="s">
        <v>52</v>
      </c>
      <c r="G1074" s="3" t="s">
        <v>51</v>
      </c>
      <c r="H1074" s="3" t="s">
        <v>48</v>
      </c>
      <c r="I1074" s="3">
        <v>2025</v>
      </c>
      <c r="J1074" s="3" t="str">
        <f>CONCATENATE("54820171509")</f>
        <v>54820171509</v>
      </c>
      <c r="K1074" s="3" t="s">
        <v>33</v>
      </c>
      <c r="L1074" s="3"/>
      <c r="M1074" s="3" t="s">
        <v>131</v>
      </c>
      <c r="N1074" s="3" t="str">
        <f>CONCATENATE("SRGMRN69H10Z103W")</f>
        <v>SRGMRN69H10Z103W</v>
      </c>
      <c r="O1074" s="3" t="s">
        <v>1201</v>
      </c>
      <c r="P1074" s="3" t="s">
        <v>36</v>
      </c>
      <c r="Q1074" s="3"/>
      <c r="R1074" s="4">
        <v>45996</v>
      </c>
      <c r="S1074" s="3" t="s">
        <v>37</v>
      </c>
      <c r="T1074" s="3" t="s">
        <v>38</v>
      </c>
      <c r="U1074" s="3" t="s">
        <v>39</v>
      </c>
      <c r="V1074" s="3">
        <v>142.38999999999999</v>
      </c>
      <c r="W1074" s="3">
        <v>60.52</v>
      </c>
      <c r="X1074" s="3">
        <v>57.31</v>
      </c>
      <c r="Y1074" s="3">
        <v>24.56</v>
      </c>
    </row>
    <row r="1075" spans="1:25" ht="72.75" x14ac:dyDescent="0.25">
      <c r="A1075" s="3" t="s">
        <v>26</v>
      </c>
      <c r="B1075" s="3" t="s">
        <v>27</v>
      </c>
      <c r="C1075" s="3" t="s">
        <v>28</v>
      </c>
      <c r="D1075" s="3" t="s">
        <v>29</v>
      </c>
      <c r="E1075" s="3" t="s">
        <v>182</v>
      </c>
      <c r="F1075" s="3" t="s">
        <v>31</v>
      </c>
      <c r="G1075" s="3" t="s">
        <v>182</v>
      </c>
      <c r="H1075" s="3" t="s">
        <v>45</v>
      </c>
      <c r="I1075" s="3">
        <v>2025</v>
      </c>
      <c r="J1075" s="3" t="str">
        <f>CONCATENATE("54820062724")</f>
        <v>54820062724</v>
      </c>
      <c r="K1075" s="3" t="s">
        <v>33</v>
      </c>
      <c r="L1075" s="3"/>
      <c r="M1075" s="3" t="s">
        <v>131</v>
      </c>
      <c r="N1075" s="3" t="str">
        <f>CONCATENATE("MGNSVN50E13G416Q")</f>
        <v>MGNSVN50E13G416Q</v>
      </c>
      <c r="O1075" s="3" t="s">
        <v>1202</v>
      </c>
      <c r="P1075" s="3" t="s">
        <v>36</v>
      </c>
      <c r="Q1075" s="3"/>
      <c r="R1075" s="4">
        <v>45996</v>
      </c>
      <c r="S1075" s="3" t="s">
        <v>37</v>
      </c>
      <c r="T1075" s="3" t="s">
        <v>38</v>
      </c>
      <c r="U1075" s="3" t="s">
        <v>39</v>
      </c>
      <c r="V1075" s="3">
        <v>418.9</v>
      </c>
      <c r="W1075" s="3">
        <v>178.03</v>
      </c>
      <c r="X1075" s="3">
        <v>168.61</v>
      </c>
      <c r="Y1075" s="3">
        <v>72.260000000000005</v>
      </c>
    </row>
    <row r="1076" spans="1:25" ht="60.75" x14ac:dyDescent="0.25">
      <c r="A1076" s="3" t="s">
        <v>26</v>
      </c>
      <c r="B1076" s="3" t="s">
        <v>27</v>
      </c>
      <c r="C1076" s="3" t="s">
        <v>28</v>
      </c>
      <c r="D1076" s="3" t="s">
        <v>50</v>
      </c>
      <c r="E1076" s="3" t="s">
        <v>252</v>
      </c>
      <c r="F1076" s="3" t="s">
        <v>52</v>
      </c>
      <c r="G1076" s="3" t="s">
        <v>252</v>
      </c>
      <c r="H1076" s="3" t="s">
        <v>45</v>
      </c>
      <c r="I1076" s="3">
        <v>2025</v>
      </c>
      <c r="J1076" s="3" t="str">
        <f>CONCATENATE("54820181128")</f>
        <v>54820181128</v>
      </c>
      <c r="K1076" s="3" t="s">
        <v>33</v>
      </c>
      <c r="L1076" s="3"/>
      <c r="M1076" s="3" t="s">
        <v>131</v>
      </c>
      <c r="N1076" s="3" t="str">
        <f>CONCATENATE("CLSLNZ70H45L219R")</f>
        <v>CLSLNZ70H45L219R</v>
      </c>
      <c r="O1076" s="3" t="s">
        <v>1203</v>
      </c>
      <c r="P1076" s="3" t="s">
        <v>36</v>
      </c>
      <c r="Q1076" s="3"/>
      <c r="R1076" s="4">
        <v>45996</v>
      </c>
      <c r="S1076" s="3" t="s">
        <v>37</v>
      </c>
      <c r="T1076" s="3" t="s">
        <v>38</v>
      </c>
      <c r="U1076" s="3" t="s">
        <v>39</v>
      </c>
      <c r="V1076" s="5">
        <v>1204.78</v>
      </c>
      <c r="W1076" s="3">
        <v>512.03</v>
      </c>
      <c r="X1076" s="3">
        <v>484.92</v>
      </c>
      <c r="Y1076" s="3">
        <v>207.83</v>
      </c>
    </row>
    <row r="1077" spans="1:25" ht="60.75" x14ac:dyDescent="0.25">
      <c r="A1077" s="3" t="s">
        <v>26</v>
      </c>
      <c r="B1077" s="3" t="s">
        <v>27</v>
      </c>
      <c r="C1077" s="3" t="s">
        <v>28</v>
      </c>
      <c r="D1077" s="3" t="s">
        <v>29</v>
      </c>
      <c r="E1077" s="3" t="s">
        <v>1204</v>
      </c>
      <c r="F1077" s="3" t="s">
        <v>31</v>
      </c>
      <c r="G1077" s="3" t="s">
        <v>1204</v>
      </c>
      <c r="H1077" s="3" t="s">
        <v>32</v>
      </c>
      <c r="I1077" s="3">
        <v>2025</v>
      </c>
      <c r="J1077" s="3" t="str">
        <f>CONCATENATE("54820190814")</f>
        <v>54820190814</v>
      </c>
      <c r="K1077" s="3" t="s">
        <v>33</v>
      </c>
      <c r="L1077" s="3"/>
      <c r="M1077" s="3" t="s">
        <v>131</v>
      </c>
      <c r="N1077" s="3" t="str">
        <f>CONCATENATE("PGLSFN93S16D653J")</f>
        <v>PGLSFN93S16D653J</v>
      </c>
      <c r="O1077" s="3" t="s">
        <v>1205</v>
      </c>
      <c r="P1077" s="3" t="s">
        <v>36</v>
      </c>
      <c r="Q1077" s="3"/>
      <c r="R1077" s="4">
        <v>45996</v>
      </c>
      <c r="S1077" s="3" t="s">
        <v>37</v>
      </c>
      <c r="T1077" s="3" t="s">
        <v>38</v>
      </c>
      <c r="U1077" s="3" t="s">
        <v>39</v>
      </c>
      <c r="V1077" s="3">
        <v>336.64</v>
      </c>
      <c r="W1077" s="3">
        <v>143.07</v>
      </c>
      <c r="X1077" s="3">
        <v>135.5</v>
      </c>
      <c r="Y1077" s="3">
        <v>58.07</v>
      </c>
    </row>
    <row r="1078" spans="1:25" ht="60.75" x14ac:dyDescent="0.25">
      <c r="A1078" s="3" t="s">
        <v>26</v>
      </c>
      <c r="B1078" s="3" t="s">
        <v>27</v>
      </c>
      <c r="C1078" s="3" t="s">
        <v>28</v>
      </c>
      <c r="D1078" s="3" t="s">
        <v>29</v>
      </c>
      <c r="E1078" s="3" t="s">
        <v>136</v>
      </c>
      <c r="F1078" s="3" t="s">
        <v>31</v>
      </c>
      <c r="G1078" s="3" t="s">
        <v>136</v>
      </c>
      <c r="H1078" s="3" t="s">
        <v>48</v>
      </c>
      <c r="I1078" s="3">
        <v>2025</v>
      </c>
      <c r="J1078" s="3" t="str">
        <f>CONCATENATE("54820217872")</f>
        <v>54820217872</v>
      </c>
      <c r="K1078" s="3" t="s">
        <v>33</v>
      </c>
      <c r="L1078" s="3"/>
      <c r="M1078" s="3" t="s">
        <v>131</v>
      </c>
      <c r="N1078" s="3" t="str">
        <f>CONCATENATE("VLNDNC59L31D965I")</f>
        <v>VLNDNC59L31D965I</v>
      </c>
      <c r="O1078" s="3" t="s">
        <v>1206</v>
      </c>
      <c r="P1078" s="3" t="s">
        <v>36</v>
      </c>
      <c r="Q1078" s="3"/>
      <c r="R1078" s="4">
        <v>45996</v>
      </c>
      <c r="S1078" s="3" t="s">
        <v>37</v>
      </c>
      <c r="T1078" s="3" t="s">
        <v>38</v>
      </c>
      <c r="U1078" s="3" t="s">
        <v>39</v>
      </c>
      <c r="V1078" s="3">
        <v>149.82</v>
      </c>
      <c r="W1078" s="3">
        <v>63.67</v>
      </c>
      <c r="X1078" s="3">
        <v>60.3</v>
      </c>
      <c r="Y1078" s="3">
        <v>25.85</v>
      </c>
    </row>
    <row r="1079" spans="1:25" ht="60.75" x14ac:dyDescent="0.25">
      <c r="A1079" s="3" t="s">
        <v>26</v>
      </c>
      <c r="B1079" s="3" t="s">
        <v>27</v>
      </c>
      <c r="C1079" s="3" t="s">
        <v>28</v>
      </c>
      <c r="D1079" s="3" t="s">
        <v>29</v>
      </c>
      <c r="E1079" s="3" t="s">
        <v>47</v>
      </c>
      <c r="F1079" s="3" t="s">
        <v>31</v>
      </c>
      <c r="G1079" s="3" t="s">
        <v>47</v>
      </c>
      <c r="H1079" s="3" t="s">
        <v>48</v>
      </c>
      <c r="I1079" s="3">
        <v>2025</v>
      </c>
      <c r="J1079" s="3" t="str">
        <f>CONCATENATE("54820212246")</f>
        <v>54820212246</v>
      </c>
      <c r="K1079" s="3" t="s">
        <v>33</v>
      </c>
      <c r="L1079" s="3"/>
      <c r="M1079" s="3" t="s">
        <v>131</v>
      </c>
      <c r="N1079" s="3" t="str">
        <f>CONCATENATE("SCRDNC58E03I653P")</f>
        <v>SCRDNC58E03I653P</v>
      </c>
      <c r="O1079" s="3" t="s">
        <v>1207</v>
      </c>
      <c r="P1079" s="3" t="s">
        <v>36</v>
      </c>
      <c r="Q1079" s="3"/>
      <c r="R1079" s="4">
        <v>45996</v>
      </c>
      <c r="S1079" s="3" t="s">
        <v>37</v>
      </c>
      <c r="T1079" s="3" t="s">
        <v>38</v>
      </c>
      <c r="U1079" s="3" t="s">
        <v>39</v>
      </c>
      <c r="V1079" s="3">
        <v>149.93</v>
      </c>
      <c r="W1079" s="3">
        <v>63.72</v>
      </c>
      <c r="X1079" s="3">
        <v>60.35</v>
      </c>
      <c r="Y1079" s="3">
        <v>25.86</v>
      </c>
    </row>
    <row r="1080" spans="1:25" ht="60.75" x14ac:dyDescent="0.25">
      <c r="A1080" s="3" t="s">
        <v>26</v>
      </c>
      <c r="B1080" s="3" t="s">
        <v>27</v>
      </c>
      <c r="C1080" s="3" t="s">
        <v>28</v>
      </c>
      <c r="D1080" s="3" t="s">
        <v>29</v>
      </c>
      <c r="E1080" s="3" t="s">
        <v>47</v>
      </c>
      <c r="F1080" s="3" t="s">
        <v>31</v>
      </c>
      <c r="G1080" s="3" t="s">
        <v>47</v>
      </c>
      <c r="H1080" s="3" t="s">
        <v>48</v>
      </c>
      <c r="I1080" s="3">
        <v>2025</v>
      </c>
      <c r="J1080" s="3" t="str">
        <f>CONCATENATE("54820053533")</f>
        <v>54820053533</v>
      </c>
      <c r="K1080" s="3" t="s">
        <v>33</v>
      </c>
      <c r="L1080" s="3"/>
      <c r="M1080" s="3" t="s">
        <v>131</v>
      </c>
      <c r="N1080" s="3" t="str">
        <f>CONCATENATE("MDCGZN61R30I653B")</f>
        <v>MDCGZN61R30I653B</v>
      </c>
      <c r="O1080" s="3" t="s">
        <v>1208</v>
      </c>
      <c r="P1080" s="3" t="s">
        <v>36</v>
      </c>
      <c r="Q1080" s="3"/>
      <c r="R1080" s="4">
        <v>45996</v>
      </c>
      <c r="S1080" s="3" t="s">
        <v>37</v>
      </c>
      <c r="T1080" s="3" t="s">
        <v>38</v>
      </c>
      <c r="U1080" s="3" t="s">
        <v>39</v>
      </c>
      <c r="V1080" s="3">
        <v>598.14</v>
      </c>
      <c r="W1080" s="3">
        <v>254.21</v>
      </c>
      <c r="X1080" s="3">
        <v>240.75</v>
      </c>
      <c r="Y1080" s="3">
        <v>103.18</v>
      </c>
    </row>
    <row r="1081" spans="1:25" ht="72.75" x14ac:dyDescent="0.25">
      <c r="A1081" s="3" t="s">
        <v>26</v>
      </c>
      <c r="B1081" s="3" t="s">
        <v>27</v>
      </c>
      <c r="C1081" s="3" t="s">
        <v>28</v>
      </c>
      <c r="D1081" s="3" t="s">
        <v>29</v>
      </c>
      <c r="E1081" s="3" t="s">
        <v>72</v>
      </c>
      <c r="F1081" s="3" t="s">
        <v>31</v>
      </c>
      <c r="G1081" s="3" t="s">
        <v>72</v>
      </c>
      <c r="H1081" s="3" t="s">
        <v>45</v>
      </c>
      <c r="I1081" s="3">
        <v>2025</v>
      </c>
      <c r="J1081" s="3" t="str">
        <f>CONCATENATE("54820159363")</f>
        <v>54820159363</v>
      </c>
      <c r="K1081" s="3" t="s">
        <v>33</v>
      </c>
      <c r="L1081" s="3"/>
      <c r="M1081" s="3" t="s">
        <v>131</v>
      </c>
      <c r="N1081" s="3" t="str">
        <f>CONCATENATE("MGALRA70E58B352I")</f>
        <v>MGALRA70E58B352I</v>
      </c>
      <c r="O1081" s="3" t="s">
        <v>1209</v>
      </c>
      <c r="P1081" s="3" t="s">
        <v>36</v>
      </c>
      <c r="Q1081" s="3"/>
      <c r="R1081" s="4">
        <v>45996</v>
      </c>
      <c r="S1081" s="3" t="s">
        <v>37</v>
      </c>
      <c r="T1081" s="3" t="s">
        <v>38</v>
      </c>
      <c r="U1081" s="3" t="s">
        <v>39</v>
      </c>
      <c r="V1081" s="3">
        <v>77.17</v>
      </c>
      <c r="W1081" s="3">
        <v>32.799999999999997</v>
      </c>
      <c r="X1081" s="3">
        <v>31.06</v>
      </c>
      <c r="Y1081" s="3">
        <v>13.31</v>
      </c>
    </row>
    <row r="1082" spans="1:25" ht="36.75" x14ac:dyDescent="0.25">
      <c r="A1082" s="3" t="s">
        <v>26</v>
      </c>
      <c r="B1082" s="3" t="s">
        <v>27</v>
      </c>
      <c r="C1082" s="3" t="s">
        <v>28</v>
      </c>
      <c r="D1082" s="3" t="s">
        <v>40</v>
      </c>
      <c r="E1082" s="3" t="s">
        <v>218</v>
      </c>
      <c r="F1082" s="3" t="s">
        <v>42</v>
      </c>
      <c r="G1082" s="3" t="s">
        <v>218</v>
      </c>
      <c r="H1082" s="3" t="s">
        <v>45</v>
      </c>
      <c r="I1082" s="3">
        <v>2025</v>
      </c>
      <c r="J1082" s="3" t="str">
        <f>CONCATENATE("54820219944")</f>
        <v>54820219944</v>
      </c>
      <c r="K1082" s="3" t="s">
        <v>33</v>
      </c>
      <c r="L1082" s="3"/>
      <c r="M1082" s="3" t="s">
        <v>131</v>
      </c>
      <c r="N1082" s="3" t="str">
        <f>CONCATENATE("02638550414")</f>
        <v>02638550414</v>
      </c>
      <c r="O1082" s="3" t="s">
        <v>1210</v>
      </c>
      <c r="P1082" s="3" t="s">
        <v>36</v>
      </c>
      <c r="Q1082" s="3"/>
      <c r="R1082" s="4">
        <v>45996</v>
      </c>
      <c r="S1082" s="3" t="s">
        <v>37</v>
      </c>
      <c r="T1082" s="3" t="s">
        <v>38</v>
      </c>
      <c r="U1082" s="3" t="s">
        <v>39</v>
      </c>
      <c r="V1082" s="3">
        <v>421.46</v>
      </c>
      <c r="W1082" s="3">
        <v>179.12</v>
      </c>
      <c r="X1082" s="3">
        <v>169.64</v>
      </c>
      <c r="Y1082" s="3">
        <v>72.7</v>
      </c>
    </row>
    <row r="1083" spans="1:25" ht="60.75" x14ac:dyDescent="0.25">
      <c r="A1083" s="3" t="s">
        <v>26</v>
      </c>
      <c r="B1083" s="3" t="s">
        <v>27</v>
      </c>
      <c r="C1083" s="3" t="s">
        <v>28</v>
      </c>
      <c r="D1083" s="3" t="s">
        <v>29</v>
      </c>
      <c r="E1083" s="3" t="s">
        <v>47</v>
      </c>
      <c r="F1083" s="3" t="s">
        <v>31</v>
      </c>
      <c r="G1083" s="3" t="s">
        <v>47</v>
      </c>
      <c r="H1083" s="3" t="s">
        <v>48</v>
      </c>
      <c r="I1083" s="3">
        <v>2025</v>
      </c>
      <c r="J1083" s="3" t="str">
        <f>CONCATENATE("54820138250")</f>
        <v>54820138250</v>
      </c>
      <c r="K1083" s="3" t="s">
        <v>33</v>
      </c>
      <c r="L1083" s="3"/>
      <c r="M1083" s="3" t="s">
        <v>131</v>
      </c>
      <c r="N1083" s="3" t="str">
        <f>CONCATENATE("PRNLTT51B65I653W")</f>
        <v>PRNLTT51B65I653W</v>
      </c>
      <c r="O1083" s="3" t="s">
        <v>1211</v>
      </c>
      <c r="P1083" s="3" t="s">
        <v>36</v>
      </c>
      <c r="Q1083" s="3"/>
      <c r="R1083" s="4">
        <v>45996</v>
      </c>
      <c r="S1083" s="3" t="s">
        <v>37</v>
      </c>
      <c r="T1083" s="3" t="s">
        <v>38</v>
      </c>
      <c r="U1083" s="3" t="s">
        <v>39</v>
      </c>
      <c r="V1083" s="3">
        <v>55.81</v>
      </c>
      <c r="W1083" s="3">
        <v>23.72</v>
      </c>
      <c r="X1083" s="3">
        <v>22.46</v>
      </c>
      <c r="Y1083" s="3">
        <v>9.6300000000000008</v>
      </c>
    </row>
    <row r="1084" spans="1:25" ht="60.75" x14ac:dyDescent="0.25">
      <c r="A1084" s="3" t="s">
        <v>26</v>
      </c>
      <c r="B1084" s="3" t="s">
        <v>27</v>
      </c>
      <c r="C1084" s="3" t="s">
        <v>28</v>
      </c>
      <c r="D1084" s="3" t="s">
        <v>50</v>
      </c>
      <c r="E1084" s="3" t="s">
        <v>147</v>
      </c>
      <c r="F1084" s="3" t="s">
        <v>52</v>
      </c>
      <c r="G1084" s="3" t="s">
        <v>147</v>
      </c>
      <c r="H1084" s="3" t="s">
        <v>45</v>
      </c>
      <c r="I1084" s="3">
        <v>2025</v>
      </c>
      <c r="J1084" s="3" t="str">
        <f>CONCATENATE("54820099676")</f>
        <v>54820099676</v>
      </c>
      <c r="K1084" s="3" t="s">
        <v>33</v>
      </c>
      <c r="L1084" s="3"/>
      <c r="M1084" s="3" t="s">
        <v>131</v>
      </c>
      <c r="N1084" s="3" t="str">
        <f>CONCATENATE("CLLLCN61D41I287K")</f>
        <v>CLLLCN61D41I287K</v>
      </c>
      <c r="O1084" s="3" t="s">
        <v>1212</v>
      </c>
      <c r="P1084" s="3" t="s">
        <v>36</v>
      </c>
      <c r="Q1084" s="3"/>
      <c r="R1084" s="4">
        <v>45996</v>
      </c>
      <c r="S1084" s="3" t="s">
        <v>37</v>
      </c>
      <c r="T1084" s="3" t="s">
        <v>38</v>
      </c>
      <c r="U1084" s="3" t="s">
        <v>39</v>
      </c>
      <c r="V1084" s="3">
        <v>189.87</v>
      </c>
      <c r="W1084" s="3">
        <v>80.69</v>
      </c>
      <c r="X1084" s="3">
        <v>76.42</v>
      </c>
      <c r="Y1084" s="3">
        <v>32.76</v>
      </c>
    </row>
    <row r="1085" spans="1:25" ht="60.75" x14ac:dyDescent="0.25">
      <c r="A1085" s="3" t="s">
        <v>26</v>
      </c>
      <c r="B1085" s="3" t="s">
        <v>27</v>
      </c>
      <c r="C1085" s="3" t="s">
        <v>28</v>
      </c>
      <c r="D1085" s="3" t="s">
        <v>50</v>
      </c>
      <c r="E1085" s="3" t="s">
        <v>60</v>
      </c>
      <c r="F1085" s="3" t="s">
        <v>52</v>
      </c>
      <c r="G1085" s="3" t="s">
        <v>60</v>
      </c>
      <c r="H1085" s="3" t="s">
        <v>45</v>
      </c>
      <c r="I1085" s="3">
        <v>2025</v>
      </c>
      <c r="J1085" s="3" t="str">
        <f>CONCATENATE("54820111497")</f>
        <v>54820111497</v>
      </c>
      <c r="K1085" s="3" t="s">
        <v>33</v>
      </c>
      <c r="L1085" s="3"/>
      <c r="M1085" s="3" t="s">
        <v>131</v>
      </c>
      <c r="N1085" s="3" t="str">
        <f>CONCATENATE("FRNRRA60P50B352N")</f>
        <v>FRNRRA60P50B352N</v>
      </c>
      <c r="O1085" s="3" t="s">
        <v>1213</v>
      </c>
      <c r="P1085" s="3" t="s">
        <v>36</v>
      </c>
      <c r="Q1085" s="3"/>
      <c r="R1085" s="4">
        <v>45996</v>
      </c>
      <c r="S1085" s="3" t="s">
        <v>37</v>
      </c>
      <c r="T1085" s="3" t="s">
        <v>38</v>
      </c>
      <c r="U1085" s="3" t="s">
        <v>39</v>
      </c>
      <c r="V1085" s="3">
        <v>114.29</v>
      </c>
      <c r="W1085" s="3">
        <v>48.57</v>
      </c>
      <c r="X1085" s="3">
        <v>46</v>
      </c>
      <c r="Y1085" s="3">
        <v>19.72</v>
      </c>
    </row>
    <row r="1086" spans="1:25" ht="60.75" x14ac:dyDescent="0.25">
      <c r="A1086" s="3" t="s">
        <v>26</v>
      </c>
      <c r="B1086" s="3" t="s">
        <v>27</v>
      </c>
      <c r="C1086" s="3" t="s">
        <v>28</v>
      </c>
      <c r="D1086" s="3" t="s">
        <v>50</v>
      </c>
      <c r="E1086" s="3" t="s">
        <v>60</v>
      </c>
      <c r="F1086" s="3" t="s">
        <v>52</v>
      </c>
      <c r="G1086" s="3" t="s">
        <v>60</v>
      </c>
      <c r="H1086" s="3" t="s">
        <v>45</v>
      </c>
      <c r="I1086" s="3">
        <v>2025</v>
      </c>
      <c r="J1086" s="3" t="str">
        <f>CONCATENATE("54820118112")</f>
        <v>54820118112</v>
      </c>
      <c r="K1086" s="3" t="s">
        <v>33</v>
      </c>
      <c r="L1086" s="3"/>
      <c r="M1086" s="3" t="s">
        <v>131</v>
      </c>
      <c r="N1086" s="3" t="str">
        <f>CONCATENATE("MTTSFN51T60G453B")</f>
        <v>MTTSFN51T60G453B</v>
      </c>
      <c r="O1086" s="3" t="s">
        <v>1214</v>
      </c>
      <c r="P1086" s="3" t="s">
        <v>36</v>
      </c>
      <c r="Q1086" s="3"/>
      <c r="R1086" s="4">
        <v>45996</v>
      </c>
      <c r="S1086" s="3" t="s">
        <v>37</v>
      </c>
      <c r="T1086" s="3" t="s">
        <v>38</v>
      </c>
      <c r="U1086" s="3" t="s">
        <v>39</v>
      </c>
      <c r="V1086" s="3">
        <v>137.85</v>
      </c>
      <c r="W1086" s="3">
        <v>58.59</v>
      </c>
      <c r="X1086" s="3">
        <v>55.48</v>
      </c>
      <c r="Y1086" s="3">
        <v>23.78</v>
      </c>
    </row>
    <row r="1087" spans="1:25" ht="60.75" x14ac:dyDescent="0.25">
      <c r="A1087" s="3" t="s">
        <v>26</v>
      </c>
      <c r="B1087" s="3" t="s">
        <v>27</v>
      </c>
      <c r="C1087" s="3" t="s">
        <v>28</v>
      </c>
      <c r="D1087" s="3" t="s">
        <v>50</v>
      </c>
      <c r="E1087" s="3" t="s">
        <v>60</v>
      </c>
      <c r="F1087" s="3" t="s">
        <v>52</v>
      </c>
      <c r="G1087" s="3" t="s">
        <v>60</v>
      </c>
      <c r="H1087" s="3" t="s">
        <v>45</v>
      </c>
      <c r="I1087" s="3">
        <v>2025</v>
      </c>
      <c r="J1087" s="3" t="str">
        <f>CONCATENATE("54820135702")</f>
        <v>54820135702</v>
      </c>
      <c r="K1087" s="3" t="s">
        <v>33</v>
      </c>
      <c r="L1087" s="3"/>
      <c r="M1087" s="3" t="s">
        <v>131</v>
      </c>
      <c r="N1087" s="3" t="str">
        <f>CONCATENATE("PDNLSN57S18D749D")</f>
        <v>PDNLSN57S18D749D</v>
      </c>
      <c r="O1087" s="3" t="s">
        <v>1215</v>
      </c>
      <c r="P1087" s="3" t="s">
        <v>36</v>
      </c>
      <c r="Q1087" s="3"/>
      <c r="R1087" s="4">
        <v>45996</v>
      </c>
      <c r="S1087" s="3" t="s">
        <v>37</v>
      </c>
      <c r="T1087" s="3" t="s">
        <v>38</v>
      </c>
      <c r="U1087" s="3" t="s">
        <v>39</v>
      </c>
      <c r="V1087" s="3">
        <v>219.46</v>
      </c>
      <c r="W1087" s="3">
        <v>93.27</v>
      </c>
      <c r="X1087" s="3">
        <v>88.33</v>
      </c>
      <c r="Y1087" s="3">
        <v>37.86</v>
      </c>
    </row>
    <row r="1088" spans="1:25" ht="60.75" x14ac:dyDescent="0.25">
      <c r="A1088" s="3" t="s">
        <v>26</v>
      </c>
      <c r="B1088" s="3" t="s">
        <v>27</v>
      </c>
      <c r="C1088" s="3" t="s">
        <v>28</v>
      </c>
      <c r="D1088" s="3" t="s">
        <v>50</v>
      </c>
      <c r="E1088" s="3" t="s">
        <v>60</v>
      </c>
      <c r="F1088" s="3" t="s">
        <v>52</v>
      </c>
      <c r="G1088" s="3" t="s">
        <v>60</v>
      </c>
      <c r="H1088" s="3" t="s">
        <v>45</v>
      </c>
      <c r="I1088" s="3">
        <v>2025</v>
      </c>
      <c r="J1088" s="3" t="str">
        <f>CONCATENATE("54820109467")</f>
        <v>54820109467</v>
      </c>
      <c r="K1088" s="3" t="s">
        <v>33</v>
      </c>
      <c r="L1088" s="3"/>
      <c r="M1088" s="3" t="s">
        <v>131</v>
      </c>
      <c r="N1088" s="3" t="str">
        <f>CONCATENATE("CSTDMA74S25Z133L")</f>
        <v>CSTDMA74S25Z133L</v>
      </c>
      <c r="O1088" s="3" t="s">
        <v>1216</v>
      </c>
      <c r="P1088" s="3" t="s">
        <v>36</v>
      </c>
      <c r="Q1088" s="3"/>
      <c r="R1088" s="4">
        <v>45996</v>
      </c>
      <c r="S1088" s="3" t="s">
        <v>37</v>
      </c>
      <c r="T1088" s="3" t="s">
        <v>38</v>
      </c>
      <c r="U1088" s="3" t="s">
        <v>39</v>
      </c>
      <c r="V1088" s="3">
        <v>393.03</v>
      </c>
      <c r="W1088" s="3">
        <v>167.04</v>
      </c>
      <c r="X1088" s="3">
        <v>158.19</v>
      </c>
      <c r="Y1088" s="3">
        <v>67.8</v>
      </c>
    </row>
    <row r="1089" spans="1:25" ht="60.75" x14ac:dyDescent="0.25">
      <c r="A1089" s="3" t="s">
        <v>26</v>
      </c>
      <c r="B1089" s="3" t="s">
        <v>27</v>
      </c>
      <c r="C1089" s="3" t="s">
        <v>28</v>
      </c>
      <c r="D1089" s="3" t="s">
        <v>29</v>
      </c>
      <c r="E1089" s="3" t="s">
        <v>119</v>
      </c>
      <c r="F1089" s="3" t="s">
        <v>31</v>
      </c>
      <c r="G1089" s="3" t="s">
        <v>119</v>
      </c>
      <c r="H1089" s="3" t="s">
        <v>96</v>
      </c>
      <c r="I1089" s="3">
        <v>2025</v>
      </c>
      <c r="J1089" s="3" t="str">
        <f>CONCATENATE("54820054804")</f>
        <v>54820054804</v>
      </c>
      <c r="K1089" s="3" t="s">
        <v>33</v>
      </c>
      <c r="L1089" s="3"/>
      <c r="M1089" s="3" t="s">
        <v>131</v>
      </c>
      <c r="N1089" s="3" t="str">
        <f>CONCATENATE("BNCSVR53R13L295D")</f>
        <v>BNCSVR53R13L295D</v>
      </c>
      <c r="O1089" s="3" t="s">
        <v>1217</v>
      </c>
      <c r="P1089" s="3" t="s">
        <v>36</v>
      </c>
      <c r="Q1089" s="3"/>
      <c r="R1089" s="4">
        <v>45996</v>
      </c>
      <c r="S1089" s="3" t="s">
        <v>37</v>
      </c>
      <c r="T1089" s="3" t="s">
        <v>38</v>
      </c>
      <c r="U1089" s="3" t="s">
        <v>39</v>
      </c>
      <c r="V1089" s="3">
        <v>495.94</v>
      </c>
      <c r="W1089" s="3">
        <v>210.77</v>
      </c>
      <c r="X1089" s="3">
        <v>199.62</v>
      </c>
      <c r="Y1089" s="3">
        <v>85.55</v>
      </c>
    </row>
    <row r="1090" spans="1:25" ht="60.75" x14ac:dyDescent="0.25">
      <c r="A1090" s="3" t="s">
        <v>26</v>
      </c>
      <c r="B1090" s="3" t="s">
        <v>27</v>
      </c>
      <c r="C1090" s="3" t="s">
        <v>28</v>
      </c>
      <c r="D1090" s="3" t="s">
        <v>29</v>
      </c>
      <c r="E1090" s="3" t="s">
        <v>228</v>
      </c>
      <c r="F1090" s="3" t="s">
        <v>31</v>
      </c>
      <c r="G1090" s="3" t="s">
        <v>228</v>
      </c>
      <c r="H1090" s="3" t="s">
        <v>45</v>
      </c>
      <c r="I1090" s="3">
        <v>2025</v>
      </c>
      <c r="J1090" s="3" t="str">
        <f>CONCATENATE("54820103569")</f>
        <v>54820103569</v>
      </c>
      <c r="K1090" s="3" t="s">
        <v>33</v>
      </c>
      <c r="L1090" s="3"/>
      <c r="M1090" s="3" t="s">
        <v>131</v>
      </c>
      <c r="N1090" s="3" t="str">
        <f>CONCATENATE("LDSCDH52S45Z112G")</f>
        <v>LDSCDH52S45Z112G</v>
      </c>
      <c r="O1090" s="3" t="s">
        <v>1218</v>
      </c>
      <c r="P1090" s="3" t="s">
        <v>36</v>
      </c>
      <c r="Q1090" s="3"/>
      <c r="R1090" s="4">
        <v>45996</v>
      </c>
      <c r="S1090" s="3" t="s">
        <v>37</v>
      </c>
      <c r="T1090" s="3" t="s">
        <v>38</v>
      </c>
      <c r="U1090" s="3" t="s">
        <v>39</v>
      </c>
      <c r="V1090" s="3">
        <v>92.59</v>
      </c>
      <c r="W1090" s="3">
        <v>39.35</v>
      </c>
      <c r="X1090" s="3">
        <v>37.270000000000003</v>
      </c>
      <c r="Y1090" s="3">
        <v>15.97</v>
      </c>
    </row>
    <row r="1091" spans="1:25" ht="60.75" x14ac:dyDescent="0.25">
      <c r="A1091" s="3" t="s">
        <v>26</v>
      </c>
      <c r="B1091" s="3" t="s">
        <v>27</v>
      </c>
      <c r="C1091" s="3" t="s">
        <v>28</v>
      </c>
      <c r="D1091" s="3" t="s">
        <v>29</v>
      </c>
      <c r="E1091" s="3" t="s">
        <v>136</v>
      </c>
      <c r="F1091" s="3" t="s">
        <v>31</v>
      </c>
      <c r="G1091" s="3" t="s">
        <v>136</v>
      </c>
      <c r="H1091" s="3" t="s">
        <v>48</v>
      </c>
      <c r="I1091" s="3">
        <v>2025</v>
      </c>
      <c r="J1091" s="3" t="str">
        <f>CONCATENATE("54820138615")</f>
        <v>54820138615</v>
      </c>
      <c r="K1091" s="3" t="s">
        <v>33</v>
      </c>
      <c r="L1091" s="3"/>
      <c r="M1091" s="3" t="s">
        <v>131</v>
      </c>
      <c r="N1091" s="3" t="str">
        <f>CONCATENATE("MLTMRA51E28D965U")</f>
        <v>MLTMRA51E28D965U</v>
      </c>
      <c r="O1091" s="3" t="s">
        <v>1219</v>
      </c>
      <c r="P1091" s="3" t="s">
        <v>36</v>
      </c>
      <c r="Q1091" s="3"/>
      <c r="R1091" s="4">
        <v>45996</v>
      </c>
      <c r="S1091" s="3" t="s">
        <v>37</v>
      </c>
      <c r="T1091" s="3" t="s">
        <v>38</v>
      </c>
      <c r="U1091" s="3" t="s">
        <v>39</v>
      </c>
      <c r="V1091" s="3">
        <v>88.97</v>
      </c>
      <c r="W1091" s="3">
        <v>37.81</v>
      </c>
      <c r="X1091" s="3">
        <v>35.81</v>
      </c>
      <c r="Y1091" s="3">
        <v>15.35</v>
      </c>
    </row>
    <row r="1092" spans="1:25" ht="60.75" x14ac:dyDescent="0.25">
      <c r="A1092" s="3" t="s">
        <v>26</v>
      </c>
      <c r="B1092" s="3" t="s">
        <v>27</v>
      </c>
      <c r="C1092" s="3" t="s">
        <v>28</v>
      </c>
      <c r="D1092" s="3" t="s">
        <v>50</v>
      </c>
      <c r="E1092" s="3" t="s">
        <v>60</v>
      </c>
      <c r="F1092" s="3" t="s">
        <v>52</v>
      </c>
      <c r="G1092" s="3" t="s">
        <v>60</v>
      </c>
      <c r="H1092" s="3" t="s">
        <v>45</v>
      </c>
      <c r="I1092" s="3">
        <v>2025</v>
      </c>
      <c r="J1092" s="3" t="str">
        <f>CONCATENATE("54820094628")</f>
        <v>54820094628</v>
      </c>
      <c r="K1092" s="3" t="s">
        <v>33</v>
      </c>
      <c r="L1092" s="3"/>
      <c r="M1092" s="3" t="s">
        <v>131</v>
      </c>
      <c r="N1092" s="3" t="str">
        <f>CONCATENATE("CFLSRG49T19B636E")</f>
        <v>CFLSRG49T19B636E</v>
      </c>
      <c r="O1092" s="3" t="s">
        <v>1220</v>
      </c>
      <c r="P1092" s="3" t="s">
        <v>36</v>
      </c>
      <c r="Q1092" s="3"/>
      <c r="R1092" s="4">
        <v>45996</v>
      </c>
      <c r="S1092" s="3" t="s">
        <v>37</v>
      </c>
      <c r="T1092" s="3" t="s">
        <v>38</v>
      </c>
      <c r="U1092" s="3" t="s">
        <v>39</v>
      </c>
      <c r="V1092" s="3">
        <v>221.95</v>
      </c>
      <c r="W1092" s="3">
        <v>94.33</v>
      </c>
      <c r="X1092" s="3">
        <v>89.33</v>
      </c>
      <c r="Y1092" s="3">
        <v>38.29</v>
      </c>
    </row>
    <row r="1093" spans="1:25" ht="60.75" x14ac:dyDescent="0.25">
      <c r="A1093" s="3" t="s">
        <v>26</v>
      </c>
      <c r="B1093" s="3" t="s">
        <v>27</v>
      </c>
      <c r="C1093" s="3" t="s">
        <v>28</v>
      </c>
      <c r="D1093" s="3" t="s">
        <v>50</v>
      </c>
      <c r="E1093" s="3" t="s">
        <v>147</v>
      </c>
      <c r="F1093" s="3" t="s">
        <v>52</v>
      </c>
      <c r="G1093" s="3" t="s">
        <v>147</v>
      </c>
      <c r="H1093" s="3" t="s">
        <v>45</v>
      </c>
      <c r="I1093" s="3">
        <v>2025</v>
      </c>
      <c r="J1093" s="3" t="str">
        <f>CONCATENATE("54820075619")</f>
        <v>54820075619</v>
      </c>
      <c r="K1093" s="3" t="s">
        <v>33</v>
      </c>
      <c r="L1093" s="3"/>
      <c r="M1093" s="3" t="s">
        <v>131</v>
      </c>
      <c r="N1093" s="3" t="str">
        <f>CONCATENATE("FDDCST79T28I459E")</f>
        <v>FDDCST79T28I459E</v>
      </c>
      <c r="O1093" s="3" t="s">
        <v>1221</v>
      </c>
      <c r="P1093" s="3" t="s">
        <v>36</v>
      </c>
      <c r="Q1093" s="3"/>
      <c r="R1093" s="4">
        <v>45996</v>
      </c>
      <c r="S1093" s="3" t="s">
        <v>37</v>
      </c>
      <c r="T1093" s="3" t="s">
        <v>38</v>
      </c>
      <c r="U1093" s="3" t="s">
        <v>39</v>
      </c>
      <c r="V1093" s="3">
        <v>869.21</v>
      </c>
      <c r="W1093" s="3">
        <v>369.41</v>
      </c>
      <c r="X1093" s="3">
        <v>349.86</v>
      </c>
      <c r="Y1093" s="3">
        <v>149.94</v>
      </c>
    </row>
    <row r="1094" spans="1:25" ht="60.75" x14ac:dyDescent="0.25">
      <c r="A1094" s="3" t="s">
        <v>26</v>
      </c>
      <c r="B1094" s="3" t="s">
        <v>27</v>
      </c>
      <c r="C1094" s="3" t="s">
        <v>28</v>
      </c>
      <c r="D1094" s="3" t="s">
        <v>29</v>
      </c>
      <c r="E1094" s="3" t="s">
        <v>56</v>
      </c>
      <c r="F1094" s="3" t="s">
        <v>31</v>
      </c>
      <c r="G1094" s="3" t="s">
        <v>56</v>
      </c>
      <c r="H1094" s="3" t="s">
        <v>32</v>
      </c>
      <c r="I1094" s="3">
        <v>2025</v>
      </c>
      <c r="J1094" s="3" t="str">
        <f>CONCATENATE("54820148549")</f>
        <v>54820148549</v>
      </c>
      <c r="K1094" s="3" t="s">
        <v>33</v>
      </c>
      <c r="L1094" s="3"/>
      <c r="M1094" s="3" t="s">
        <v>131</v>
      </c>
      <c r="N1094" s="3" t="str">
        <f>CONCATENATE("SPRGNN42D11B474P")</f>
        <v>SPRGNN42D11B474P</v>
      </c>
      <c r="O1094" s="3" t="s">
        <v>1222</v>
      </c>
      <c r="P1094" s="3" t="s">
        <v>36</v>
      </c>
      <c r="Q1094" s="3"/>
      <c r="R1094" s="4">
        <v>45996</v>
      </c>
      <c r="S1094" s="3" t="s">
        <v>37</v>
      </c>
      <c r="T1094" s="3" t="s">
        <v>38</v>
      </c>
      <c r="U1094" s="3" t="s">
        <v>39</v>
      </c>
      <c r="V1094" s="3">
        <v>533.89</v>
      </c>
      <c r="W1094" s="3">
        <v>226.9</v>
      </c>
      <c r="X1094" s="3">
        <v>214.89</v>
      </c>
      <c r="Y1094" s="3">
        <v>92.1</v>
      </c>
    </row>
    <row r="1095" spans="1:25" ht="60.75" x14ac:dyDescent="0.25">
      <c r="A1095" s="3" t="s">
        <v>26</v>
      </c>
      <c r="B1095" s="3" t="s">
        <v>27</v>
      </c>
      <c r="C1095" s="3" t="s">
        <v>28</v>
      </c>
      <c r="D1095" s="3" t="s">
        <v>50</v>
      </c>
      <c r="E1095" s="3" t="s">
        <v>147</v>
      </c>
      <c r="F1095" s="3" t="s">
        <v>52</v>
      </c>
      <c r="G1095" s="3" t="s">
        <v>147</v>
      </c>
      <c r="H1095" s="3" t="s">
        <v>45</v>
      </c>
      <c r="I1095" s="3">
        <v>2025</v>
      </c>
      <c r="J1095" s="3" t="str">
        <f>CONCATENATE("54820135439")</f>
        <v>54820135439</v>
      </c>
      <c r="K1095" s="3" t="s">
        <v>33</v>
      </c>
      <c r="L1095" s="3"/>
      <c r="M1095" s="3" t="s">
        <v>131</v>
      </c>
      <c r="N1095" s="3" t="str">
        <f>CONCATENATE("DNGMRZ56T11L500J")</f>
        <v>DNGMRZ56T11L500J</v>
      </c>
      <c r="O1095" s="3" t="s">
        <v>1223</v>
      </c>
      <c r="P1095" s="3" t="s">
        <v>36</v>
      </c>
      <c r="Q1095" s="3"/>
      <c r="R1095" s="4">
        <v>45996</v>
      </c>
      <c r="S1095" s="3" t="s">
        <v>37</v>
      </c>
      <c r="T1095" s="3" t="s">
        <v>38</v>
      </c>
      <c r="U1095" s="3" t="s">
        <v>39</v>
      </c>
      <c r="V1095" s="3">
        <v>239.4</v>
      </c>
      <c r="W1095" s="3">
        <v>101.75</v>
      </c>
      <c r="X1095" s="3">
        <v>96.36</v>
      </c>
      <c r="Y1095" s="3">
        <v>41.29</v>
      </c>
    </row>
    <row r="1096" spans="1:25" ht="72.75" x14ac:dyDescent="0.25">
      <c r="A1096" s="3" t="s">
        <v>26</v>
      </c>
      <c r="B1096" s="3" t="s">
        <v>27</v>
      </c>
      <c r="C1096" s="3" t="s">
        <v>28</v>
      </c>
      <c r="D1096" s="3" t="s">
        <v>29</v>
      </c>
      <c r="E1096" s="3" t="s">
        <v>476</v>
      </c>
      <c r="F1096" s="3" t="s">
        <v>31</v>
      </c>
      <c r="G1096" s="3" t="s">
        <v>476</v>
      </c>
      <c r="H1096" s="3" t="s">
        <v>48</v>
      </c>
      <c r="I1096" s="3">
        <v>2025</v>
      </c>
      <c r="J1096" s="3" t="str">
        <f>CONCATENATE("54820107255")</f>
        <v>54820107255</v>
      </c>
      <c r="K1096" s="3" t="s">
        <v>33</v>
      </c>
      <c r="L1096" s="3"/>
      <c r="M1096" s="3" t="s">
        <v>131</v>
      </c>
      <c r="N1096" s="3" t="str">
        <f>CONCATENATE("BLDNGL65R46D451R")</f>
        <v>BLDNGL65R46D451R</v>
      </c>
      <c r="O1096" s="3" t="s">
        <v>1224</v>
      </c>
      <c r="P1096" s="3" t="s">
        <v>36</v>
      </c>
      <c r="Q1096" s="3"/>
      <c r="R1096" s="4">
        <v>45996</v>
      </c>
      <c r="S1096" s="3" t="s">
        <v>37</v>
      </c>
      <c r="T1096" s="3" t="s">
        <v>38</v>
      </c>
      <c r="U1096" s="3" t="s">
        <v>39</v>
      </c>
      <c r="V1096" s="3">
        <v>131.87</v>
      </c>
      <c r="W1096" s="3">
        <v>56.04</v>
      </c>
      <c r="X1096" s="3">
        <v>53.08</v>
      </c>
      <c r="Y1096" s="3">
        <v>22.75</v>
      </c>
    </row>
    <row r="1097" spans="1:25" ht="36.75" x14ac:dyDescent="0.25">
      <c r="A1097" s="3" t="s">
        <v>26</v>
      </c>
      <c r="B1097" s="3" t="s">
        <v>27</v>
      </c>
      <c r="C1097" s="3" t="s">
        <v>28</v>
      </c>
      <c r="D1097" s="3" t="s">
        <v>29</v>
      </c>
      <c r="E1097" s="3" t="s">
        <v>56</v>
      </c>
      <c r="F1097" s="3" t="s">
        <v>31</v>
      </c>
      <c r="G1097" s="3" t="s">
        <v>56</v>
      </c>
      <c r="H1097" s="3" t="s">
        <v>48</v>
      </c>
      <c r="I1097" s="3">
        <v>2025</v>
      </c>
      <c r="J1097" s="3" t="str">
        <f>CONCATENATE("54820136361")</f>
        <v>54820136361</v>
      </c>
      <c r="K1097" s="3" t="s">
        <v>33</v>
      </c>
      <c r="L1097" s="3"/>
      <c r="M1097" s="3" t="s">
        <v>131</v>
      </c>
      <c r="N1097" s="3" t="str">
        <f>CONCATENATE("02107370435")</f>
        <v>02107370435</v>
      </c>
      <c r="O1097" s="3" t="s">
        <v>1225</v>
      </c>
      <c r="P1097" s="3" t="s">
        <v>36</v>
      </c>
      <c r="Q1097" s="3"/>
      <c r="R1097" s="4">
        <v>45996</v>
      </c>
      <c r="S1097" s="3" t="s">
        <v>37</v>
      </c>
      <c r="T1097" s="3" t="s">
        <v>38</v>
      </c>
      <c r="U1097" s="3" t="s">
        <v>39</v>
      </c>
      <c r="V1097" s="3">
        <v>270.98</v>
      </c>
      <c r="W1097" s="3">
        <v>115.17</v>
      </c>
      <c r="X1097" s="3">
        <v>109.07</v>
      </c>
      <c r="Y1097" s="3">
        <v>46.74</v>
      </c>
    </row>
    <row r="1098" spans="1:25" ht="72.75" x14ac:dyDescent="0.25">
      <c r="A1098" s="3" t="s">
        <v>26</v>
      </c>
      <c r="B1098" s="3" t="s">
        <v>27</v>
      </c>
      <c r="C1098" s="3" t="s">
        <v>28</v>
      </c>
      <c r="D1098" s="3" t="s">
        <v>29</v>
      </c>
      <c r="E1098" s="3" t="s">
        <v>125</v>
      </c>
      <c r="F1098" s="3" t="s">
        <v>31</v>
      </c>
      <c r="G1098" s="3" t="s">
        <v>125</v>
      </c>
      <c r="H1098" s="3" t="s">
        <v>32</v>
      </c>
      <c r="I1098" s="3">
        <v>2025</v>
      </c>
      <c r="J1098" s="3" t="str">
        <f>CONCATENATE("54820057500")</f>
        <v>54820057500</v>
      </c>
      <c r="K1098" s="3" t="s">
        <v>33</v>
      </c>
      <c r="L1098" s="3"/>
      <c r="M1098" s="3" t="s">
        <v>131</v>
      </c>
      <c r="N1098" s="3" t="str">
        <f>CONCATENATE("GRDSNT53M51G657W")</f>
        <v>GRDSNT53M51G657W</v>
      </c>
      <c r="O1098" s="3" t="s">
        <v>1226</v>
      </c>
      <c r="P1098" s="3" t="s">
        <v>36</v>
      </c>
      <c r="Q1098" s="3"/>
      <c r="R1098" s="4">
        <v>45996</v>
      </c>
      <c r="S1098" s="3" t="s">
        <v>37</v>
      </c>
      <c r="T1098" s="3" t="s">
        <v>38</v>
      </c>
      <c r="U1098" s="3" t="s">
        <v>39</v>
      </c>
      <c r="V1098" s="3">
        <v>201.69</v>
      </c>
      <c r="W1098" s="3">
        <v>85.72</v>
      </c>
      <c r="X1098" s="3">
        <v>81.180000000000007</v>
      </c>
      <c r="Y1098" s="3">
        <v>34.79</v>
      </c>
    </row>
    <row r="1099" spans="1:25" ht="60.75" x14ac:dyDescent="0.25">
      <c r="A1099" s="3" t="s">
        <v>26</v>
      </c>
      <c r="B1099" s="3" t="s">
        <v>27</v>
      </c>
      <c r="C1099" s="3" t="s">
        <v>28</v>
      </c>
      <c r="D1099" s="3" t="s">
        <v>50</v>
      </c>
      <c r="E1099" s="3" t="s">
        <v>60</v>
      </c>
      <c r="F1099" s="3" t="s">
        <v>52</v>
      </c>
      <c r="G1099" s="3" t="s">
        <v>60</v>
      </c>
      <c r="H1099" s="3" t="s">
        <v>45</v>
      </c>
      <c r="I1099" s="3">
        <v>2025</v>
      </c>
      <c r="J1099" s="3" t="str">
        <f>CONCATENATE("54820121470")</f>
        <v>54820121470</v>
      </c>
      <c r="K1099" s="3" t="s">
        <v>33</v>
      </c>
      <c r="L1099" s="3"/>
      <c r="M1099" s="3" t="s">
        <v>131</v>
      </c>
      <c r="N1099" s="3" t="str">
        <f>CONCATENATE("MZZGPP40T31B352E")</f>
        <v>MZZGPP40T31B352E</v>
      </c>
      <c r="O1099" s="3" t="s">
        <v>1227</v>
      </c>
      <c r="P1099" s="3" t="s">
        <v>36</v>
      </c>
      <c r="Q1099" s="3"/>
      <c r="R1099" s="4">
        <v>45996</v>
      </c>
      <c r="S1099" s="3" t="s">
        <v>37</v>
      </c>
      <c r="T1099" s="3" t="s">
        <v>38</v>
      </c>
      <c r="U1099" s="3" t="s">
        <v>39</v>
      </c>
      <c r="V1099" s="3">
        <v>82.21</v>
      </c>
      <c r="W1099" s="3">
        <v>34.94</v>
      </c>
      <c r="X1099" s="3">
        <v>33.090000000000003</v>
      </c>
      <c r="Y1099" s="3">
        <v>14.18</v>
      </c>
    </row>
    <row r="1100" spans="1:25" ht="36.75" x14ac:dyDescent="0.25">
      <c r="A1100" s="3" t="s">
        <v>26</v>
      </c>
      <c r="B1100" s="3" t="s">
        <v>27</v>
      </c>
      <c r="C1100" s="3" t="s">
        <v>28</v>
      </c>
      <c r="D1100" s="3" t="s">
        <v>40</v>
      </c>
      <c r="E1100" s="3" t="s">
        <v>122</v>
      </c>
      <c r="F1100" s="3" t="s">
        <v>42</v>
      </c>
      <c r="G1100" s="3" t="s">
        <v>122</v>
      </c>
      <c r="H1100" s="3" t="s">
        <v>32</v>
      </c>
      <c r="I1100" s="3">
        <v>2025</v>
      </c>
      <c r="J1100" s="3" t="str">
        <f>CONCATENATE("54820118922")</f>
        <v>54820118922</v>
      </c>
      <c r="K1100" s="3" t="s">
        <v>33</v>
      </c>
      <c r="L1100" s="3"/>
      <c r="M1100" s="3" t="s">
        <v>131</v>
      </c>
      <c r="N1100" s="3" t="str">
        <f>CONCATENATE("02062340449")</f>
        <v>02062340449</v>
      </c>
      <c r="O1100" s="3" t="s">
        <v>1228</v>
      </c>
      <c r="P1100" s="3" t="s">
        <v>36</v>
      </c>
      <c r="Q1100" s="3"/>
      <c r="R1100" s="4">
        <v>45996</v>
      </c>
      <c r="S1100" s="3" t="s">
        <v>37</v>
      </c>
      <c r="T1100" s="3" t="s">
        <v>38</v>
      </c>
      <c r="U1100" s="3" t="s">
        <v>39</v>
      </c>
      <c r="V1100" s="3">
        <v>74.510000000000005</v>
      </c>
      <c r="W1100" s="3">
        <v>31.67</v>
      </c>
      <c r="X1100" s="3">
        <v>29.99</v>
      </c>
      <c r="Y1100" s="3">
        <v>12.85</v>
      </c>
    </row>
    <row r="1101" spans="1:25" ht="60.75" x14ac:dyDescent="0.25">
      <c r="A1101" s="3" t="s">
        <v>26</v>
      </c>
      <c r="B1101" s="3" t="s">
        <v>27</v>
      </c>
      <c r="C1101" s="3" t="s">
        <v>28</v>
      </c>
      <c r="D1101" s="3" t="s">
        <v>29</v>
      </c>
      <c r="E1101" s="3" t="s">
        <v>228</v>
      </c>
      <c r="F1101" s="3" t="s">
        <v>31</v>
      </c>
      <c r="G1101" s="3" t="s">
        <v>228</v>
      </c>
      <c r="H1101" s="3" t="s">
        <v>45</v>
      </c>
      <c r="I1101" s="3">
        <v>2025</v>
      </c>
      <c r="J1101" s="3" t="str">
        <f>CONCATENATE("54820116371")</f>
        <v>54820116371</v>
      </c>
      <c r="K1101" s="3" t="s">
        <v>33</v>
      </c>
      <c r="L1101" s="3"/>
      <c r="M1101" s="3" t="s">
        <v>131</v>
      </c>
      <c r="N1101" s="3" t="str">
        <f>CONCATENATE("TSTVNT82E52D749J")</f>
        <v>TSTVNT82E52D749J</v>
      </c>
      <c r="O1101" s="3" t="s">
        <v>1229</v>
      </c>
      <c r="P1101" s="3" t="s">
        <v>36</v>
      </c>
      <c r="Q1101" s="3"/>
      <c r="R1101" s="4">
        <v>45996</v>
      </c>
      <c r="S1101" s="3" t="s">
        <v>37</v>
      </c>
      <c r="T1101" s="3" t="s">
        <v>38</v>
      </c>
      <c r="U1101" s="3" t="s">
        <v>39</v>
      </c>
      <c r="V1101" s="3">
        <v>601.74</v>
      </c>
      <c r="W1101" s="3">
        <v>255.74</v>
      </c>
      <c r="X1101" s="3">
        <v>242.2</v>
      </c>
      <c r="Y1101" s="3">
        <v>103.8</v>
      </c>
    </row>
    <row r="1102" spans="1:25" ht="72.75" x14ac:dyDescent="0.25">
      <c r="A1102" s="3" t="s">
        <v>26</v>
      </c>
      <c r="B1102" s="3" t="s">
        <v>27</v>
      </c>
      <c r="C1102" s="3" t="s">
        <v>28</v>
      </c>
      <c r="D1102" s="3" t="s">
        <v>29</v>
      </c>
      <c r="E1102" s="3" t="s">
        <v>182</v>
      </c>
      <c r="F1102" s="3" t="s">
        <v>31</v>
      </c>
      <c r="G1102" s="3" t="s">
        <v>182</v>
      </c>
      <c r="H1102" s="3" t="s">
        <v>45</v>
      </c>
      <c r="I1102" s="3">
        <v>2025</v>
      </c>
      <c r="J1102" s="3" t="str">
        <f>CONCATENATE("54820159009")</f>
        <v>54820159009</v>
      </c>
      <c r="K1102" s="3" t="s">
        <v>33</v>
      </c>
      <c r="L1102" s="3"/>
      <c r="M1102" s="3" t="s">
        <v>131</v>
      </c>
      <c r="N1102" s="3" t="str">
        <f>CONCATENATE("RSSSNT59A57G514N")</f>
        <v>RSSSNT59A57G514N</v>
      </c>
      <c r="O1102" s="3" t="s">
        <v>1230</v>
      </c>
      <c r="P1102" s="3" t="s">
        <v>36</v>
      </c>
      <c r="Q1102" s="3"/>
      <c r="R1102" s="4">
        <v>45996</v>
      </c>
      <c r="S1102" s="3" t="s">
        <v>37</v>
      </c>
      <c r="T1102" s="3" t="s">
        <v>38</v>
      </c>
      <c r="U1102" s="3" t="s">
        <v>39</v>
      </c>
      <c r="V1102" s="3">
        <v>135.86000000000001</v>
      </c>
      <c r="W1102" s="3">
        <v>57.74</v>
      </c>
      <c r="X1102" s="3">
        <v>54.68</v>
      </c>
      <c r="Y1102" s="3">
        <v>23.44</v>
      </c>
    </row>
    <row r="1103" spans="1:25" ht="60.75" x14ac:dyDescent="0.25">
      <c r="A1103" s="3" t="s">
        <v>26</v>
      </c>
      <c r="B1103" s="3" t="s">
        <v>27</v>
      </c>
      <c r="C1103" s="3" t="s">
        <v>28</v>
      </c>
      <c r="D1103" s="3" t="s">
        <v>50</v>
      </c>
      <c r="E1103" s="3" t="s">
        <v>60</v>
      </c>
      <c r="F1103" s="3" t="s">
        <v>52</v>
      </c>
      <c r="G1103" s="3" t="s">
        <v>60</v>
      </c>
      <c r="H1103" s="3" t="s">
        <v>45</v>
      </c>
      <c r="I1103" s="3">
        <v>2025</v>
      </c>
      <c r="J1103" s="3" t="str">
        <f>CONCATENATE("54820083381")</f>
        <v>54820083381</v>
      </c>
      <c r="K1103" s="3" t="s">
        <v>33</v>
      </c>
      <c r="L1103" s="3"/>
      <c r="M1103" s="3" t="s">
        <v>131</v>
      </c>
      <c r="N1103" s="3" t="str">
        <f>CONCATENATE("FRCGDI87E68B352E")</f>
        <v>FRCGDI87E68B352E</v>
      </c>
      <c r="O1103" s="3" t="s">
        <v>1231</v>
      </c>
      <c r="P1103" s="3" t="s">
        <v>36</v>
      </c>
      <c r="Q1103" s="3"/>
      <c r="R1103" s="4">
        <v>45996</v>
      </c>
      <c r="S1103" s="3" t="s">
        <v>37</v>
      </c>
      <c r="T1103" s="3" t="s">
        <v>38</v>
      </c>
      <c r="U1103" s="3" t="s">
        <v>39</v>
      </c>
      <c r="V1103" s="3">
        <v>206.58</v>
      </c>
      <c r="W1103" s="3">
        <v>87.8</v>
      </c>
      <c r="X1103" s="3">
        <v>83.15</v>
      </c>
      <c r="Y1103" s="3">
        <v>35.630000000000003</v>
      </c>
    </row>
    <row r="1104" spans="1:25" ht="60.75" x14ac:dyDescent="0.25">
      <c r="A1104" s="3" t="s">
        <v>26</v>
      </c>
      <c r="B1104" s="3" t="s">
        <v>27</v>
      </c>
      <c r="C1104" s="3" t="s">
        <v>28</v>
      </c>
      <c r="D1104" s="3" t="s">
        <v>29</v>
      </c>
      <c r="E1104" s="3" t="s">
        <v>72</v>
      </c>
      <c r="F1104" s="3" t="s">
        <v>31</v>
      </c>
      <c r="G1104" s="3" t="s">
        <v>72</v>
      </c>
      <c r="H1104" s="3" t="s">
        <v>45</v>
      </c>
      <c r="I1104" s="3">
        <v>2025</v>
      </c>
      <c r="J1104" s="3" t="str">
        <f>CONCATENATE("54820100508")</f>
        <v>54820100508</v>
      </c>
      <c r="K1104" s="3" t="s">
        <v>33</v>
      </c>
      <c r="L1104" s="3"/>
      <c r="M1104" s="3" t="s">
        <v>131</v>
      </c>
      <c r="N1104" s="3" t="str">
        <f>CONCATENATE("CNCRRT68D65B352E")</f>
        <v>CNCRRT68D65B352E</v>
      </c>
      <c r="O1104" s="3" t="s">
        <v>1232</v>
      </c>
      <c r="P1104" s="3" t="s">
        <v>36</v>
      </c>
      <c r="Q1104" s="3"/>
      <c r="R1104" s="4">
        <v>45996</v>
      </c>
      <c r="S1104" s="3" t="s">
        <v>37</v>
      </c>
      <c r="T1104" s="3" t="s">
        <v>38</v>
      </c>
      <c r="U1104" s="3" t="s">
        <v>39</v>
      </c>
      <c r="V1104" s="3">
        <v>57.55</v>
      </c>
      <c r="W1104" s="3">
        <v>24.46</v>
      </c>
      <c r="X1104" s="3">
        <v>23.16</v>
      </c>
      <c r="Y1104" s="3">
        <v>9.93</v>
      </c>
    </row>
    <row r="1105" spans="1:25" ht="60.75" x14ac:dyDescent="0.25">
      <c r="A1105" s="3" t="s">
        <v>26</v>
      </c>
      <c r="B1105" s="3" t="s">
        <v>27</v>
      </c>
      <c r="C1105" s="3" t="s">
        <v>28</v>
      </c>
      <c r="D1105" s="3" t="s">
        <v>40</v>
      </c>
      <c r="E1105" s="3" t="s">
        <v>287</v>
      </c>
      <c r="F1105" s="3" t="s">
        <v>42</v>
      </c>
      <c r="G1105" s="3" t="s">
        <v>287</v>
      </c>
      <c r="H1105" s="3" t="s">
        <v>32</v>
      </c>
      <c r="I1105" s="3">
        <v>2025</v>
      </c>
      <c r="J1105" s="3" t="str">
        <f>CONCATENATE("54820014972")</f>
        <v>54820014972</v>
      </c>
      <c r="K1105" s="3" t="s">
        <v>33</v>
      </c>
      <c r="L1105" s="3"/>
      <c r="M1105" s="3" t="s">
        <v>131</v>
      </c>
      <c r="N1105" s="3" t="str">
        <f>CONCATENATE("BLLLRT57R29B474A")</f>
        <v>BLLLRT57R29B474A</v>
      </c>
      <c r="O1105" s="3" t="s">
        <v>1233</v>
      </c>
      <c r="P1105" s="3" t="s">
        <v>36</v>
      </c>
      <c r="Q1105" s="3"/>
      <c r="R1105" s="4">
        <v>45996</v>
      </c>
      <c r="S1105" s="3" t="s">
        <v>37</v>
      </c>
      <c r="T1105" s="3" t="s">
        <v>38</v>
      </c>
      <c r="U1105" s="3" t="s">
        <v>39</v>
      </c>
      <c r="V1105" s="3">
        <v>88.3</v>
      </c>
      <c r="W1105" s="3">
        <v>37.53</v>
      </c>
      <c r="X1105" s="3">
        <v>35.54</v>
      </c>
      <c r="Y1105" s="3">
        <v>15.23</v>
      </c>
    </row>
    <row r="1106" spans="1:25" ht="60.75" x14ac:dyDescent="0.25">
      <c r="A1106" s="3" t="s">
        <v>26</v>
      </c>
      <c r="B1106" s="3" t="s">
        <v>27</v>
      </c>
      <c r="C1106" s="3" t="s">
        <v>28</v>
      </c>
      <c r="D1106" s="3" t="s">
        <v>29</v>
      </c>
      <c r="E1106" s="3" t="s">
        <v>56</v>
      </c>
      <c r="F1106" s="3" t="s">
        <v>31</v>
      </c>
      <c r="G1106" s="3" t="s">
        <v>56</v>
      </c>
      <c r="H1106" s="3" t="s">
        <v>32</v>
      </c>
      <c r="I1106" s="3">
        <v>2025</v>
      </c>
      <c r="J1106" s="3" t="str">
        <f>CONCATENATE("54820009873")</f>
        <v>54820009873</v>
      </c>
      <c r="K1106" s="3" t="s">
        <v>33</v>
      </c>
      <c r="L1106" s="3"/>
      <c r="M1106" s="3" t="s">
        <v>131</v>
      </c>
      <c r="N1106" s="3" t="str">
        <f>CONCATENATE("CRBMRA42S62I156A")</f>
        <v>CRBMRA42S62I156A</v>
      </c>
      <c r="O1106" s="3" t="s">
        <v>1234</v>
      </c>
      <c r="P1106" s="3" t="s">
        <v>36</v>
      </c>
      <c r="Q1106" s="3"/>
      <c r="R1106" s="4">
        <v>45996</v>
      </c>
      <c r="S1106" s="3" t="s">
        <v>37</v>
      </c>
      <c r="T1106" s="3" t="s">
        <v>38</v>
      </c>
      <c r="U1106" s="3" t="s">
        <v>39</v>
      </c>
      <c r="V1106" s="3">
        <v>110.94</v>
      </c>
      <c r="W1106" s="3">
        <v>47.15</v>
      </c>
      <c r="X1106" s="3">
        <v>44.65</v>
      </c>
      <c r="Y1106" s="3">
        <v>19.14</v>
      </c>
    </row>
    <row r="1107" spans="1:25" ht="60.75" x14ac:dyDescent="0.25">
      <c r="A1107" s="3" t="s">
        <v>26</v>
      </c>
      <c r="B1107" s="3" t="s">
        <v>27</v>
      </c>
      <c r="C1107" s="3" t="s">
        <v>28</v>
      </c>
      <c r="D1107" s="3" t="s">
        <v>29</v>
      </c>
      <c r="E1107" s="3" t="s">
        <v>186</v>
      </c>
      <c r="F1107" s="3" t="s">
        <v>31</v>
      </c>
      <c r="G1107" s="3" t="s">
        <v>186</v>
      </c>
      <c r="H1107" s="3" t="s">
        <v>45</v>
      </c>
      <c r="I1107" s="3">
        <v>2025</v>
      </c>
      <c r="J1107" s="3" t="str">
        <f>CONCATENATE("54820025853")</f>
        <v>54820025853</v>
      </c>
      <c r="K1107" s="3" t="s">
        <v>33</v>
      </c>
      <c r="L1107" s="3"/>
      <c r="M1107" s="3" t="s">
        <v>131</v>
      </c>
      <c r="N1107" s="3" t="str">
        <f>CONCATENATE("PNSJND40H63F641T")</f>
        <v>PNSJND40H63F641T</v>
      </c>
      <c r="O1107" s="3" t="s">
        <v>1235</v>
      </c>
      <c r="P1107" s="3" t="s">
        <v>36</v>
      </c>
      <c r="Q1107" s="3"/>
      <c r="R1107" s="4">
        <v>45996</v>
      </c>
      <c r="S1107" s="3" t="s">
        <v>37</v>
      </c>
      <c r="T1107" s="3" t="s">
        <v>38</v>
      </c>
      <c r="U1107" s="3" t="s">
        <v>39</v>
      </c>
      <c r="V1107" s="3">
        <v>236.53</v>
      </c>
      <c r="W1107" s="3">
        <v>100.53</v>
      </c>
      <c r="X1107" s="3">
        <v>95.2</v>
      </c>
      <c r="Y1107" s="3">
        <v>40.799999999999997</v>
      </c>
    </row>
    <row r="1108" spans="1:25" ht="60.75" x14ac:dyDescent="0.25">
      <c r="A1108" s="3" t="s">
        <v>26</v>
      </c>
      <c r="B1108" s="3" t="s">
        <v>27</v>
      </c>
      <c r="C1108" s="3" t="s">
        <v>28</v>
      </c>
      <c r="D1108" s="3" t="s">
        <v>29</v>
      </c>
      <c r="E1108" s="3" t="s">
        <v>72</v>
      </c>
      <c r="F1108" s="3" t="s">
        <v>31</v>
      </c>
      <c r="G1108" s="3" t="s">
        <v>72</v>
      </c>
      <c r="H1108" s="3" t="s">
        <v>45</v>
      </c>
      <c r="I1108" s="3">
        <v>2025</v>
      </c>
      <c r="J1108" s="3" t="str">
        <f>CONCATENATE("54820023866")</f>
        <v>54820023866</v>
      </c>
      <c r="K1108" s="3" t="s">
        <v>33</v>
      </c>
      <c r="L1108" s="3"/>
      <c r="M1108" s="3" t="s">
        <v>131</v>
      </c>
      <c r="N1108" s="3" t="str">
        <f>CONCATENATE("FRTLSN71B50B352S")</f>
        <v>FRTLSN71B50B352S</v>
      </c>
      <c r="O1108" s="3" t="s">
        <v>1236</v>
      </c>
      <c r="P1108" s="3" t="s">
        <v>36</v>
      </c>
      <c r="Q1108" s="3"/>
      <c r="R1108" s="4">
        <v>45996</v>
      </c>
      <c r="S1108" s="3" t="s">
        <v>37</v>
      </c>
      <c r="T1108" s="3" t="s">
        <v>38</v>
      </c>
      <c r="U1108" s="3" t="s">
        <v>39</v>
      </c>
      <c r="V1108" s="3">
        <v>142.19999999999999</v>
      </c>
      <c r="W1108" s="3">
        <v>60.44</v>
      </c>
      <c r="X1108" s="3">
        <v>57.24</v>
      </c>
      <c r="Y1108" s="3">
        <v>24.52</v>
      </c>
    </row>
    <row r="1109" spans="1:25" ht="60.75" x14ac:dyDescent="0.25">
      <c r="A1109" s="3" t="s">
        <v>26</v>
      </c>
      <c r="B1109" s="3" t="s">
        <v>27</v>
      </c>
      <c r="C1109" s="3" t="s">
        <v>28</v>
      </c>
      <c r="D1109" s="3" t="s">
        <v>29</v>
      </c>
      <c r="E1109" s="3" t="s">
        <v>228</v>
      </c>
      <c r="F1109" s="3" t="s">
        <v>31</v>
      </c>
      <c r="G1109" s="3" t="s">
        <v>228</v>
      </c>
      <c r="H1109" s="3" t="s">
        <v>45</v>
      </c>
      <c r="I1109" s="3">
        <v>2025</v>
      </c>
      <c r="J1109" s="3" t="str">
        <f>CONCATENATE("54820033766")</f>
        <v>54820033766</v>
      </c>
      <c r="K1109" s="3" t="s">
        <v>33</v>
      </c>
      <c r="L1109" s="3"/>
      <c r="M1109" s="3" t="s">
        <v>131</v>
      </c>
      <c r="N1109" s="3" t="str">
        <f>CONCATENATE("BRNGFR48D27E351C")</f>
        <v>BRNGFR48D27E351C</v>
      </c>
      <c r="O1109" s="3" t="s">
        <v>1237</v>
      </c>
      <c r="P1109" s="3" t="s">
        <v>36</v>
      </c>
      <c r="Q1109" s="3"/>
      <c r="R1109" s="4">
        <v>45996</v>
      </c>
      <c r="S1109" s="3" t="s">
        <v>37</v>
      </c>
      <c r="T1109" s="3" t="s">
        <v>38</v>
      </c>
      <c r="U1109" s="3" t="s">
        <v>39</v>
      </c>
      <c r="V1109" s="3">
        <v>126.17</v>
      </c>
      <c r="W1109" s="3">
        <v>53.62</v>
      </c>
      <c r="X1109" s="3">
        <v>50.78</v>
      </c>
      <c r="Y1109" s="3">
        <v>21.77</v>
      </c>
    </row>
    <row r="1110" spans="1:25" ht="60.75" x14ac:dyDescent="0.25">
      <c r="A1110" s="3" t="s">
        <v>26</v>
      </c>
      <c r="B1110" s="3" t="s">
        <v>27</v>
      </c>
      <c r="C1110" s="3" t="s">
        <v>28</v>
      </c>
      <c r="D1110" s="3" t="s">
        <v>50</v>
      </c>
      <c r="E1110" s="3" t="s">
        <v>173</v>
      </c>
      <c r="F1110" s="3" t="s">
        <v>52</v>
      </c>
      <c r="G1110" s="3" t="s">
        <v>173</v>
      </c>
      <c r="H1110" s="3" t="s">
        <v>45</v>
      </c>
      <c r="I1110" s="3">
        <v>2025</v>
      </c>
      <c r="J1110" s="3" t="str">
        <f>CONCATENATE("54820034012")</f>
        <v>54820034012</v>
      </c>
      <c r="K1110" s="3" t="s">
        <v>33</v>
      </c>
      <c r="L1110" s="3"/>
      <c r="M1110" s="3" t="s">
        <v>131</v>
      </c>
      <c r="N1110" s="3" t="str">
        <f>CONCATENATE("BRTGBR50E50F524H")</f>
        <v>BRTGBR50E50F524H</v>
      </c>
      <c r="O1110" s="3" t="s">
        <v>1238</v>
      </c>
      <c r="P1110" s="3" t="s">
        <v>36</v>
      </c>
      <c r="Q1110" s="3"/>
      <c r="R1110" s="4">
        <v>45996</v>
      </c>
      <c r="S1110" s="3" t="s">
        <v>37</v>
      </c>
      <c r="T1110" s="3" t="s">
        <v>38</v>
      </c>
      <c r="U1110" s="3" t="s">
        <v>39</v>
      </c>
      <c r="V1110" s="3">
        <v>244.24</v>
      </c>
      <c r="W1110" s="3">
        <v>103.8</v>
      </c>
      <c r="X1110" s="3">
        <v>98.31</v>
      </c>
      <c r="Y1110" s="3">
        <v>42.13</v>
      </c>
    </row>
    <row r="1111" spans="1:25" ht="60.75" x14ac:dyDescent="0.25">
      <c r="A1111" s="3" t="s">
        <v>26</v>
      </c>
      <c r="B1111" s="3" t="s">
        <v>27</v>
      </c>
      <c r="C1111" s="3" t="s">
        <v>28</v>
      </c>
      <c r="D1111" s="3" t="s">
        <v>40</v>
      </c>
      <c r="E1111" s="3" t="s">
        <v>54</v>
      </c>
      <c r="F1111" s="3" t="s">
        <v>42</v>
      </c>
      <c r="G1111" s="3" t="s">
        <v>54</v>
      </c>
      <c r="H1111" s="3" t="s">
        <v>45</v>
      </c>
      <c r="I1111" s="3">
        <v>2025</v>
      </c>
      <c r="J1111" s="3" t="str">
        <f>CONCATENATE("54820018668")</f>
        <v>54820018668</v>
      </c>
      <c r="K1111" s="3" t="s">
        <v>33</v>
      </c>
      <c r="L1111" s="3"/>
      <c r="M1111" s="3" t="s">
        <v>131</v>
      </c>
      <c r="N1111" s="3" t="str">
        <f>CONCATENATE("BSTLSU64E56G479K")</f>
        <v>BSTLSU64E56G479K</v>
      </c>
      <c r="O1111" s="3" t="s">
        <v>1239</v>
      </c>
      <c r="P1111" s="3" t="s">
        <v>36</v>
      </c>
      <c r="Q1111" s="3"/>
      <c r="R1111" s="4">
        <v>45996</v>
      </c>
      <c r="S1111" s="3" t="s">
        <v>37</v>
      </c>
      <c r="T1111" s="3" t="s">
        <v>38</v>
      </c>
      <c r="U1111" s="3" t="s">
        <v>39</v>
      </c>
      <c r="V1111" s="5">
        <v>1073.3599999999999</v>
      </c>
      <c r="W1111" s="3">
        <v>456.18</v>
      </c>
      <c r="X1111" s="3">
        <v>432.03</v>
      </c>
      <c r="Y1111" s="3">
        <v>185.15</v>
      </c>
    </row>
    <row r="1112" spans="1:25" ht="36.75" x14ac:dyDescent="0.25">
      <c r="A1112" s="3" t="s">
        <v>26</v>
      </c>
      <c r="B1112" s="3" t="s">
        <v>27</v>
      </c>
      <c r="C1112" s="3" t="s">
        <v>28</v>
      </c>
      <c r="D1112" s="3" t="s">
        <v>29</v>
      </c>
      <c r="E1112" s="3" t="s">
        <v>119</v>
      </c>
      <c r="F1112" s="3" t="s">
        <v>31</v>
      </c>
      <c r="G1112" s="3" t="s">
        <v>119</v>
      </c>
      <c r="H1112" s="3" t="s">
        <v>96</v>
      </c>
      <c r="I1112" s="3">
        <v>2025</v>
      </c>
      <c r="J1112" s="3" t="str">
        <f>CONCATENATE("54820023601")</f>
        <v>54820023601</v>
      </c>
      <c r="K1112" s="3" t="s">
        <v>33</v>
      </c>
      <c r="L1112" s="3"/>
      <c r="M1112" s="3" t="s">
        <v>131</v>
      </c>
      <c r="N1112" s="3" t="str">
        <f>CONCATENATE("02267520449")</f>
        <v>02267520449</v>
      </c>
      <c r="O1112" s="3" t="s">
        <v>1240</v>
      </c>
      <c r="P1112" s="3" t="s">
        <v>36</v>
      </c>
      <c r="Q1112" s="3"/>
      <c r="R1112" s="4">
        <v>45996</v>
      </c>
      <c r="S1112" s="3" t="s">
        <v>37</v>
      </c>
      <c r="T1112" s="3" t="s">
        <v>38</v>
      </c>
      <c r="U1112" s="3" t="s">
        <v>39</v>
      </c>
      <c r="V1112" s="3">
        <v>178.78</v>
      </c>
      <c r="W1112" s="3">
        <v>75.98</v>
      </c>
      <c r="X1112" s="3">
        <v>71.959999999999994</v>
      </c>
      <c r="Y1112" s="3">
        <v>30.84</v>
      </c>
    </row>
    <row r="1113" spans="1:25" ht="60.75" x14ac:dyDescent="0.25">
      <c r="A1113" s="3" t="s">
        <v>26</v>
      </c>
      <c r="B1113" s="3" t="s">
        <v>27</v>
      </c>
      <c r="C1113" s="3" t="s">
        <v>28</v>
      </c>
      <c r="D1113" s="3" t="s">
        <v>50</v>
      </c>
      <c r="E1113" s="3" t="s">
        <v>173</v>
      </c>
      <c r="F1113" s="3" t="s">
        <v>52</v>
      </c>
      <c r="G1113" s="3" t="s">
        <v>173</v>
      </c>
      <c r="H1113" s="3" t="s">
        <v>45</v>
      </c>
      <c r="I1113" s="3">
        <v>2025</v>
      </c>
      <c r="J1113" s="3" t="str">
        <f>CONCATENATE("54820023171")</f>
        <v>54820023171</v>
      </c>
      <c r="K1113" s="3" t="s">
        <v>33</v>
      </c>
      <c r="L1113" s="3"/>
      <c r="M1113" s="3" t="s">
        <v>131</v>
      </c>
      <c r="N1113" s="3" t="str">
        <f>CONCATENATE("PCAGNI45R25E785P")</f>
        <v>PCAGNI45R25E785P</v>
      </c>
      <c r="O1113" s="3" t="s">
        <v>1241</v>
      </c>
      <c r="P1113" s="3" t="s">
        <v>36</v>
      </c>
      <c r="Q1113" s="3"/>
      <c r="R1113" s="4">
        <v>45996</v>
      </c>
      <c r="S1113" s="3" t="s">
        <v>37</v>
      </c>
      <c r="T1113" s="3" t="s">
        <v>38</v>
      </c>
      <c r="U1113" s="3" t="s">
        <v>39</v>
      </c>
      <c r="V1113" s="3">
        <v>572.41</v>
      </c>
      <c r="W1113" s="3">
        <v>243.27</v>
      </c>
      <c r="X1113" s="3">
        <v>230.4</v>
      </c>
      <c r="Y1113" s="3">
        <v>98.74</v>
      </c>
    </row>
    <row r="1114" spans="1:25" ht="60.75" x14ac:dyDescent="0.25">
      <c r="A1114" s="3" t="s">
        <v>26</v>
      </c>
      <c r="B1114" s="3" t="s">
        <v>27</v>
      </c>
      <c r="C1114" s="3" t="s">
        <v>28</v>
      </c>
      <c r="D1114" s="3" t="s">
        <v>50</v>
      </c>
      <c r="E1114" s="3" t="s">
        <v>173</v>
      </c>
      <c r="F1114" s="3" t="s">
        <v>52</v>
      </c>
      <c r="G1114" s="3" t="s">
        <v>173</v>
      </c>
      <c r="H1114" s="3" t="s">
        <v>45</v>
      </c>
      <c r="I1114" s="3">
        <v>2025</v>
      </c>
      <c r="J1114" s="3" t="str">
        <f>CONCATENATE("54820033899")</f>
        <v>54820033899</v>
      </c>
      <c r="K1114" s="3" t="s">
        <v>33</v>
      </c>
      <c r="L1114" s="3"/>
      <c r="M1114" s="3" t="s">
        <v>131</v>
      </c>
      <c r="N1114" s="3" t="str">
        <f>CONCATENATE("LZZNTN51D25E785O")</f>
        <v>LZZNTN51D25E785O</v>
      </c>
      <c r="O1114" s="3" t="s">
        <v>1242</v>
      </c>
      <c r="P1114" s="3" t="s">
        <v>36</v>
      </c>
      <c r="Q1114" s="3"/>
      <c r="R1114" s="4">
        <v>45996</v>
      </c>
      <c r="S1114" s="3" t="s">
        <v>37</v>
      </c>
      <c r="T1114" s="3" t="s">
        <v>38</v>
      </c>
      <c r="U1114" s="3" t="s">
        <v>39</v>
      </c>
      <c r="V1114" s="3">
        <v>73.59</v>
      </c>
      <c r="W1114" s="3">
        <v>31.28</v>
      </c>
      <c r="X1114" s="3">
        <v>29.62</v>
      </c>
      <c r="Y1114" s="3">
        <v>12.69</v>
      </c>
    </row>
    <row r="1115" spans="1:25" ht="60.75" x14ac:dyDescent="0.25">
      <c r="A1115" s="3" t="s">
        <v>26</v>
      </c>
      <c r="B1115" s="3" t="s">
        <v>27</v>
      </c>
      <c r="C1115" s="3" t="s">
        <v>28</v>
      </c>
      <c r="D1115" s="3" t="s">
        <v>50</v>
      </c>
      <c r="E1115" s="3" t="s">
        <v>173</v>
      </c>
      <c r="F1115" s="3" t="s">
        <v>52</v>
      </c>
      <c r="G1115" s="3" t="s">
        <v>173</v>
      </c>
      <c r="H1115" s="3" t="s">
        <v>45</v>
      </c>
      <c r="I1115" s="3">
        <v>2025</v>
      </c>
      <c r="J1115" s="3" t="str">
        <f>CONCATENATE("54820024955")</f>
        <v>54820024955</v>
      </c>
      <c r="K1115" s="3" t="s">
        <v>33</v>
      </c>
      <c r="L1115" s="3"/>
      <c r="M1115" s="3" t="s">
        <v>131</v>
      </c>
      <c r="N1115" s="3" t="str">
        <f>CONCATENATE("RCNMNL79S25E785M")</f>
        <v>RCNMNL79S25E785M</v>
      </c>
      <c r="O1115" s="3" t="s">
        <v>1243</v>
      </c>
      <c r="P1115" s="3" t="s">
        <v>36</v>
      </c>
      <c r="Q1115" s="3"/>
      <c r="R1115" s="4">
        <v>45996</v>
      </c>
      <c r="S1115" s="3" t="s">
        <v>37</v>
      </c>
      <c r="T1115" s="3" t="s">
        <v>38</v>
      </c>
      <c r="U1115" s="3" t="s">
        <v>39</v>
      </c>
      <c r="V1115" s="3">
        <v>199.48</v>
      </c>
      <c r="W1115" s="3">
        <v>84.78</v>
      </c>
      <c r="X1115" s="3">
        <v>80.290000000000006</v>
      </c>
      <c r="Y1115" s="3">
        <v>34.409999999999997</v>
      </c>
    </row>
    <row r="1116" spans="1:25" ht="60.75" x14ac:dyDescent="0.25">
      <c r="A1116" s="3" t="s">
        <v>26</v>
      </c>
      <c r="B1116" s="3" t="s">
        <v>27</v>
      </c>
      <c r="C1116" s="3" t="s">
        <v>28</v>
      </c>
      <c r="D1116" s="3" t="s">
        <v>29</v>
      </c>
      <c r="E1116" s="3" t="s">
        <v>119</v>
      </c>
      <c r="F1116" s="3" t="s">
        <v>31</v>
      </c>
      <c r="G1116" s="3" t="s">
        <v>119</v>
      </c>
      <c r="H1116" s="3" t="s">
        <v>96</v>
      </c>
      <c r="I1116" s="3">
        <v>2025</v>
      </c>
      <c r="J1116" s="3" t="str">
        <f>CONCATENATE("54820021563")</f>
        <v>54820021563</v>
      </c>
      <c r="K1116" s="3" t="s">
        <v>33</v>
      </c>
      <c r="L1116" s="3"/>
      <c r="M1116" s="3" t="s">
        <v>131</v>
      </c>
      <c r="N1116" s="3" t="str">
        <f>CONCATENATE("CCCPLA68T19H588H")</f>
        <v>CCCPLA68T19H588H</v>
      </c>
      <c r="O1116" s="3" t="s">
        <v>1244</v>
      </c>
      <c r="P1116" s="3" t="s">
        <v>36</v>
      </c>
      <c r="Q1116" s="3"/>
      <c r="R1116" s="4">
        <v>45996</v>
      </c>
      <c r="S1116" s="3" t="s">
        <v>37</v>
      </c>
      <c r="T1116" s="3" t="s">
        <v>38</v>
      </c>
      <c r="U1116" s="3" t="s">
        <v>39</v>
      </c>
      <c r="V1116" s="3">
        <v>56.65</v>
      </c>
      <c r="W1116" s="3">
        <v>24.08</v>
      </c>
      <c r="X1116" s="3">
        <v>22.8</v>
      </c>
      <c r="Y1116" s="3">
        <v>9.77</v>
      </c>
    </row>
    <row r="1117" spans="1:25" ht="60.75" x14ac:dyDescent="0.25">
      <c r="A1117" s="3" t="s">
        <v>26</v>
      </c>
      <c r="B1117" s="3" t="s">
        <v>27</v>
      </c>
      <c r="C1117" s="3" t="s">
        <v>28</v>
      </c>
      <c r="D1117" s="3" t="s">
        <v>40</v>
      </c>
      <c r="E1117" s="3" t="s">
        <v>287</v>
      </c>
      <c r="F1117" s="3" t="s">
        <v>42</v>
      </c>
      <c r="G1117" s="3" t="s">
        <v>287</v>
      </c>
      <c r="H1117" s="3" t="s">
        <v>32</v>
      </c>
      <c r="I1117" s="3">
        <v>2025</v>
      </c>
      <c r="J1117" s="3" t="str">
        <f>CONCATENATE("54820020557")</f>
        <v>54820020557</v>
      </c>
      <c r="K1117" s="3" t="s">
        <v>33</v>
      </c>
      <c r="L1117" s="3"/>
      <c r="M1117" s="3" t="s">
        <v>131</v>
      </c>
      <c r="N1117" s="3" t="str">
        <f>CONCATENATE("GNTMRT90L41B474G")</f>
        <v>GNTMRT90L41B474G</v>
      </c>
      <c r="O1117" s="3" t="s">
        <v>1245</v>
      </c>
      <c r="P1117" s="3" t="s">
        <v>36</v>
      </c>
      <c r="Q1117" s="3"/>
      <c r="R1117" s="4">
        <v>45996</v>
      </c>
      <c r="S1117" s="3" t="s">
        <v>37</v>
      </c>
      <c r="T1117" s="3" t="s">
        <v>38</v>
      </c>
      <c r="U1117" s="3" t="s">
        <v>39</v>
      </c>
      <c r="V1117" s="3">
        <v>682.74</v>
      </c>
      <c r="W1117" s="3">
        <v>290.16000000000003</v>
      </c>
      <c r="X1117" s="3">
        <v>274.8</v>
      </c>
      <c r="Y1117" s="3">
        <v>117.78</v>
      </c>
    </row>
    <row r="1118" spans="1:25" ht="60.75" x14ac:dyDescent="0.25">
      <c r="A1118" s="3" t="s">
        <v>26</v>
      </c>
      <c r="B1118" s="3" t="s">
        <v>27</v>
      </c>
      <c r="C1118" s="3" t="s">
        <v>28</v>
      </c>
      <c r="D1118" s="3" t="s">
        <v>29</v>
      </c>
      <c r="E1118" s="3" t="s">
        <v>186</v>
      </c>
      <c r="F1118" s="3" t="s">
        <v>31</v>
      </c>
      <c r="G1118" s="3" t="s">
        <v>186</v>
      </c>
      <c r="H1118" s="3" t="s">
        <v>45</v>
      </c>
      <c r="I1118" s="3">
        <v>2025</v>
      </c>
      <c r="J1118" s="3" t="str">
        <f>CONCATENATE("54820026539")</f>
        <v>54820026539</v>
      </c>
      <c r="K1118" s="3" t="s">
        <v>33</v>
      </c>
      <c r="L1118" s="3"/>
      <c r="M1118" s="3" t="s">
        <v>131</v>
      </c>
      <c r="N1118" s="3" t="str">
        <f>CONCATENATE("BRCSNO69T55G479R")</f>
        <v>BRCSNO69T55G479R</v>
      </c>
      <c r="O1118" s="3" t="s">
        <v>1246</v>
      </c>
      <c r="P1118" s="3" t="s">
        <v>36</v>
      </c>
      <c r="Q1118" s="3"/>
      <c r="R1118" s="4">
        <v>45996</v>
      </c>
      <c r="S1118" s="3" t="s">
        <v>37</v>
      </c>
      <c r="T1118" s="3" t="s">
        <v>38</v>
      </c>
      <c r="U1118" s="3" t="s">
        <v>39</v>
      </c>
      <c r="V1118" s="3">
        <v>108.64</v>
      </c>
      <c r="W1118" s="3">
        <v>46.17</v>
      </c>
      <c r="X1118" s="3">
        <v>43.73</v>
      </c>
      <c r="Y1118" s="3">
        <v>18.739999999999998</v>
      </c>
    </row>
    <row r="1119" spans="1:25" ht="60.75" x14ac:dyDescent="0.25">
      <c r="A1119" s="3" t="s">
        <v>26</v>
      </c>
      <c r="B1119" s="3" t="s">
        <v>27</v>
      </c>
      <c r="C1119" s="3" t="s">
        <v>28</v>
      </c>
      <c r="D1119" s="3" t="s">
        <v>50</v>
      </c>
      <c r="E1119" s="3" t="s">
        <v>173</v>
      </c>
      <c r="F1119" s="3" t="s">
        <v>52</v>
      </c>
      <c r="G1119" s="3" t="s">
        <v>173</v>
      </c>
      <c r="H1119" s="3" t="s">
        <v>45</v>
      </c>
      <c r="I1119" s="3">
        <v>2025</v>
      </c>
      <c r="J1119" s="3" t="str">
        <f>CONCATENATE("54820023411")</f>
        <v>54820023411</v>
      </c>
      <c r="K1119" s="3" t="s">
        <v>33</v>
      </c>
      <c r="L1119" s="3"/>
      <c r="M1119" s="3" t="s">
        <v>131</v>
      </c>
      <c r="N1119" s="3" t="str">
        <f>CONCATENATE("MRCGPP26B21F524C")</f>
        <v>MRCGPP26B21F524C</v>
      </c>
      <c r="O1119" s="3" t="s">
        <v>1247</v>
      </c>
      <c r="P1119" s="3" t="s">
        <v>36</v>
      </c>
      <c r="Q1119" s="3"/>
      <c r="R1119" s="4">
        <v>45996</v>
      </c>
      <c r="S1119" s="3" t="s">
        <v>37</v>
      </c>
      <c r="T1119" s="3" t="s">
        <v>38</v>
      </c>
      <c r="U1119" s="3" t="s">
        <v>39</v>
      </c>
      <c r="V1119" s="3">
        <v>175.47</v>
      </c>
      <c r="W1119" s="3">
        <v>74.569999999999993</v>
      </c>
      <c r="X1119" s="3">
        <v>70.63</v>
      </c>
      <c r="Y1119" s="3">
        <v>30.27</v>
      </c>
    </row>
    <row r="1120" spans="1:25" ht="60.75" x14ac:dyDescent="0.25">
      <c r="A1120" s="3" t="s">
        <v>26</v>
      </c>
      <c r="B1120" s="3" t="s">
        <v>27</v>
      </c>
      <c r="C1120" s="3" t="s">
        <v>28</v>
      </c>
      <c r="D1120" s="3" t="s">
        <v>29</v>
      </c>
      <c r="E1120" s="3" t="s">
        <v>72</v>
      </c>
      <c r="F1120" s="3" t="s">
        <v>31</v>
      </c>
      <c r="G1120" s="3" t="s">
        <v>72</v>
      </c>
      <c r="H1120" s="3" t="s">
        <v>45</v>
      </c>
      <c r="I1120" s="3">
        <v>2025</v>
      </c>
      <c r="J1120" s="3" t="str">
        <f>CONCATENATE("54820023932")</f>
        <v>54820023932</v>
      </c>
      <c r="K1120" s="3" t="s">
        <v>33</v>
      </c>
      <c r="L1120" s="3"/>
      <c r="M1120" s="3" t="s">
        <v>131</v>
      </c>
      <c r="N1120" s="3" t="str">
        <f>CONCATENATE("FLVGBR53M18B352Z")</f>
        <v>FLVGBR53M18B352Z</v>
      </c>
      <c r="O1120" s="3" t="s">
        <v>1248</v>
      </c>
      <c r="P1120" s="3" t="s">
        <v>36</v>
      </c>
      <c r="Q1120" s="3"/>
      <c r="R1120" s="4">
        <v>45996</v>
      </c>
      <c r="S1120" s="3" t="s">
        <v>37</v>
      </c>
      <c r="T1120" s="3" t="s">
        <v>38</v>
      </c>
      <c r="U1120" s="3" t="s">
        <v>39</v>
      </c>
      <c r="V1120" s="3">
        <v>677.93</v>
      </c>
      <c r="W1120" s="3">
        <v>288.12</v>
      </c>
      <c r="X1120" s="3">
        <v>272.87</v>
      </c>
      <c r="Y1120" s="3">
        <v>116.94</v>
      </c>
    </row>
    <row r="1121" spans="1:25" ht="60.75" x14ac:dyDescent="0.25">
      <c r="A1121" s="3" t="s">
        <v>26</v>
      </c>
      <c r="B1121" s="3" t="s">
        <v>27</v>
      </c>
      <c r="C1121" s="3" t="s">
        <v>28</v>
      </c>
      <c r="D1121" s="3" t="s">
        <v>29</v>
      </c>
      <c r="E1121" s="3" t="s">
        <v>72</v>
      </c>
      <c r="F1121" s="3" t="s">
        <v>31</v>
      </c>
      <c r="G1121" s="3" t="s">
        <v>72</v>
      </c>
      <c r="H1121" s="3" t="s">
        <v>45</v>
      </c>
      <c r="I1121" s="3">
        <v>2025</v>
      </c>
      <c r="J1121" s="3" t="str">
        <f>CONCATENATE("54820043203")</f>
        <v>54820043203</v>
      </c>
      <c r="K1121" s="3" t="s">
        <v>33</v>
      </c>
      <c r="L1121" s="3"/>
      <c r="M1121" s="3" t="s">
        <v>131</v>
      </c>
      <c r="N1121" s="3" t="str">
        <f>CONCATENATE("GLVMRA51H21C745V")</f>
        <v>GLVMRA51H21C745V</v>
      </c>
      <c r="O1121" s="3" t="s">
        <v>1249</v>
      </c>
      <c r="P1121" s="3" t="s">
        <v>36</v>
      </c>
      <c r="Q1121" s="3"/>
      <c r="R1121" s="4">
        <v>45996</v>
      </c>
      <c r="S1121" s="3" t="s">
        <v>37</v>
      </c>
      <c r="T1121" s="3" t="s">
        <v>38</v>
      </c>
      <c r="U1121" s="3" t="s">
        <v>39</v>
      </c>
      <c r="V1121" s="3">
        <v>355.81</v>
      </c>
      <c r="W1121" s="3">
        <v>151.22</v>
      </c>
      <c r="X1121" s="3">
        <v>143.21</v>
      </c>
      <c r="Y1121" s="3">
        <v>61.38</v>
      </c>
    </row>
    <row r="1122" spans="1:25" ht="60.75" x14ac:dyDescent="0.25">
      <c r="A1122" s="3" t="s">
        <v>26</v>
      </c>
      <c r="B1122" s="3" t="s">
        <v>27</v>
      </c>
      <c r="C1122" s="3" t="s">
        <v>28</v>
      </c>
      <c r="D1122" s="3" t="s">
        <v>29</v>
      </c>
      <c r="E1122" s="3" t="s">
        <v>119</v>
      </c>
      <c r="F1122" s="3" t="s">
        <v>31</v>
      </c>
      <c r="G1122" s="3" t="s">
        <v>119</v>
      </c>
      <c r="H1122" s="3" t="s">
        <v>96</v>
      </c>
      <c r="I1122" s="3">
        <v>2025</v>
      </c>
      <c r="J1122" s="3" t="str">
        <f>CONCATENATE("54820043070")</f>
        <v>54820043070</v>
      </c>
      <c r="K1122" s="3" t="s">
        <v>33</v>
      </c>
      <c r="L1122" s="3"/>
      <c r="M1122" s="3" t="s">
        <v>131</v>
      </c>
      <c r="N1122" s="3" t="str">
        <f>CONCATENATE("PCTMRC77H25A252I")</f>
        <v>PCTMRC77H25A252I</v>
      </c>
      <c r="O1122" s="3" t="s">
        <v>1250</v>
      </c>
      <c r="P1122" s="3" t="s">
        <v>36</v>
      </c>
      <c r="Q1122" s="3"/>
      <c r="R1122" s="4">
        <v>45996</v>
      </c>
      <c r="S1122" s="3" t="s">
        <v>37</v>
      </c>
      <c r="T1122" s="3" t="s">
        <v>38</v>
      </c>
      <c r="U1122" s="3" t="s">
        <v>39</v>
      </c>
      <c r="V1122" s="3">
        <v>59.7</v>
      </c>
      <c r="W1122" s="3">
        <v>25.37</v>
      </c>
      <c r="X1122" s="3">
        <v>24.03</v>
      </c>
      <c r="Y1122" s="3">
        <v>10.3</v>
      </c>
    </row>
    <row r="1123" spans="1:25" ht="60.75" x14ac:dyDescent="0.25">
      <c r="A1123" s="3" t="s">
        <v>26</v>
      </c>
      <c r="B1123" s="3" t="s">
        <v>27</v>
      </c>
      <c r="C1123" s="3" t="s">
        <v>28</v>
      </c>
      <c r="D1123" s="3" t="s">
        <v>29</v>
      </c>
      <c r="E1123" s="3" t="s">
        <v>72</v>
      </c>
      <c r="F1123" s="3" t="s">
        <v>31</v>
      </c>
      <c r="G1123" s="3" t="s">
        <v>72</v>
      </c>
      <c r="H1123" s="3" t="s">
        <v>45</v>
      </c>
      <c r="I1123" s="3">
        <v>2025</v>
      </c>
      <c r="J1123" s="3" t="str">
        <f>CONCATENATE("54820052832")</f>
        <v>54820052832</v>
      </c>
      <c r="K1123" s="3" t="s">
        <v>33</v>
      </c>
      <c r="L1123" s="3"/>
      <c r="M1123" s="3" t="s">
        <v>131</v>
      </c>
      <c r="N1123" s="3" t="str">
        <f>CONCATENATE("PCCMTT97M15L500K")</f>
        <v>PCCMTT97M15L500K</v>
      </c>
      <c r="O1123" s="3" t="s">
        <v>1251</v>
      </c>
      <c r="P1123" s="3" t="s">
        <v>36</v>
      </c>
      <c r="Q1123" s="3"/>
      <c r="R1123" s="4">
        <v>45996</v>
      </c>
      <c r="S1123" s="3" t="s">
        <v>37</v>
      </c>
      <c r="T1123" s="3" t="s">
        <v>38</v>
      </c>
      <c r="U1123" s="3" t="s">
        <v>39</v>
      </c>
      <c r="V1123" s="3">
        <v>643.05999999999995</v>
      </c>
      <c r="W1123" s="3">
        <v>273.3</v>
      </c>
      <c r="X1123" s="3">
        <v>258.83</v>
      </c>
      <c r="Y1123" s="3">
        <v>110.93</v>
      </c>
    </row>
    <row r="1124" spans="1:25" ht="72.75" x14ac:dyDescent="0.25">
      <c r="A1124" s="3" t="s">
        <v>26</v>
      </c>
      <c r="B1124" s="3" t="s">
        <v>27</v>
      </c>
      <c r="C1124" s="3" t="s">
        <v>28</v>
      </c>
      <c r="D1124" s="3" t="s">
        <v>29</v>
      </c>
      <c r="E1124" s="3" t="s">
        <v>136</v>
      </c>
      <c r="F1124" s="3" t="s">
        <v>31</v>
      </c>
      <c r="G1124" s="3" t="s">
        <v>136</v>
      </c>
      <c r="H1124" s="3" t="s">
        <v>48</v>
      </c>
      <c r="I1124" s="3">
        <v>2025</v>
      </c>
      <c r="J1124" s="3" t="str">
        <f>CONCATENATE("54820076708")</f>
        <v>54820076708</v>
      </c>
      <c r="K1124" s="3" t="s">
        <v>33</v>
      </c>
      <c r="L1124" s="3"/>
      <c r="M1124" s="3" t="s">
        <v>131</v>
      </c>
      <c r="N1124" s="3" t="str">
        <f>CONCATENATE("FLPMRC74M10D451D")</f>
        <v>FLPMRC74M10D451D</v>
      </c>
      <c r="O1124" s="3" t="s">
        <v>1252</v>
      </c>
      <c r="P1124" s="3" t="s">
        <v>36</v>
      </c>
      <c r="Q1124" s="3"/>
      <c r="R1124" s="4">
        <v>45996</v>
      </c>
      <c r="S1124" s="3" t="s">
        <v>37</v>
      </c>
      <c r="T1124" s="3" t="s">
        <v>38</v>
      </c>
      <c r="U1124" s="3" t="s">
        <v>39</v>
      </c>
      <c r="V1124" s="3">
        <v>555.66</v>
      </c>
      <c r="W1124" s="3">
        <v>236.16</v>
      </c>
      <c r="X1124" s="3">
        <v>223.65</v>
      </c>
      <c r="Y1124" s="3">
        <v>95.85</v>
      </c>
    </row>
    <row r="1125" spans="1:25" ht="60.75" x14ac:dyDescent="0.25">
      <c r="A1125" s="3" t="s">
        <v>26</v>
      </c>
      <c r="B1125" s="3" t="s">
        <v>27</v>
      </c>
      <c r="C1125" s="3" t="s">
        <v>28</v>
      </c>
      <c r="D1125" s="3" t="s">
        <v>29</v>
      </c>
      <c r="E1125" s="3" t="s">
        <v>68</v>
      </c>
      <c r="F1125" s="3" t="s">
        <v>31</v>
      </c>
      <c r="G1125" s="3" t="s">
        <v>68</v>
      </c>
      <c r="H1125" s="3" t="s">
        <v>32</v>
      </c>
      <c r="I1125" s="3">
        <v>2025</v>
      </c>
      <c r="J1125" s="3" t="str">
        <f>CONCATENATE("54820020904")</f>
        <v>54820020904</v>
      </c>
      <c r="K1125" s="3" t="s">
        <v>33</v>
      </c>
      <c r="L1125" s="3"/>
      <c r="M1125" s="3" t="s">
        <v>131</v>
      </c>
      <c r="N1125" s="3" t="str">
        <f>CONCATENATE("BGZSRG49D13I436Z")</f>
        <v>BGZSRG49D13I436Z</v>
      </c>
      <c r="O1125" s="3" t="s">
        <v>1253</v>
      </c>
      <c r="P1125" s="3" t="s">
        <v>36</v>
      </c>
      <c r="Q1125" s="3"/>
      <c r="R1125" s="4">
        <v>45996</v>
      </c>
      <c r="S1125" s="3" t="s">
        <v>37</v>
      </c>
      <c r="T1125" s="3" t="s">
        <v>38</v>
      </c>
      <c r="U1125" s="3" t="s">
        <v>39</v>
      </c>
      <c r="V1125" s="3">
        <v>229.12</v>
      </c>
      <c r="W1125" s="3">
        <v>97.38</v>
      </c>
      <c r="X1125" s="3">
        <v>92.22</v>
      </c>
      <c r="Y1125" s="3">
        <v>39.520000000000003</v>
      </c>
    </row>
    <row r="1126" spans="1:25" ht="36.75" x14ac:dyDescent="0.25">
      <c r="A1126" s="3" t="s">
        <v>26</v>
      </c>
      <c r="B1126" s="3" t="s">
        <v>27</v>
      </c>
      <c r="C1126" s="3" t="s">
        <v>28</v>
      </c>
      <c r="D1126" s="3" t="s">
        <v>40</v>
      </c>
      <c r="E1126" s="3" t="s">
        <v>54</v>
      </c>
      <c r="F1126" s="3" t="s">
        <v>42</v>
      </c>
      <c r="G1126" s="3" t="s">
        <v>54</v>
      </c>
      <c r="H1126" s="3" t="s">
        <v>45</v>
      </c>
      <c r="I1126" s="3">
        <v>2025</v>
      </c>
      <c r="J1126" s="3" t="str">
        <f>CONCATENATE("54820063656")</f>
        <v>54820063656</v>
      </c>
      <c r="K1126" s="3" t="s">
        <v>33</v>
      </c>
      <c r="L1126" s="3"/>
      <c r="M1126" s="3" t="s">
        <v>131</v>
      </c>
      <c r="N1126" s="3" t="str">
        <f>CONCATENATE("01388170415")</f>
        <v>01388170415</v>
      </c>
      <c r="O1126" s="3" t="s">
        <v>1254</v>
      </c>
      <c r="P1126" s="3" t="s">
        <v>36</v>
      </c>
      <c r="Q1126" s="3"/>
      <c r="R1126" s="4">
        <v>45996</v>
      </c>
      <c r="S1126" s="3" t="s">
        <v>37</v>
      </c>
      <c r="T1126" s="3" t="s">
        <v>38</v>
      </c>
      <c r="U1126" s="3" t="s">
        <v>39</v>
      </c>
      <c r="V1126" s="3">
        <v>98.49</v>
      </c>
      <c r="W1126" s="3">
        <v>41.86</v>
      </c>
      <c r="X1126" s="3">
        <v>39.64</v>
      </c>
      <c r="Y1126" s="3">
        <v>16.989999999999998</v>
      </c>
    </row>
    <row r="1127" spans="1:25" ht="60.75" x14ac:dyDescent="0.25">
      <c r="A1127" s="3" t="s">
        <v>26</v>
      </c>
      <c r="B1127" s="3" t="s">
        <v>27</v>
      </c>
      <c r="C1127" s="3" t="s">
        <v>28</v>
      </c>
      <c r="D1127" s="3" t="s">
        <v>29</v>
      </c>
      <c r="E1127" s="3" t="s">
        <v>233</v>
      </c>
      <c r="F1127" s="3" t="s">
        <v>31</v>
      </c>
      <c r="G1127" s="3" t="s">
        <v>233</v>
      </c>
      <c r="H1127" s="3" t="s">
        <v>96</v>
      </c>
      <c r="I1127" s="3">
        <v>2025</v>
      </c>
      <c r="J1127" s="3" t="str">
        <f>CONCATENATE("54820022553")</f>
        <v>54820022553</v>
      </c>
      <c r="K1127" s="3" t="s">
        <v>33</v>
      </c>
      <c r="L1127" s="3"/>
      <c r="M1127" s="3" t="s">
        <v>131</v>
      </c>
      <c r="N1127" s="3" t="str">
        <f>CONCATENATE("LBNCRL65C05A462A")</f>
        <v>LBNCRL65C05A462A</v>
      </c>
      <c r="O1127" s="3" t="s">
        <v>1255</v>
      </c>
      <c r="P1127" s="3" t="s">
        <v>36</v>
      </c>
      <c r="Q1127" s="3"/>
      <c r="R1127" s="4">
        <v>45996</v>
      </c>
      <c r="S1127" s="3" t="s">
        <v>37</v>
      </c>
      <c r="T1127" s="3" t="s">
        <v>38</v>
      </c>
      <c r="U1127" s="3" t="s">
        <v>39</v>
      </c>
      <c r="V1127" s="3">
        <v>189.06</v>
      </c>
      <c r="W1127" s="3">
        <v>80.349999999999994</v>
      </c>
      <c r="X1127" s="3">
        <v>76.099999999999994</v>
      </c>
      <c r="Y1127" s="3">
        <v>32.61</v>
      </c>
    </row>
    <row r="1128" spans="1:25" ht="60.75" x14ac:dyDescent="0.25">
      <c r="A1128" s="3" t="s">
        <v>26</v>
      </c>
      <c r="B1128" s="3" t="s">
        <v>27</v>
      </c>
      <c r="C1128" s="3" t="s">
        <v>28</v>
      </c>
      <c r="D1128" s="3" t="s">
        <v>29</v>
      </c>
      <c r="E1128" s="3" t="s">
        <v>208</v>
      </c>
      <c r="F1128" s="3" t="s">
        <v>31</v>
      </c>
      <c r="G1128" s="3" t="s">
        <v>208</v>
      </c>
      <c r="H1128" s="3" t="s">
        <v>45</v>
      </c>
      <c r="I1128" s="3">
        <v>2025</v>
      </c>
      <c r="J1128" s="3" t="str">
        <f>CONCATENATE("54820045570")</f>
        <v>54820045570</v>
      </c>
      <c r="K1128" s="3" t="s">
        <v>33</v>
      </c>
      <c r="L1128" s="3"/>
      <c r="M1128" s="3" t="s">
        <v>131</v>
      </c>
      <c r="N1128" s="3" t="str">
        <f>CONCATENATE("DNTCLD72H59I287N")</f>
        <v>DNTCLD72H59I287N</v>
      </c>
      <c r="O1128" s="3" t="s">
        <v>1256</v>
      </c>
      <c r="P1128" s="3" t="s">
        <v>36</v>
      </c>
      <c r="Q1128" s="3"/>
      <c r="R1128" s="4">
        <v>45996</v>
      </c>
      <c r="S1128" s="3" t="s">
        <v>37</v>
      </c>
      <c r="T1128" s="3" t="s">
        <v>38</v>
      </c>
      <c r="U1128" s="3" t="s">
        <v>39</v>
      </c>
      <c r="V1128" s="3">
        <v>88.87</v>
      </c>
      <c r="W1128" s="3">
        <v>37.770000000000003</v>
      </c>
      <c r="X1128" s="3">
        <v>35.770000000000003</v>
      </c>
      <c r="Y1128" s="3">
        <v>15.33</v>
      </c>
    </row>
    <row r="1129" spans="1:25" ht="60.75" x14ac:dyDescent="0.25">
      <c r="A1129" s="3" t="s">
        <v>26</v>
      </c>
      <c r="B1129" s="3" t="s">
        <v>27</v>
      </c>
      <c r="C1129" s="3" t="s">
        <v>28</v>
      </c>
      <c r="D1129" s="3" t="s">
        <v>29</v>
      </c>
      <c r="E1129" s="3" t="s">
        <v>101</v>
      </c>
      <c r="F1129" s="3" t="s">
        <v>31</v>
      </c>
      <c r="G1129" s="3" t="s">
        <v>101</v>
      </c>
      <c r="H1129" s="3" t="s">
        <v>32</v>
      </c>
      <c r="I1129" s="3">
        <v>2025</v>
      </c>
      <c r="J1129" s="3" t="str">
        <f>CONCATENATE("54820068770")</f>
        <v>54820068770</v>
      </c>
      <c r="K1129" s="3" t="s">
        <v>33</v>
      </c>
      <c r="L1129" s="3"/>
      <c r="M1129" s="3" t="s">
        <v>131</v>
      </c>
      <c r="N1129" s="3" t="str">
        <f>CONCATENATE("DBGDLM45L16B398I")</f>
        <v>DBGDLM45L16B398I</v>
      </c>
      <c r="O1129" s="3" t="s">
        <v>1257</v>
      </c>
      <c r="P1129" s="3" t="s">
        <v>36</v>
      </c>
      <c r="Q1129" s="3"/>
      <c r="R1129" s="4">
        <v>45996</v>
      </c>
      <c r="S1129" s="3" t="s">
        <v>37</v>
      </c>
      <c r="T1129" s="3" t="s">
        <v>38</v>
      </c>
      <c r="U1129" s="3" t="s">
        <v>39</v>
      </c>
      <c r="V1129" s="3">
        <v>931.69</v>
      </c>
      <c r="W1129" s="3">
        <v>395.97</v>
      </c>
      <c r="X1129" s="3">
        <v>375.01</v>
      </c>
      <c r="Y1129" s="3">
        <v>160.71</v>
      </c>
    </row>
    <row r="1130" spans="1:25" ht="60.75" x14ac:dyDescent="0.25">
      <c r="A1130" s="3" t="s">
        <v>26</v>
      </c>
      <c r="B1130" s="3" t="s">
        <v>27</v>
      </c>
      <c r="C1130" s="3" t="s">
        <v>28</v>
      </c>
      <c r="D1130" s="3" t="s">
        <v>29</v>
      </c>
      <c r="E1130" s="3" t="s">
        <v>228</v>
      </c>
      <c r="F1130" s="3" t="s">
        <v>31</v>
      </c>
      <c r="G1130" s="3" t="s">
        <v>228</v>
      </c>
      <c r="H1130" s="3" t="s">
        <v>45</v>
      </c>
      <c r="I1130" s="3">
        <v>2025</v>
      </c>
      <c r="J1130" s="3" t="str">
        <f>CONCATENATE("54820012505")</f>
        <v>54820012505</v>
      </c>
      <c r="K1130" s="3" t="s">
        <v>33</v>
      </c>
      <c r="L1130" s="3"/>
      <c r="M1130" s="3" t="s">
        <v>131</v>
      </c>
      <c r="N1130" s="3" t="str">
        <f>CONCATENATE("MCHNLT64T47G479O")</f>
        <v>MCHNLT64T47G479O</v>
      </c>
      <c r="O1130" s="3" t="s">
        <v>1258</v>
      </c>
      <c r="P1130" s="3" t="s">
        <v>36</v>
      </c>
      <c r="Q1130" s="3"/>
      <c r="R1130" s="4">
        <v>45996</v>
      </c>
      <c r="S1130" s="3" t="s">
        <v>37</v>
      </c>
      <c r="T1130" s="3" t="s">
        <v>38</v>
      </c>
      <c r="U1130" s="3" t="s">
        <v>39</v>
      </c>
      <c r="V1130" s="3">
        <v>142.13999999999999</v>
      </c>
      <c r="W1130" s="3">
        <v>60.41</v>
      </c>
      <c r="X1130" s="3">
        <v>57.21</v>
      </c>
      <c r="Y1130" s="3">
        <v>24.52</v>
      </c>
    </row>
    <row r="1131" spans="1:25" ht="60.75" x14ac:dyDescent="0.25">
      <c r="A1131" s="3" t="s">
        <v>26</v>
      </c>
      <c r="B1131" s="3" t="s">
        <v>27</v>
      </c>
      <c r="C1131" s="3" t="s">
        <v>28</v>
      </c>
      <c r="D1131" s="3" t="s">
        <v>40</v>
      </c>
      <c r="E1131" s="3" t="s">
        <v>287</v>
      </c>
      <c r="F1131" s="3" t="s">
        <v>42</v>
      </c>
      <c r="G1131" s="3" t="s">
        <v>287</v>
      </c>
      <c r="H1131" s="3" t="s">
        <v>32</v>
      </c>
      <c r="I1131" s="3">
        <v>2025</v>
      </c>
      <c r="J1131" s="3" t="str">
        <f>CONCATENATE("54820014816")</f>
        <v>54820014816</v>
      </c>
      <c r="K1131" s="3" t="s">
        <v>33</v>
      </c>
      <c r="L1131" s="3"/>
      <c r="M1131" s="3" t="s">
        <v>131</v>
      </c>
      <c r="N1131" s="3" t="str">
        <f>CONCATENATE("BLZNNZ44T15G657U")</f>
        <v>BLZNNZ44T15G657U</v>
      </c>
      <c r="O1131" s="3" t="s">
        <v>1259</v>
      </c>
      <c r="P1131" s="3" t="s">
        <v>36</v>
      </c>
      <c r="Q1131" s="3"/>
      <c r="R1131" s="4">
        <v>45996</v>
      </c>
      <c r="S1131" s="3" t="s">
        <v>37</v>
      </c>
      <c r="T1131" s="3" t="s">
        <v>38</v>
      </c>
      <c r="U1131" s="3" t="s">
        <v>39</v>
      </c>
      <c r="V1131" s="3">
        <v>94.31</v>
      </c>
      <c r="W1131" s="3">
        <v>40.08</v>
      </c>
      <c r="X1131" s="3">
        <v>37.96</v>
      </c>
      <c r="Y1131" s="3">
        <v>16.27</v>
      </c>
    </row>
    <row r="1132" spans="1:25" ht="60.75" x14ac:dyDescent="0.25">
      <c r="A1132" s="3" t="s">
        <v>26</v>
      </c>
      <c r="B1132" s="3" t="s">
        <v>27</v>
      </c>
      <c r="C1132" s="3" t="s">
        <v>28</v>
      </c>
      <c r="D1132" s="3" t="s">
        <v>29</v>
      </c>
      <c r="E1132" s="3" t="s">
        <v>30</v>
      </c>
      <c r="F1132" s="3" t="s">
        <v>31</v>
      </c>
      <c r="G1132" s="3" t="s">
        <v>30</v>
      </c>
      <c r="H1132" s="3" t="s">
        <v>32</v>
      </c>
      <c r="I1132" s="3">
        <v>2025</v>
      </c>
      <c r="J1132" s="3" t="str">
        <f>CONCATENATE("54820238985")</f>
        <v>54820238985</v>
      </c>
      <c r="K1132" s="3" t="s">
        <v>33</v>
      </c>
      <c r="L1132" s="3"/>
      <c r="M1132" s="3" t="s">
        <v>131</v>
      </c>
      <c r="N1132" s="3" t="str">
        <f>CONCATENATE("STFFNC61C49D024C")</f>
        <v>STFFNC61C49D024C</v>
      </c>
      <c r="O1132" s="3" t="s">
        <v>1260</v>
      </c>
      <c r="P1132" s="3" t="s">
        <v>36</v>
      </c>
      <c r="Q1132" s="3"/>
      <c r="R1132" s="4">
        <v>45996</v>
      </c>
      <c r="S1132" s="3" t="s">
        <v>37</v>
      </c>
      <c r="T1132" s="3" t="s">
        <v>38</v>
      </c>
      <c r="U1132" s="3" t="s">
        <v>39</v>
      </c>
      <c r="V1132" s="3">
        <v>917.82</v>
      </c>
      <c r="W1132" s="3">
        <v>390.07</v>
      </c>
      <c r="X1132" s="3">
        <v>369.42</v>
      </c>
      <c r="Y1132" s="3">
        <v>158.33000000000001</v>
      </c>
    </row>
    <row r="1133" spans="1:25" ht="60.75" x14ac:dyDescent="0.25">
      <c r="A1133" s="3" t="s">
        <v>26</v>
      </c>
      <c r="B1133" s="3" t="s">
        <v>27</v>
      </c>
      <c r="C1133" s="3" t="s">
        <v>28</v>
      </c>
      <c r="D1133" s="3" t="s">
        <v>29</v>
      </c>
      <c r="E1133" s="3" t="s">
        <v>119</v>
      </c>
      <c r="F1133" s="3" t="s">
        <v>31</v>
      </c>
      <c r="G1133" s="3" t="s">
        <v>119</v>
      </c>
      <c r="H1133" s="3" t="s">
        <v>96</v>
      </c>
      <c r="I1133" s="3">
        <v>2025</v>
      </c>
      <c r="J1133" s="3" t="str">
        <f>CONCATENATE("54820019161")</f>
        <v>54820019161</v>
      </c>
      <c r="K1133" s="3" t="s">
        <v>33</v>
      </c>
      <c r="L1133" s="3"/>
      <c r="M1133" s="3" t="s">
        <v>131</v>
      </c>
      <c r="N1133" s="3" t="str">
        <f>CONCATENATE("SLNDNL98L04A252E")</f>
        <v>SLNDNL98L04A252E</v>
      </c>
      <c r="O1133" s="3" t="s">
        <v>1261</v>
      </c>
      <c r="P1133" s="3" t="s">
        <v>36</v>
      </c>
      <c r="Q1133" s="3"/>
      <c r="R1133" s="4">
        <v>45996</v>
      </c>
      <c r="S1133" s="3" t="s">
        <v>37</v>
      </c>
      <c r="T1133" s="3" t="s">
        <v>38</v>
      </c>
      <c r="U1133" s="3" t="s">
        <v>39</v>
      </c>
      <c r="V1133" s="3">
        <v>427.64</v>
      </c>
      <c r="W1133" s="3">
        <v>181.75</v>
      </c>
      <c r="X1133" s="3">
        <v>172.13</v>
      </c>
      <c r="Y1133" s="3">
        <v>73.760000000000005</v>
      </c>
    </row>
    <row r="1134" spans="1:25" ht="60.75" x14ac:dyDescent="0.25">
      <c r="A1134" s="3" t="s">
        <v>26</v>
      </c>
      <c r="B1134" s="3" t="s">
        <v>27</v>
      </c>
      <c r="C1134" s="3" t="s">
        <v>28</v>
      </c>
      <c r="D1134" s="3" t="s">
        <v>29</v>
      </c>
      <c r="E1134" s="3" t="s">
        <v>228</v>
      </c>
      <c r="F1134" s="3" t="s">
        <v>31</v>
      </c>
      <c r="G1134" s="3" t="s">
        <v>228</v>
      </c>
      <c r="H1134" s="3" t="s">
        <v>45</v>
      </c>
      <c r="I1134" s="3">
        <v>2025</v>
      </c>
      <c r="J1134" s="3" t="str">
        <f>CONCATENATE("54820043823")</f>
        <v>54820043823</v>
      </c>
      <c r="K1134" s="3" t="s">
        <v>33</v>
      </c>
      <c r="L1134" s="3"/>
      <c r="M1134" s="3" t="s">
        <v>131</v>
      </c>
      <c r="N1134" s="3" t="str">
        <f>CONCATENATE("CHRLVI44C06B352W")</f>
        <v>CHRLVI44C06B352W</v>
      </c>
      <c r="O1134" s="3" t="s">
        <v>1262</v>
      </c>
      <c r="P1134" s="3" t="s">
        <v>36</v>
      </c>
      <c r="Q1134" s="3"/>
      <c r="R1134" s="4">
        <v>45996</v>
      </c>
      <c r="S1134" s="3" t="s">
        <v>37</v>
      </c>
      <c r="T1134" s="3" t="s">
        <v>38</v>
      </c>
      <c r="U1134" s="3" t="s">
        <v>39</v>
      </c>
      <c r="V1134" s="3">
        <v>237.75</v>
      </c>
      <c r="W1134" s="3">
        <v>101.04</v>
      </c>
      <c r="X1134" s="3">
        <v>95.69</v>
      </c>
      <c r="Y1134" s="3">
        <v>41.02</v>
      </c>
    </row>
    <row r="1135" spans="1:25" ht="72.75" x14ac:dyDescent="0.25">
      <c r="A1135" s="3" t="s">
        <v>26</v>
      </c>
      <c r="B1135" s="3" t="s">
        <v>27</v>
      </c>
      <c r="C1135" s="3" t="s">
        <v>28</v>
      </c>
      <c r="D1135" s="3" t="s">
        <v>40</v>
      </c>
      <c r="E1135" s="3" t="s">
        <v>287</v>
      </c>
      <c r="F1135" s="3" t="s">
        <v>42</v>
      </c>
      <c r="G1135" s="3" t="s">
        <v>287</v>
      </c>
      <c r="H1135" s="3" t="s">
        <v>32</v>
      </c>
      <c r="I1135" s="3">
        <v>2025</v>
      </c>
      <c r="J1135" s="3" t="str">
        <f>CONCATENATE("54820014022")</f>
        <v>54820014022</v>
      </c>
      <c r="K1135" s="3" t="s">
        <v>33</v>
      </c>
      <c r="L1135" s="3"/>
      <c r="M1135" s="3" t="s">
        <v>131</v>
      </c>
      <c r="N1135" s="3" t="str">
        <f>CONCATENATE("MCAMSM67R02H501I")</f>
        <v>MCAMSM67R02H501I</v>
      </c>
      <c r="O1135" s="3" t="s">
        <v>1263</v>
      </c>
      <c r="P1135" s="3" t="s">
        <v>36</v>
      </c>
      <c r="Q1135" s="3"/>
      <c r="R1135" s="4">
        <v>45996</v>
      </c>
      <c r="S1135" s="3" t="s">
        <v>37</v>
      </c>
      <c r="T1135" s="3" t="s">
        <v>38</v>
      </c>
      <c r="U1135" s="3" t="s">
        <v>39</v>
      </c>
      <c r="V1135" s="3">
        <v>199.38</v>
      </c>
      <c r="W1135" s="3">
        <v>84.74</v>
      </c>
      <c r="X1135" s="3">
        <v>80.25</v>
      </c>
      <c r="Y1135" s="3">
        <v>34.39</v>
      </c>
    </row>
    <row r="1136" spans="1:25" ht="60.75" x14ac:dyDescent="0.25">
      <c r="A1136" s="3" t="s">
        <v>26</v>
      </c>
      <c r="B1136" s="3" t="s">
        <v>27</v>
      </c>
      <c r="C1136" s="3" t="s">
        <v>28</v>
      </c>
      <c r="D1136" s="3" t="s">
        <v>29</v>
      </c>
      <c r="E1136" s="3" t="s">
        <v>208</v>
      </c>
      <c r="F1136" s="3" t="s">
        <v>31</v>
      </c>
      <c r="G1136" s="3" t="s">
        <v>208</v>
      </c>
      <c r="H1136" s="3" t="s">
        <v>45</v>
      </c>
      <c r="I1136" s="3">
        <v>2025</v>
      </c>
      <c r="J1136" s="3" t="str">
        <f>CONCATENATE("54820046560")</f>
        <v>54820046560</v>
      </c>
      <c r="K1136" s="3" t="s">
        <v>33</v>
      </c>
      <c r="L1136" s="3"/>
      <c r="M1136" s="3" t="s">
        <v>131</v>
      </c>
      <c r="N1136" s="3" t="str">
        <f>CONCATENATE("FNCLGU51T29B026R")</f>
        <v>FNCLGU51T29B026R</v>
      </c>
      <c r="O1136" s="3" t="s">
        <v>1264</v>
      </c>
      <c r="P1136" s="3" t="s">
        <v>36</v>
      </c>
      <c r="Q1136" s="3"/>
      <c r="R1136" s="4">
        <v>45996</v>
      </c>
      <c r="S1136" s="3" t="s">
        <v>37</v>
      </c>
      <c r="T1136" s="3" t="s">
        <v>38</v>
      </c>
      <c r="U1136" s="3" t="s">
        <v>39</v>
      </c>
      <c r="V1136" s="3">
        <v>196.5</v>
      </c>
      <c r="W1136" s="3">
        <v>83.51</v>
      </c>
      <c r="X1136" s="3">
        <v>79.09</v>
      </c>
      <c r="Y1136" s="3">
        <v>33.9</v>
      </c>
    </row>
    <row r="1137" spans="1:25" ht="36.75" x14ac:dyDescent="0.25">
      <c r="A1137" s="3" t="s">
        <v>26</v>
      </c>
      <c r="B1137" s="3" t="s">
        <v>27</v>
      </c>
      <c r="C1137" s="3" t="s">
        <v>28</v>
      </c>
      <c r="D1137" s="3" t="s">
        <v>29</v>
      </c>
      <c r="E1137" s="3" t="s">
        <v>186</v>
      </c>
      <c r="F1137" s="3" t="s">
        <v>31</v>
      </c>
      <c r="G1137" s="3" t="s">
        <v>186</v>
      </c>
      <c r="H1137" s="3" t="s">
        <v>45</v>
      </c>
      <c r="I1137" s="3">
        <v>2025</v>
      </c>
      <c r="J1137" s="3" t="str">
        <f>CONCATENATE("54820075429")</f>
        <v>54820075429</v>
      </c>
      <c r="K1137" s="3" t="s">
        <v>33</v>
      </c>
      <c r="L1137" s="3"/>
      <c r="M1137" s="3" t="s">
        <v>131</v>
      </c>
      <c r="N1137" s="3" t="str">
        <f>CONCATENATE("02828860417")</f>
        <v>02828860417</v>
      </c>
      <c r="O1137" s="3" t="s">
        <v>1265</v>
      </c>
      <c r="P1137" s="3" t="s">
        <v>36</v>
      </c>
      <c r="Q1137" s="3"/>
      <c r="R1137" s="4">
        <v>45996</v>
      </c>
      <c r="S1137" s="3" t="s">
        <v>37</v>
      </c>
      <c r="T1137" s="3" t="s">
        <v>38</v>
      </c>
      <c r="U1137" s="3" t="s">
        <v>39</v>
      </c>
      <c r="V1137" s="3">
        <v>945.05</v>
      </c>
      <c r="W1137" s="3">
        <v>401.65</v>
      </c>
      <c r="X1137" s="3">
        <v>380.38</v>
      </c>
      <c r="Y1137" s="3">
        <v>163.02000000000001</v>
      </c>
    </row>
    <row r="1138" spans="1:25" ht="60.75" x14ac:dyDescent="0.25">
      <c r="A1138" s="3" t="s">
        <v>26</v>
      </c>
      <c r="B1138" s="3" t="s">
        <v>27</v>
      </c>
      <c r="C1138" s="3" t="s">
        <v>28</v>
      </c>
      <c r="D1138" s="3" t="s">
        <v>40</v>
      </c>
      <c r="E1138" s="3" t="s">
        <v>54</v>
      </c>
      <c r="F1138" s="3" t="s">
        <v>42</v>
      </c>
      <c r="G1138" s="3" t="s">
        <v>54</v>
      </c>
      <c r="H1138" s="3" t="s">
        <v>45</v>
      </c>
      <c r="I1138" s="3">
        <v>2025</v>
      </c>
      <c r="J1138" s="3" t="str">
        <f>CONCATENATE("54820011135")</f>
        <v>54820011135</v>
      </c>
      <c r="K1138" s="3" t="s">
        <v>33</v>
      </c>
      <c r="L1138" s="3"/>
      <c r="M1138" s="3" t="s">
        <v>131</v>
      </c>
      <c r="N1138" s="3" t="str">
        <f>CONCATENATE("FRRNNL59E64F450S")</f>
        <v>FRRNNL59E64F450S</v>
      </c>
      <c r="O1138" s="3" t="s">
        <v>1266</v>
      </c>
      <c r="P1138" s="3" t="s">
        <v>36</v>
      </c>
      <c r="Q1138" s="3"/>
      <c r="R1138" s="4">
        <v>45996</v>
      </c>
      <c r="S1138" s="3" t="s">
        <v>37</v>
      </c>
      <c r="T1138" s="3" t="s">
        <v>38</v>
      </c>
      <c r="U1138" s="3" t="s">
        <v>39</v>
      </c>
      <c r="V1138" s="3">
        <v>55.36</v>
      </c>
      <c r="W1138" s="3">
        <v>23.53</v>
      </c>
      <c r="X1138" s="3">
        <v>22.28</v>
      </c>
      <c r="Y1138" s="3">
        <v>9.5500000000000007</v>
      </c>
    </row>
    <row r="1139" spans="1:25" ht="60.75" x14ac:dyDescent="0.25">
      <c r="A1139" s="3" t="s">
        <v>26</v>
      </c>
      <c r="B1139" s="3" t="s">
        <v>27</v>
      </c>
      <c r="C1139" s="3" t="s">
        <v>28</v>
      </c>
      <c r="D1139" s="3" t="s">
        <v>29</v>
      </c>
      <c r="E1139" s="3" t="s">
        <v>186</v>
      </c>
      <c r="F1139" s="3" t="s">
        <v>31</v>
      </c>
      <c r="G1139" s="3" t="s">
        <v>186</v>
      </c>
      <c r="H1139" s="3" t="s">
        <v>45</v>
      </c>
      <c r="I1139" s="3">
        <v>2025</v>
      </c>
      <c r="J1139" s="3" t="str">
        <f>CONCATENATE("54820042882")</f>
        <v>54820042882</v>
      </c>
      <c r="K1139" s="3" t="s">
        <v>33</v>
      </c>
      <c r="L1139" s="3"/>
      <c r="M1139" s="3" t="s">
        <v>131</v>
      </c>
      <c r="N1139" s="3" t="str">
        <f>CONCATENATE("BRTRCL68C30I459J")</f>
        <v>BRTRCL68C30I459J</v>
      </c>
      <c r="O1139" s="3" t="s">
        <v>1267</v>
      </c>
      <c r="P1139" s="3" t="s">
        <v>36</v>
      </c>
      <c r="Q1139" s="3"/>
      <c r="R1139" s="4">
        <v>45996</v>
      </c>
      <c r="S1139" s="3" t="s">
        <v>37</v>
      </c>
      <c r="T1139" s="3" t="s">
        <v>38</v>
      </c>
      <c r="U1139" s="3" t="s">
        <v>39</v>
      </c>
      <c r="V1139" s="3">
        <v>245.16</v>
      </c>
      <c r="W1139" s="3">
        <v>104.19</v>
      </c>
      <c r="X1139" s="3">
        <v>98.68</v>
      </c>
      <c r="Y1139" s="3">
        <v>42.29</v>
      </c>
    </row>
    <row r="1140" spans="1:25" ht="60.75" x14ac:dyDescent="0.25">
      <c r="A1140" s="3" t="s">
        <v>26</v>
      </c>
      <c r="B1140" s="3" t="s">
        <v>27</v>
      </c>
      <c r="C1140" s="3" t="s">
        <v>28</v>
      </c>
      <c r="D1140" s="3" t="s">
        <v>40</v>
      </c>
      <c r="E1140" s="3" t="s">
        <v>496</v>
      </c>
      <c r="F1140" s="3" t="s">
        <v>42</v>
      </c>
      <c r="G1140" s="3" t="s">
        <v>496</v>
      </c>
      <c r="H1140" s="3" t="s">
        <v>32</v>
      </c>
      <c r="I1140" s="3">
        <v>2025</v>
      </c>
      <c r="J1140" s="3" t="str">
        <f>CONCATENATE("54820038989")</f>
        <v>54820038989</v>
      </c>
      <c r="K1140" s="3" t="s">
        <v>33</v>
      </c>
      <c r="L1140" s="3"/>
      <c r="M1140" s="3" t="s">
        <v>131</v>
      </c>
      <c r="N1140" s="3" t="str">
        <f>CONCATENATE("PDEFPP60A22I156L")</f>
        <v>PDEFPP60A22I156L</v>
      </c>
      <c r="O1140" s="3" t="s">
        <v>1268</v>
      </c>
      <c r="P1140" s="3" t="s">
        <v>36</v>
      </c>
      <c r="Q1140" s="3"/>
      <c r="R1140" s="4">
        <v>45996</v>
      </c>
      <c r="S1140" s="3" t="s">
        <v>37</v>
      </c>
      <c r="T1140" s="3" t="s">
        <v>38</v>
      </c>
      <c r="U1140" s="3" t="s">
        <v>39</v>
      </c>
      <c r="V1140" s="3">
        <v>317.02999999999997</v>
      </c>
      <c r="W1140" s="3">
        <v>134.74</v>
      </c>
      <c r="X1140" s="3">
        <v>127.6</v>
      </c>
      <c r="Y1140" s="3">
        <v>54.69</v>
      </c>
    </row>
    <row r="1141" spans="1:25" ht="60.75" x14ac:dyDescent="0.25">
      <c r="A1141" s="3" t="s">
        <v>26</v>
      </c>
      <c r="B1141" s="3" t="s">
        <v>27</v>
      </c>
      <c r="C1141" s="3" t="s">
        <v>28</v>
      </c>
      <c r="D1141" s="3" t="s">
        <v>29</v>
      </c>
      <c r="E1141" s="3" t="s">
        <v>56</v>
      </c>
      <c r="F1141" s="3" t="s">
        <v>31</v>
      </c>
      <c r="G1141" s="3" t="s">
        <v>56</v>
      </c>
      <c r="H1141" s="3" t="s">
        <v>32</v>
      </c>
      <c r="I1141" s="3">
        <v>2025</v>
      </c>
      <c r="J1141" s="3" t="str">
        <f>CONCATENATE("54820077144")</f>
        <v>54820077144</v>
      </c>
      <c r="K1141" s="3" t="s">
        <v>33</v>
      </c>
      <c r="L1141" s="3"/>
      <c r="M1141" s="3" t="s">
        <v>131</v>
      </c>
      <c r="N1141" s="3" t="str">
        <f>CONCATENATE("FTTBRN62B21B474J")</f>
        <v>FTTBRN62B21B474J</v>
      </c>
      <c r="O1141" s="3" t="s">
        <v>1269</v>
      </c>
      <c r="P1141" s="3" t="s">
        <v>36</v>
      </c>
      <c r="Q1141" s="3"/>
      <c r="R1141" s="4">
        <v>45996</v>
      </c>
      <c r="S1141" s="3" t="s">
        <v>37</v>
      </c>
      <c r="T1141" s="3" t="s">
        <v>38</v>
      </c>
      <c r="U1141" s="3" t="s">
        <v>39</v>
      </c>
      <c r="V1141" s="3">
        <v>61.75</v>
      </c>
      <c r="W1141" s="3">
        <v>26.24</v>
      </c>
      <c r="X1141" s="3">
        <v>24.85</v>
      </c>
      <c r="Y1141" s="3">
        <v>10.66</v>
      </c>
    </row>
    <row r="1142" spans="1:25" ht="60.75" x14ac:dyDescent="0.25">
      <c r="A1142" s="3" t="s">
        <v>26</v>
      </c>
      <c r="B1142" s="3" t="s">
        <v>27</v>
      </c>
      <c r="C1142" s="3" t="s">
        <v>28</v>
      </c>
      <c r="D1142" s="3" t="s">
        <v>29</v>
      </c>
      <c r="E1142" s="3" t="s">
        <v>56</v>
      </c>
      <c r="F1142" s="3" t="s">
        <v>31</v>
      </c>
      <c r="G1142" s="3" t="s">
        <v>56</v>
      </c>
      <c r="H1142" s="3" t="s">
        <v>32</v>
      </c>
      <c r="I1142" s="3">
        <v>2025</v>
      </c>
      <c r="J1142" s="3" t="str">
        <f>CONCATENATE("54820286513")</f>
        <v>54820286513</v>
      </c>
      <c r="K1142" s="3" t="s">
        <v>33</v>
      </c>
      <c r="L1142" s="3"/>
      <c r="M1142" s="3" t="s">
        <v>131</v>
      </c>
      <c r="N1142" s="3" t="str">
        <f>CONCATENATE("PSLLSE01S52I156A")</f>
        <v>PSLLSE01S52I156A</v>
      </c>
      <c r="O1142" s="3" t="s">
        <v>1270</v>
      </c>
      <c r="P1142" s="3" t="s">
        <v>36</v>
      </c>
      <c r="Q1142" s="3"/>
      <c r="R1142" s="4">
        <v>45996</v>
      </c>
      <c r="S1142" s="3" t="s">
        <v>37</v>
      </c>
      <c r="T1142" s="3" t="s">
        <v>38</v>
      </c>
      <c r="U1142" s="3" t="s">
        <v>39</v>
      </c>
      <c r="V1142" s="3">
        <v>879.36</v>
      </c>
      <c r="W1142" s="3">
        <v>373.73</v>
      </c>
      <c r="X1142" s="3">
        <v>353.94</v>
      </c>
      <c r="Y1142" s="3">
        <v>151.69</v>
      </c>
    </row>
    <row r="1143" spans="1:25" ht="60.75" x14ac:dyDescent="0.25">
      <c r="A1143" s="3" t="s">
        <v>26</v>
      </c>
      <c r="B1143" s="3" t="s">
        <v>27</v>
      </c>
      <c r="C1143" s="3" t="s">
        <v>28</v>
      </c>
      <c r="D1143" s="3" t="s">
        <v>104</v>
      </c>
      <c r="E1143" s="3" t="s">
        <v>141</v>
      </c>
      <c r="F1143" s="3" t="s">
        <v>104</v>
      </c>
      <c r="G1143" s="3" t="s">
        <v>141</v>
      </c>
      <c r="H1143" s="3" t="s">
        <v>96</v>
      </c>
      <c r="I1143" s="3">
        <v>2025</v>
      </c>
      <c r="J1143" s="3" t="str">
        <f>CONCATENATE("54820277470")</f>
        <v>54820277470</v>
      </c>
      <c r="K1143" s="3" t="s">
        <v>33</v>
      </c>
      <c r="L1143" s="3"/>
      <c r="M1143" s="3" t="s">
        <v>131</v>
      </c>
      <c r="N1143" s="3" t="str">
        <f>CONCATENATE("LPURSO37E65C935D")</f>
        <v>LPURSO37E65C935D</v>
      </c>
      <c r="O1143" s="3" t="s">
        <v>1271</v>
      </c>
      <c r="P1143" s="3" t="s">
        <v>36</v>
      </c>
      <c r="Q1143" s="3"/>
      <c r="R1143" s="4">
        <v>45996</v>
      </c>
      <c r="S1143" s="3" t="s">
        <v>37</v>
      </c>
      <c r="T1143" s="3" t="s">
        <v>38</v>
      </c>
      <c r="U1143" s="3" t="s">
        <v>39</v>
      </c>
      <c r="V1143" s="3">
        <v>92.65</v>
      </c>
      <c r="W1143" s="3">
        <v>39.380000000000003</v>
      </c>
      <c r="X1143" s="3">
        <v>37.29</v>
      </c>
      <c r="Y1143" s="3">
        <v>15.98</v>
      </c>
    </row>
    <row r="1144" spans="1:25" ht="60.75" x14ac:dyDescent="0.25">
      <c r="A1144" s="3" t="s">
        <v>26</v>
      </c>
      <c r="B1144" s="3" t="s">
        <v>27</v>
      </c>
      <c r="C1144" s="3" t="s">
        <v>28</v>
      </c>
      <c r="D1144" s="3" t="s">
        <v>104</v>
      </c>
      <c r="E1144" s="3" t="s">
        <v>141</v>
      </c>
      <c r="F1144" s="3" t="s">
        <v>104</v>
      </c>
      <c r="G1144" s="3" t="s">
        <v>141</v>
      </c>
      <c r="H1144" s="3" t="s">
        <v>96</v>
      </c>
      <c r="I1144" s="3">
        <v>2025</v>
      </c>
      <c r="J1144" s="3" t="str">
        <f>CONCATENATE("54820282827")</f>
        <v>54820282827</v>
      </c>
      <c r="K1144" s="3" t="s">
        <v>33</v>
      </c>
      <c r="L1144" s="3"/>
      <c r="M1144" s="3" t="s">
        <v>131</v>
      </c>
      <c r="N1144" s="3" t="str">
        <f>CONCATENATE("FRNFBA73C29F509M")</f>
        <v>FRNFBA73C29F509M</v>
      </c>
      <c r="O1144" s="3" t="s">
        <v>1272</v>
      </c>
      <c r="P1144" s="3" t="s">
        <v>36</v>
      </c>
      <c r="Q1144" s="3"/>
      <c r="R1144" s="4">
        <v>45996</v>
      </c>
      <c r="S1144" s="3" t="s">
        <v>37</v>
      </c>
      <c r="T1144" s="3" t="s">
        <v>38</v>
      </c>
      <c r="U1144" s="3" t="s">
        <v>39</v>
      </c>
      <c r="V1144" s="3">
        <v>256.12</v>
      </c>
      <c r="W1144" s="3">
        <v>108.85</v>
      </c>
      <c r="X1144" s="3">
        <v>103.09</v>
      </c>
      <c r="Y1144" s="3">
        <v>44.18</v>
      </c>
    </row>
    <row r="1145" spans="1:25" ht="60.75" x14ac:dyDescent="0.25">
      <c r="A1145" s="3" t="s">
        <v>26</v>
      </c>
      <c r="B1145" s="3" t="s">
        <v>27</v>
      </c>
      <c r="C1145" s="3" t="s">
        <v>28</v>
      </c>
      <c r="D1145" s="3" t="s">
        <v>29</v>
      </c>
      <c r="E1145" s="3" t="s">
        <v>186</v>
      </c>
      <c r="F1145" s="3" t="s">
        <v>31</v>
      </c>
      <c r="G1145" s="3" t="s">
        <v>186</v>
      </c>
      <c r="H1145" s="3" t="s">
        <v>45</v>
      </c>
      <c r="I1145" s="3">
        <v>2025</v>
      </c>
      <c r="J1145" s="3" t="str">
        <f>CONCATENATE("54820070784")</f>
        <v>54820070784</v>
      </c>
      <c r="K1145" s="3" t="s">
        <v>33</v>
      </c>
      <c r="L1145" s="3"/>
      <c r="M1145" s="3" t="s">
        <v>131</v>
      </c>
      <c r="N1145" s="3" t="str">
        <f>CONCATENATE("SCGNDR73H16I459G")</f>
        <v>SCGNDR73H16I459G</v>
      </c>
      <c r="O1145" s="3" t="s">
        <v>1273</v>
      </c>
      <c r="P1145" s="3" t="s">
        <v>36</v>
      </c>
      <c r="Q1145" s="3"/>
      <c r="R1145" s="4">
        <v>45996</v>
      </c>
      <c r="S1145" s="3" t="s">
        <v>37</v>
      </c>
      <c r="T1145" s="3" t="s">
        <v>38</v>
      </c>
      <c r="U1145" s="3" t="s">
        <v>39</v>
      </c>
      <c r="V1145" s="3">
        <v>52.79</v>
      </c>
      <c r="W1145" s="3">
        <v>22.44</v>
      </c>
      <c r="X1145" s="3">
        <v>21.25</v>
      </c>
      <c r="Y1145" s="3">
        <v>9.1</v>
      </c>
    </row>
    <row r="1146" spans="1:25" ht="72.75" x14ac:dyDescent="0.25">
      <c r="A1146" s="3" t="s">
        <v>26</v>
      </c>
      <c r="B1146" s="3" t="s">
        <v>27</v>
      </c>
      <c r="C1146" s="3" t="s">
        <v>28</v>
      </c>
      <c r="D1146" s="3" t="s">
        <v>50</v>
      </c>
      <c r="E1146" s="3" t="s">
        <v>51</v>
      </c>
      <c r="F1146" s="3" t="s">
        <v>52</v>
      </c>
      <c r="G1146" s="3" t="s">
        <v>51</v>
      </c>
      <c r="H1146" s="3" t="s">
        <v>48</v>
      </c>
      <c r="I1146" s="3">
        <v>2025</v>
      </c>
      <c r="J1146" s="3" t="str">
        <f>CONCATENATE("54820181870")</f>
        <v>54820181870</v>
      </c>
      <c r="K1146" s="3" t="s">
        <v>33</v>
      </c>
      <c r="L1146" s="3"/>
      <c r="M1146" s="3" t="s">
        <v>131</v>
      </c>
      <c r="N1146" s="3" t="str">
        <f>CONCATENATE("CHPGPP52H10D965M")</f>
        <v>CHPGPP52H10D965M</v>
      </c>
      <c r="O1146" s="3" t="s">
        <v>1274</v>
      </c>
      <c r="P1146" s="3" t="s">
        <v>36</v>
      </c>
      <c r="Q1146" s="3"/>
      <c r="R1146" s="4">
        <v>45996</v>
      </c>
      <c r="S1146" s="3" t="s">
        <v>37</v>
      </c>
      <c r="T1146" s="3" t="s">
        <v>38</v>
      </c>
      <c r="U1146" s="3" t="s">
        <v>39</v>
      </c>
      <c r="V1146" s="3">
        <v>47.04</v>
      </c>
      <c r="W1146" s="3">
        <v>19.989999999999998</v>
      </c>
      <c r="X1146" s="3">
        <v>18.93</v>
      </c>
      <c r="Y1146" s="3">
        <v>8.1199999999999992</v>
      </c>
    </row>
    <row r="1147" spans="1:25" ht="60.75" x14ac:dyDescent="0.25">
      <c r="A1147" s="3" t="s">
        <v>26</v>
      </c>
      <c r="B1147" s="3" t="s">
        <v>27</v>
      </c>
      <c r="C1147" s="3" t="s">
        <v>28</v>
      </c>
      <c r="D1147" s="3" t="s">
        <v>50</v>
      </c>
      <c r="E1147" s="3" t="s">
        <v>173</v>
      </c>
      <c r="F1147" s="3" t="s">
        <v>52</v>
      </c>
      <c r="G1147" s="3" t="s">
        <v>173</v>
      </c>
      <c r="H1147" s="3" t="s">
        <v>45</v>
      </c>
      <c r="I1147" s="3">
        <v>2025</v>
      </c>
      <c r="J1147" s="3" t="str">
        <f>CONCATENATE("54820025036")</f>
        <v>54820025036</v>
      </c>
      <c r="K1147" s="3" t="s">
        <v>33</v>
      </c>
      <c r="L1147" s="3"/>
      <c r="M1147" s="3" t="s">
        <v>131</v>
      </c>
      <c r="N1147" s="3" t="str">
        <f>CONCATENATE("PLZGCR54S21E785I")</f>
        <v>PLZGCR54S21E785I</v>
      </c>
      <c r="O1147" s="3" t="s">
        <v>1275</v>
      </c>
      <c r="P1147" s="3" t="s">
        <v>36</v>
      </c>
      <c r="Q1147" s="3"/>
      <c r="R1147" s="4">
        <v>45996</v>
      </c>
      <c r="S1147" s="3" t="s">
        <v>37</v>
      </c>
      <c r="T1147" s="3" t="s">
        <v>38</v>
      </c>
      <c r="U1147" s="3" t="s">
        <v>39</v>
      </c>
      <c r="V1147" s="3">
        <v>60.13</v>
      </c>
      <c r="W1147" s="3">
        <v>25.56</v>
      </c>
      <c r="X1147" s="3">
        <v>24.2</v>
      </c>
      <c r="Y1147" s="3">
        <v>10.37</v>
      </c>
    </row>
    <row r="1148" spans="1:25" ht="60.75" x14ac:dyDescent="0.25">
      <c r="A1148" s="3" t="s">
        <v>26</v>
      </c>
      <c r="B1148" s="3" t="s">
        <v>27</v>
      </c>
      <c r="C1148" s="3" t="s">
        <v>28</v>
      </c>
      <c r="D1148" s="3" t="s">
        <v>40</v>
      </c>
      <c r="E1148" s="3" t="s">
        <v>287</v>
      </c>
      <c r="F1148" s="3" t="s">
        <v>42</v>
      </c>
      <c r="G1148" s="3" t="s">
        <v>287</v>
      </c>
      <c r="H1148" s="3" t="s">
        <v>32</v>
      </c>
      <c r="I1148" s="3">
        <v>2025</v>
      </c>
      <c r="J1148" s="3" t="str">
        <f>CONCATENATE("54820015029")</f>
        <v>54820015029</v>
      </c>
      <c r="K1148" s="3" t="s">
        <v>33</v>
      </c>
      <c r="L1148" s="3"/>
      <c r="M1148" s="3" t="s">
        <v>131</v>
      </c>
      <c r="N1148" s="3" t="str">
        <f>CONCATENATE("BLLPLA86T26B474M")</f>
        <v>BLLPLA86T26B474M</v>
      </c>
      <c r="O1148" s="3" t="s">
        <v>1276</v>
      </c>
      <c r="P1148" s="3" t="s">
        <v>36</v>
      </c>
      <c r="Q1148" s="3"/>
      <c r="R1148" s="4">
        <v>45996</v>
      </c>
      <c r="S1148" s="3" t="s">
        <v>37</v>
      </c>
      <c r="T1148" s="3" t="s">
        <v>38</v>
      </c>
      <c r="U1148" s="3" t="s">
        <v>39</v>
      </c>
      <c r="V1148" s="3">
        <v>162.38999999999999</v>
      </c>
      <c r="W1148" s="3">
        <v>69.02</v>
      </c>
      <c r="X1148" s="3">
        <v>65.36</v>
      </c>
      <c r="Y1148" s="3">
        <v>28.01</v>
      </c>
    </row>
    <row r="1149" spans="1:25" ht="36.75" x14ac:dyDescent="0.25">
      <c r="A1149" s="3" t="s">
        <v>26</v>
      </c>
      <c r="B1149" s="3" t="s">
        <v>27</v>
      </c>
      <c r="C1149" s="3" t="s">
        <v>28</v>
      </c>
      <c r="D1149" s="3" t="s">
        <v>40</v>
      </c>
      <c r="E1149" s="3" t="s">
        <v>44</v>
      </c>
      <c r="F1149" s="3" t="s">
        <v>42</v>
      </c>
      <c r="G1149" s="3" t="s">
        <v>44</v>
      </c>
      <c r="H1149" s="3" t="s">
        <v>32</v>
      </c>
      <c r="I1149" s="3">
        <v>2025</v>
      </c>
      <c r="J1149" s="3" t="str">
        <f>CONCATENATE("54820015631")</f>
        <v>54820015631</v>
      </c>
      <c r="K1149" s="3" t="s">
        <v>33</v>
      </c>
      <c r="L1149" s="3"/>
      <c r="M1149" s="3" t="s">
        <v>131</v>
      </c>
      <c r="N1149" s="3" t="str">
        <f>CONCATENATE("02128280431")</f>
        <v>02128280431</v>
      </c>
      <c r="O1149" s="3" t="s">
        <v>1277</v>
      </c>
      <c r="P1149" s="3" t="s">
        <v>36</v>
      </c>
      <c r="Q1149" s="3"/>
      <c r="R1149" s="4">
        <v>45996</v>
      </c>
      <c r="S1149" s="3" t="s">
        <v>37</v>
      </c>
      <c r="T1149" s="3" t="s">
        <v>38</v>
      </c>
      <c r="U1149" s="3" t="s">
        <v>39</v>
      </c>
      <c r="V1149" s="3">
        <v>296.97000000000003</v>
      </c>
      <c r="W1149" s="3">
        <v>126.21</v>
      </c>
      <c r="X1149" s="3">
        <v>119.53</v>
      </c>
      <c r="Y1149" s="3">
        <v>51.23</v>
      </c>
    </row>
    <row r="1150" spans="1:25" ht="60.75" x14ac:dyDescent="0.25">
      <c r="A1150" s="3" t="s">
        <v>26</v>
      </c>
      <c r="B1150" s="3" t="s">
        <v>27</v>
      </c>
      <c r="C1150" s="3" t="s">
        <v>28</v>
      </c>
      <c r="D1150" s="3" t="s">
        <v>40</v>
      </c>
      <c r="E1150" s="3" t="s">
        <v>287</v>
      </c>
      <c r="F1150" s="3" t="s">
        <v>42</v>
      </c>
      <c r="G1150" s="3" t="s">
        <v>287</v>
      </c>
      <c r="H1150" s="3" t="s">
        <v>32</v>
      </c>
      <c r="I1150" s="3">
        <v>2025</v>
      </c>
      <c r="J1150" s="3" t="str">
        <f>CONCATENATE("54820015839")</f>
        <v>54820015839</v>
      </c>
      <c r="K1150" s="3" t="s">
        <v>33</v>
      </c>
      <c r="L1150" s="3"/>
      <c r="M1150" s="3" t="s">
        <v>131</v>
      </c>
      <c r="N1150" s="3" t="str">
        <f>CONCATENATE("CPRMRA58H64B474X")</f>
        <v>CPRMRA58H64B474X</v>
      </c>
      <c r="O1150" s="3" t="s">
        <v>1278</v>
      </c>
      <c r="P1150" s="3" t="s">
        <v>36</v>
      </c>
      <c r="Q1150" s="3"/>
      <c r="R1150" s="4">
        <v>45996</v>
      </c>
      <c r="S1150" s="3" t="s">
        <v>37</v>
      </c>
      <c r="T1150" s="3" t="s">
        <v>38</v>
      </c>
      <c r="U1150" s="3" t="s">
        <v>39</v>
      </c>
      <c r="V1150" s="3">
        <v>149.13</v>
      </c>
      <c r="W1150" s="3">
        <v>63.38</v>
      </c>
      <c r="X1150" s="3">
        <v>60.02</v>
      </c>
      <c r="Y1150" s="3">
        <v>25.73</v>
      </c>
    </row>
    <row r="1151" spans="1:25" ht="36.75" x14ac:dyDescent="0.25">
      <c r="A1151" s="3" t="s">
        <v>26</v>
      </c>
      <c r="B1151" s="3" t="s">
        <v>27</v>
      </c>
      <c r="C1151" s="3" t="s">
        <v>28</v>
      </c>
      <c r="D1151" s="3" t="s">
        <v>40</v>
      </c>
      <c r="E1151" s="3" t="s">
        <v>44</v>
      </c>
      <c r="F1151" s="3" t="s">
        <v>42</v>
      </c>
      <c r="G1151" s="3" t="s">
        <v>44</v>
      </c>
      <c r="H1151" s="3" t="s">
        <v>32</v>
      </c>
      <c r="I1151" s="3">
        <v>2025</v>
      </c>
      <c r="J1151" s="3" t="str">
        <f>CONCATENATE("54820015854")</f>
        <v>54820015854</v>
      </c>
      <c r="K1151" s="3" t="s">
        <v>33</v>
      </c>
      <c r="L1151" s="3"/>
      <c r="M1151" s="3" t="s">
        <v>131</v>
      </c>
      <c r="N1151" s="3" t="str">
        <f>CONCATENATE("01973660432")</f>
        <v>01973660432</v>
      </c>
      <c r="O1151" s="3" t="s">
        <v>1279</v>
      </c>
      <c r="P1151" s="3" t="s">
        <v>36</v>
      </c>
      <c r="Q1151" s="3"/>
      <c r="R1151" s="4">
        <v>45996</v>
      </c>
      <c r="S1151" s="3" t="s">
        <v>37</v>
      </c>
      <c r="T1151" s="3" t="s">
        <v>38</v>
      </c>
      <c r="U1151" s="3" t="s">
        <v>39</v>
      </c>
      <c r="V1151" s="3">
        <v>235.29</v>
      </c>
      <c r="W1151" s="3">
        <v>100</v>
      </c>
      <c r="X1151" s="3">
        <v>94.7</v>
      </c>
      <c r="Y1151" s="3">
        <v>40.590000000000003</v>
      </c>
    </row>
    <row r="1152" spans="1:25" ht="60.75" x14ac:dyDescent="0.25">
      <c r="A1152" s="3" t="s">
        <v>26</v>
      </c>
      <c r="B1152" s="3" t="s">
        <v>27</v>
      </c>
      <c r="C1152" s="3" t="s">
        <v>28</v>
      </c>
      <c r="D1152" s="3" t="s">
        <v>50</v>
      </c>
      <c r="E1152" s="3" t="s">
        <v>149</v>
      </c>
      <c r="F1152" s="3" t="s">
        <v>52</v>
      </c>
      <c r="G1152" s="3" t="s">
        <v>149</v>
      </c>
      <c r="H1152" s="3" t="s">
        <v>96</v>
      </c>
      <c r="I1152" s="3">
        <v>2025</v>
      </c>
      <c r="J1152" s="3" t="str">
        <f>CONCATENATE("54820067764")</f>
        <v>54820067764</v>
      </c>
      <c r="K1152" s="3" t="s">
        <v>33</v>
      </c>
      <c r="L1152" s="3"/>
      <c r="M1152" s="3" t="s">
        <v>131</v>
      </c>
      <c r="N1152" s="3" t="str">
        <f>CONCATENATE("DGSNNT57H45A044P")</f>
        <v>DGSNNT57H45A044P</v>
      </c>
      <c r="O1152" s="3" t="s">
        <v>1280</v>
      </c>
      <c r="P1152" s="3" t="s">
        <v>36</v>
      </c>
      <c r="Q1152" s="3"/>
      <c r="R1152" s="4">
        <v>45996</v>
      </c>
      <c r="S1152" s="3" t="s">
        <v>37</v>
      </c>
      <c r="T1152" s="3" t="s">
        <v>38</v>
      </c>
      <c r="U1152" s="3" t="s">
        <v>39</v>
      </c>
      <c r="V1152" s="3">
        <v>145.47</v>
      </c>
      <c r="W1152" s="3">
        <v>61.82</v>
      </c>
      <c r="X1152" s="3">
        <v>58.55</v>
      </c>
      <c r="Y1152" s="3">
        <v>25.1</v>
      </c>
    </row>
    <row r="1153" spans="1:25" ht="72.75" x14ac:dyDescent="0.25">
      <c r="A1153" s="3" t="s">
        <v>26</v>
      </c>
      <c r="B1153" s="3" t="s">
        <v>27</v>
      </c>
      <c r="C1153" s="3" t="s">
        <v>28</v>
      </c>
      <c r="D1153" s="3" t="s">
        <v>29</v>
      </c>
      <c r="E1153" s="3" t="s">
        <v>56</v>
      </c>
      <c r="F1153" s="3" t="s">
        <v>31</v>
      </c>
      <c r="G1153" s="3" t="s">
        <v>56</v>
      </c>
      <c r="H1153" s="3" t="s">
        <v>32</v>
      </c>
      <c r="I1153" s="3">
        <v>2025</v>
      </c>
      <c r="J1153" s="3" t="str">
        <f>CONCATENATE("54820034293")</f>
        <v>54820034293</v>
      </c>
      <c r="K1153" s="3" t="s">
        <v>33</v>
      </c>
      <c r="L1153" s="3"/>
      <c r="M1153" s="3" t="s">
        <v>131</v>
      </c>
      <c r="N1153" s="3" t="str">
        <f>CONCATENATE("CCCNTN55D06B474O")</f>
        <v>CCCNTN55D06B474O</v>
      </c>
      <c r="O1153" s="3" t="s">
        <v>1281</v>
      </c>
      <c r="P1153" s="3" t="s">
        <v>36</v>
      </c>
      <c r="Q1153" s="3"/>
      <c r="R1153" s="4">
        <v>45996</v>
      </c>
      <c r="S1153" s="3" t="s">
        <v>37</v>
      </c>
      <c r="T1153" s="3" t="s">
        <v>38</v>
      </c>
      <c r="U1153" s="3" t="s">
        <v>39</v>
      </c>
      <c r="V1153" s="3">
        <v>957.9</v>
      </c>
      <c r="W1153" s="3">
        <v>407.11</v>
      </c>
      <c r="X1153" s="3">
        <v>385.55</v>
      </c>
      <c r="Y1153" s="3">
        <v>165.24</v>
      </c>
    </row>
    <row r="1154" spans="1:25" ht="60.75" x14ac:dyDescent="0.25">
      <c r="A1154" s="3" t="s">
        <v>26</v>
      </c>
      <c r="B1154" s="3" t="s">
        <v>27</v>
      </c>
      <c r="C1154" s="3" t="s">
        <v>28</v>
      </c>
      <c r="D1154" s="3" t="s">
        <v>104</v>
      </c>
      <c r="E1154" s="3" t="s">
        <v>141</v>
      </c>
      <c r="F1154" s="3" t="s">
        <v>104</v>
      </c>
      <c r="G1154" s="3" t="s">
        <v>141</v>
      </c>
      <c r="H1154" s="3" t="s">
        <v>96</v>
      </c>
      <c r="I1154" s="3">
        <v>2025</v>
      </c>
      <c r="J1154" s="3" t="str">
        <f>CONCATENATE("54820277637")</f>
        <v>54820277637</v>
      </c>
      <c r="K1154" s="3" t="s">
        <v>33</v>
      </c>
      <c r="L1154" s="3"/>
      <c r="M1154" s="3" t="s">
        <v>131</v>
      </c>
      <c r="N1154" s="3" t="str">
        <f>CONCATENATE("LCNNDR41D17F622V")</f>
        <v>LCNNDR41D17F622V</v>
      </c>
      <c r="O1154" s="3" t="s">
        <v>1282</v>
      </c>
      <c r="P1154" s="3" t="s">
        <v>36</v>
      </c>
      <c r="Q1154" s="3"/>
      <c r="R1154" s="4">
        <v>45996</v>
      </c>
      <c r="S1154" s="3" t="s">
        <v>37</v>
      </c>
      <c r="T1154" s="3" t="s">
        <v>38</v>
      </c>
      <c r="U1154" s="3" t="s">
        <v>39</v>
      </c>
      <c r="V1154" s="3">
        <v>134.83000000000001</v>
      </c>
      <c r="W1154" s="3">
        <v>57.3</v>
      </c>
      <c r="X1154" s="3">
        <v>54.27</v>
      </c>
      <c r="Y1154" s="3">
        <v>23.26</v>
      </c>
    </row>
    <row r="1155" spans="1:25" ht="36.75" x14ac:dyDescent="0.25">
      <c r="A1155" s="3" t="s">
        <v>26</v>
      </c>
      <c r="B1155" s="3" t="s">
        <v>27</v>
      </c>
      <c r="C1155" s="3" t="s">
        <v>28</v>
      </c>
      <c r="D1155" s="3" t="s">
        <v>50</v>
      </c>
      <c r="E1155" s="3" t="s">
        <v>147</v>
      </c>
      <c r="F1155" s="3" t="s">
        <v>52</v>
      </c>
      <c r="G1155" s="3" t="s">
        <v>147</v>
      </c>
      <c r="H1155" s="3" t="s">
        <v>45</v>
      </c>
      <c r="I1155" s="3">
        <v>2025</v>
      </c>
      <c r="J1155" s="3" t="str">
        <f>CONCATENATE("54820180351")</f>
        <v>54820180351</v>
      </c>
      <c r="K1155" s="3" t="s">
        <v>33</v>
      </c>
      <c r="L1155" s="3"/>
      <c r="M1155" s="3" t="s">
        <v>131</v>
      </c>
      <c r="N1155" s="3" t="str">
        <f>CONCATENATE("02389250412")</f>
        <v>02389250412</v>
      </c>
      <c r="O1155" s="3" t="s">
        <v>1283</v>
      </c>
      <c r="P1155" s="3" t="s">
        <v>36</v>
      </c>
      <c r="Q1155" s="3"/>
      <c r="R1155" s="4">
        <v>45996</v>
      </c>
      <c r="S1155" s="3" t="s">
        <v>37</v>
      </c>
      <c r="T1155" s="3" t="s">
        <v>38</v>
      </c>
      <c r="U1155" s="3" t="s">
        <v>39</v>
      </c>
      <c r="V1155" s="3">
        <v>287.27999999999997</v>
      </c>
      <c r="W1155" s="3">
        <v>122.09</v>
      </c>
      <c r="X1155" s="3">
        <v>115.63</v>
      </c>
      <c r="Y1155" s="3">
        <v>49.56</v>
      </c>
    </row>
    <row r="1156" spans="1:25" ht="36.75" x14ac:dyDescent="0.25">
      <c r="A1156" s="3" t="s">
        <v>26</v>
      </c>
      <c r="B1156" s="3" t="s">
        <v>27</v>
      </c>
      <c r="C1156" s="3" t="s">
        <v>28</v>
      </c>
      <c r="D1156" s="3" t="s">
        <v>29</v>
      </c>
      <c r="E1156" s="3" t="s">
        <v>47</v>
      </c>
      <c r="F1156" s="3" t="s">
        <v>31</v>
      </c>
      <c r="G1156" s="3" t="s">
        <v>47</v>
      </c>
      <c r="H1156" s="3" t="s">
        <v>48</v>
      </c>
      <c r="I1156" s="3">
        <v>2025</v>
      </c>
      <c r="J1156" s="3" t="str">
        <f>CONCATENATE("54820211560")</f>
        <v>54820211560</v>
      </c>
      <c r="K1156" s="3" t="s">
        <v>33</v>
      </c>
      <c r="L1156" s="3"/>
      <c r="M1156" s="3" t="s">
        <v>131</v>
      </c>
      <c r="N1156" s="3" t="str">
        <f>CONCATENATE("02864190422")</f>
        <v>02864190422</v>
      </c>
      <c r="O1156" s="3" t="s">
        <v>1284</v>
      </c>
      <c r="P1156" s="3" t="s">
        <v>36</v>
      </c>
      <c r="Q1156" s="3"/>
      <c r="R1156" s="4">
        <v>45996</v>
      </c>
      <c r="S1156" s="3" t="s">
        <v>37</v>
      </c>
      <c r="T1156" s="3" t="s">
        <v>38</v>
      </c>
      <c r="U1156" s="3" t="s">
        <v>39</v>
      </c>
      <c r="V1156" s="5">
        <v>1296.28</v>
      </c>
      <c r="W1156" s="3">
        <v>550.91999999999996</v>
      </c>
      <c r="X1156" s="3">
        <v>521.75</v>
      </c>
      <c r="Y1156" s="3">
        <v>223.61</v>
      </c>
    </row>
    <row r="1157" spans="1:25" ht="60.75" x14ac:dyDescent="0.25">
      <c r="A1157" s="3" t="s">
        <v>26</v>
      </c>
      <c r="B1157" s="3" t="s">
        <v>27</v>
      </c>
      <c r="C1157" s="3" t="s">
        <v>28</v>
      </c>
      <c r="D1157" s="3" t="s">
        <v>50</v>
      </c>
      <c r="E1157" s="3" t="s">
        <v>147</v>
      </c>
      <c r="F1157" s="3" t="s">
        <v>52</v>
      </c>
      <c r="G1157" s="3" t="s">
        <v>147</v>
      </c>
      <c r="H1157" s="3" t="s">
        <v>45</v>
      </c>
      <c r="I1157" s="3">
        <v>2025</v>
      </c>
      <c r="J1157" s="3" t="str">
        <f>CONCATENATE("54820161609")</f>
        <v>54820161609</v>
      </c>
      <c r="K1157" s="3" t="s">
        <v>33</v>
      </c>
      <c r="L1157" s="3"/>
      <c r="M1157" s="3" t="s">
        <v>131</v>
      </c>
      <c r="N1157" s="3" t="str">
        <f>CONCATENATE("BLUMRC78M21L500P")</f>
        <v>BLUMRC78M21L500P</v>
      </c>
      <c r="O1157" s="3" t="s">
        <v>1285</v>
      </c>
      <c r="P1157" s="3" t="s">
        <v>36</v>
      </c>
      <c r="Q1157" s="3"/>
      <c r="R1157" s="4">
        <v>45996</v>
      </c>
      <c r="S1157" s="3" t="s">
        <v>37</v>
      </c>
      <c r="T1157" s="3" t="s">
        <v>38</v>
      </c>
      <c r="U1157" s="3" t="s">
        <v>39</v>
      </c>
      <c r="V1157" s="3">
        <v>82</v>
      </c>
      <c r="W1157" s="3">
        <v>34.85</v>
      </c>
      <c r="X1157" s="3">
        <v>33.01</v>
      </c>
      <c r="Y1157" s="3">
        <v>14.14</v>
      </c>
    </row>
    <row r="1158" spans="1:25" ht="60.75" x14ac:dyDescent="0.25">
      <c r="A1158" s="3" t="s">
        <v>26</v>
      </c>
      <c r="B1158" s="3" t="s">
        <v>27</v>
      </c>
      <c r="C1158" s="3" t="s">
        <v>28</v>
      </c>
      <c r="D1158" s="3" t="s">
        <v>50</v>
      </c>
      <c r="E1158" s="3" t="s">
        <v>147</v>
      </c>
      <c r="F1158" s="3" t="s">
        <v>52</v>
      </c>
      <c r="G1158" s="3" t="s">
        <v>147</v>
      </c>
      <c r="H1158" s="3" t="s">
        <v>45</v>
      </c>
      <c r="I1158" s="3">
        <v>2025</v>
      </c>
      <c r="J1158" s="3" t="str">
        <f>CONCATENATE("54820193479")</f>
        <v>54820193479</v>
      </c>
      <c r="K1158" s="3" t="s">
        <v>33</v>
      </c>
      <c r="L1158" s="3"/>
      <c r="M1158" s="3" t="s">
        <v>131</v>
      </c>
      <c r="N1158" s="3" t="str">
        <f>CONCATENATE("GBCFLV33C04D749Q")</f>
        <v>GBCFLV33C04D749Q</v>
      </c>
      <c r="O1158" s="3" t="s">
        <v>1286</v>
      </c>
      <c r="P1158" s="3" t="s">
        <v>36</v>
      </c>
      <c r="Q1158" s="3"/>
      <c r="R1158" s="4">
        <v>45996</v>
      </c>
      <c r="S1158" s="3" t="s">
        <v>37</v>
      </c>
      <c r="T1158" s="3" t="s">
        <v>38</v>
      </c>
      <c r="U1158" s="3" t="s">
        <v>39</v>
      </c>
      <c r="V1158" s="3">
        <v>222.31</v>
      </c>
      <c r="W1158" s="3">
        <v>94.48</v>
      </c>
      <c r="X1158" s="3">
        <v>89.48</v>
      </c>
      <c r="Y1158" s="3">
        <v>38.35</v>
      </c>
    </row>
    <row r="1159" spans="1:25" ht="36.75" x14ac:dyDescent="0.25">
      <c r="A1159" s="3" t="s">
        <v>26</v>
      </c>
      <c r="B1159" s="3" t="s">
        <v>27</v>
      </c>
      <c r="C1159" s="3" t="s">
        <v>28</v>
      </c>
      <c r="D1159" s="3" t="s">
        <v>50</v>
      </c>
      <c r="E1159" s="3" t="s">
        <v>252</v>
      </c>
      <c r="F1159" s="3" t="s">
        <v>52</v>
      </c>
      <c r="G1159" s="3" t="s">
        <v>252</v>
      </c>
      <c r="H1159" s="3" t="s">
        <v>45</v>
      </c>
      <c r="I1159" s="3">
        <v>2025</v>
      </c>
      <c r="J1159" s="3" t="str">
        <f>CONCATENATE("54820290911")</f>
        <v>54820290911</v>
      </c>
      <c r="K1159" s="3" t="s">
        <v>33</v>
      </c>
      <c r="L1159" s="3"/>
      <c r="M1159" s="3" t="s">
        <v>131</v>
      </c>
      <c r="N1159" s="3" t="str">
        <f>CONCATENATE("01392530414")</f>
        <v>01392530414</v>
      </c>
      <c r="O1159" s="3" t="s">
        <v>1287</v>
      </c>
      <c r="P1159" s="3" t="s">
        <v>36</v>
      </c>
      <c r="Q1159" s="3"/>
      <c r="R1159" s="4">
        <v>45996</v>
      </c>
      <c r="S1159" s="3" t="s">
        <v>37</v>
      </c>
      <c r="T1159" s="3" t="s">
        <v>38</v>
      </c>
      <c r="U1159" s="3" t="s">
        <v>39</v>
      </c>
      <c r="V1159" s="3">
        <v>589.67999999999995</v>
      </c>
      <c r="W1159" s="3">
        <v>250.61</v>
      </c>
      <c r="X1159" s="3">
        <v>237.35</v>
      </c>
      <c r="Y1159" s="3">
        <v>101.72</v>
      </c>
    </row>
    <row r="1160" spans="1:25" ht="60.75" x14ac:dyDescent="0.25">
      <c r="A1160" s="3" t="s">
        <v>26</v>
      </c>
      <c r="B1160" s="3" t="s">
        <v>27</v>
      </c>
      <c r="C1160" s="3" t="s">
        <v>28</v>
      </c>
      <c r="D1160" s="3" t="s">
        <v>457</v>
      </c>
      <c r="E1160" s="3" t="s">
        <v>458</v>
      </c>
      <c r="F1160" s="3" t="s">
        <v>459</v>
      </c>
      <c r="G1160" s="3" t="s">
        <v>458</v>
      </c>
      <c r="H1160" s="3" t="s">
        <v>32</v>
      </c>
      <c r="I1160" s="3">
        <v>2025</v>
      </c>
      <c r="J1160" s="3" t="str">
        <f>CONCATENATE("54820279138")</f>
        <v>54820279138</v>
      </c>
      <c r="K1160" s="3" t="s">
        <v>33</v>
      </c>
      <c r="L1160" s="3"/>
      <c r="M1160" s="3" t="s">
        <v>131</v>
      </c>
      <c r="N1160" s="3" t="str">
        <f>CONCATENATE("QTRSFN72S23E388Z")</f>
        <v>QTRSFN72S23E388Z</v>
      </c>
      <c r="O1160" s="3" t="s">
        <v>1288</v>
      </c>
      <c r="P1160" s="3" t="s">
        <v>36</v>
      </c>
      <c r="Q1160" s="3"/>
      <c r="R1160" s="4">
        <v>45996</v>
      </c>
      <c r="S1160" s="3" t="s">
        <v>37</v>
      </c>
      <c r="T1160" s="3" t="s">
        <v>38</v>
      </c>
      <c r="U1160" s="3" t="s">
        <v>39</v>
      </c>
      <c r="V1160" s="3">
        <v>334.44</v>
      </c>
      <c r="W1160" s="3">
        <v>142.13999999999999</v>
      </c>
      <c r="X1160" s="3">
        <v>134.61000000000001</v>
      </c>
      <c r="Y1160" s="3">
        <v>57.69</v>
      </c>
    </row>
    <row r="1161" spans="1:25" ht="72.75" x14ac:dyDescent="0.25">
      <c r="A1161" s="3" t="s">
        <v>26</v>
      </c>
      <c r="B1161" s="3" t="s">
        <v>27</v>
      </c>
      <c r="C1161" s="3" t="s">
        <v>28</v>
      </c>
      <c r="D1161" s="3" t="s">
        <v>312</v>
      </c>
      <c r="E1161" s="3" t="s">
        <v>313</v>
      </c>
      <c r="F1161" s="3" t="s">
        <v>314</v>
      </c>
      <c r="G1161" s="3" t="s">
        <v>313</v>
      </c>
      <c r="H1161" s="3" t="s">
        <v>96</v>
      </c>
      <c r="I1161" s="3">
        <v>2025</v>
      </c>
      <c r="J1161" s="3" t="str">
        <f>CONCATENATE("54820245998")</f>
        <v>54820245998</v>
      </c>
      <c r="K1161" s="3" t="s">
        <v>33</v>
      </c>
      <c r="L1161" s="3"/>
      <c r="M1161" s="3" t="s">
        <v>131</v>
      </c>
      <c r="N1161" s="3" t="str">
        <f>CONCATENATE("DMRBNC58M64A258D")</f>
        <v>DMRBNC58M64A258D</v>
      </c>
      <c r="O1161" s="3" t="s">
        <v>1289</v>
      </c>
      <c r="P1161" s="3" t="s">
        <v>36</v>
      </c>
      <c r="Q1161" s="3"/>
      <c r="R1161" s="4">
        <v>45996</v>
      </c>
      <c r="S1161" s="3" t="s">
        <v>37</v>
      </c>
      <c r="T1161" s="3" t="s">
        <v>38</v>
      </c>
      <c r="U1161" s="3" t="s">
        <v>39</v>
      </c>
      <c r="V1161" s="3">
        <v>82.81</v>
      </c>
      <c r="W1161" s="3">
        <v>35.19</v>
      </c>
      <c r="X1161" s="3">
        <v>33.33</v>
      </c>
      <c r="Y1161" s="3">
        <v>14.29</v>
      </c>
    </row>
    <row r="1162" spans="1:25" ht="60.75" x14ac:dyDescent="0.25">
      <c r="A1162" s="3" t="s">
        <v>26</v>
      </c>
      <c r="B1162" s="3" t="s">
        <v>27</v>
      </c>
      <c r="C1162" s="3" t="s">
        <v>28</v>
      </c>
      <c r="D1162" s="3" t="s">
        <v>50</v>
      </c>
      <c r="E1162" s="3" t="s">
        <v>252</v>
      </c>
      <c r="F1162" s="3" t="s">
        <v>52</v>
      </c>
      <c r="G1162" s="3" t="s">
        <v>252</v>
      </c>
      <c r="H1162" s="3" t="s">
        <v>45</v>
      </c>
      <c r="I1162" s="3">
        <v>2025</v>
      </c>
      <c r="J1162" s="3" t="str">
        <f>CONCATENATE("54820191432")</f>
        <v>54820191432</v>
      </c>
      <c r="K1162" s="3" t="s">
        <v>33</v>
      </c>
      <c r="L1162" s="3"/>
      <c r="M1162" s="3" t="s">
        <v>131</v>
      </c>
      <c r="N1162" s="3" t="str">
        <f>CONCATENATE("LRNLFR44D50D749X")</f>
        <v>LRNLFR44D50D749X</v>
      </c>
      <c r="O1162" s="3" t="s">
        <v>1290</v>
      </c>
      <c r="P1162" s="3" t="s">
        <v>36</v>
      </c>
      <c r="Q1162" s="3"/>
      <c r="R1162" s="4">
        <v>45996</v>
      </c>
      <c r="S1162" s="3" t="s">
        <v>37</v>
      </c>
      <c r="T1162" s="3" t="s">
        <v>38</v>
      </c>
      <c r="U1162" s="3" t="s">
        <v>39</v>
      </c>
      <c r="V1162" s="3">
        <v>51.52</v>
      </c>
      <c r="W1162" s="3">
        <v>21.9</v>
      </c>
      <c r="X1162" s="3">
        <v>20.74</v>
      </c>
      <c r="Y1162" s="3">
        <v>8.8800000000000008</v>
      </c>
    </row>
    <row r="1163" spans="1:25" ht="72.75" x14ac:dyDescent="0.25">
      <c r="A1163" s="3" t="s">
        <v>26</v>
      </c>
      <c r="B1163" s="3" t="s">
        <v>27</v>
      </c>
      <c r="C1163" s="3" t="s">
        <v>28</v>
      </c>
      <c r="D1163" s="3" t="s">
        <v>29</v>
      </c>
      <c r="E1163" s="3" t="s">
        <v>65</v>
      </c>
      <c r="F1163" s="3" t="s">
        <v>31</v>
      </c>
      <c r="G1163" s="3" t="s">
        <v>65</v>
      </c>
      <c r="H1163" s="3" t="s">
        <v>45</v>
      </c>
      <c r="I1163" s="3">
        <v>2025</v>
      </c>
      <c r="J1163" s="3" t="str">
        <f>CONCATENATE("54820169321")</f>
        <v>54820169321</v>
      </c>
      <c r="K1163" s="3" t="s">
        <v>33</v>
      </c>
      <c r="L1163" s="3"/>
      <c r="M1163" s="3" t="s">
        <v>131</v>
      </c>
      <c r="N1163" s="3" t="str">
        <f>CONCATENATE("RCNRRT79B27B352H")</f>
        <v>RCNRRT79B27B352H</v>
      </c>
      <c r="O1163" s="3" t="s">
        <v>1291</v>
      </c>
      <c r="P1163" s="3" t="s">
        <v>36</v>
      </c>
      <c r="Q1163" s="3"/>
      <c r="R1163" s="4">
        <v>45996</v>
      </c>
      <c r="S1163" s="3" t="s">
        <v>37</v>
      </c>
      <c r="T1163" s="3" t="s">
        <v>38</v>
      </c>
      <c r="U1163" s="3" t="s">
        <v>39</v>
      </c>
      <c r="V1163" s="3">
        <v>107.23</v>
      </c>
      <c r="W1163" s="3">
        <v>45.57</v>
      </c>
      <c r="X1163" s="3">
        <v>43.16</v>
      </c>
      <c r="Y1163" s="3">
        <v>18.5</v>
      </c>
    </row>
    <row r="1164" spans="1:25" ht="60.75" x14ac:dyDescent="0.25">
      <c r="A1164" s="3" t="s">
        <v>26</v>
      </c>
      <c r="B1164" s="3" t="s">
        <v>27</v>
      </c>
      <c r="C1164" s="3" t="s">
        <v>28</v>
      </c>
      <c r="D1164" s="3" t="s">
        <v>29</v>
      </c>
      <c r="E1164" s="3" t="s">
        <v>47</v>
      </c>
      <c r="F1164" s="3" t="s">
        <v>31</v>
      </c>
      <c r="G1164" s="3" t="s">
        <v>47</v>
      </c>
      <c r="H1164" s="3" t="s">
        <v>48</v>
      </c>
      <c r="I1164" s="3">
        <v>2025</v>
      </c>
      <c r="J1164" s="3" t="str">
        <f>CONCATENATE("54820199351")</f>
        <v>54820199351</v>
      </c>
      <c r="K1164" s="3" t="s">
        <v>33</v>
      </c>
      <c r="L1164" s="3"/>
      <c r="M1164" s="3" t="s">
        <v>131</v>
      </c>
      <c r="N1164" s="3" t="str">
        <f>CONCATENATE("LBRFNC54T12D451Q")</f>
        <v>LBRFNC54T12D451Q</v>
      </c>
      <c r="O1164" s="3" t="s">
        <v>1292</v>
      </c>
      <c r="P1164" s="3" t="s">
        <v>36</v>
      </c>
      <c r="Q1164" s="3"/>
      <c r="R1164" s="4">
        <v>45996</v>
      </c>
      <c r="S1164" s="3" t="s">
        <v>37</v>
      </c>
      <c r="T1164" s="3" t="s">
        <v>38</v>
      </c>
      <c r="U1164" s="3" t="s">
        <v>39</v>
      </c>
      <c r="V1164" s="3">
        <v>65.09</v>
      </c>
      <c r="W1164" s="3">
        <v>27.66</v>
      </c>
      <c r="X1164" s="3">
        <v>26.2</v>
      </c>
      <c r="Y1164" s="3">
        <v>11.23</v>
      </c>
    </row>
    <row r="1165" spans="1:25" ht="72.75" x14ac:dyDescent="0.25">
      <c r="A1165" s="3" t="s">
        <v>26</v>
      </c>
      <c r="B1165" s="3" t="s">
        <v>27</v>
      </c>
      <c r="C1165" s="3" t="s">
        <v>28</v>
      </c>
      <c r="D1165" s="3" t="s">
        <v>50</v>
      </c>
      <c r="E1165" s="3" t="s">
        <v>51</v>
      </c>
      <c r="F1165" s="3" t="s">
        <v>52</v>
      </c>
      <c r="G1165" s="3" t="s">
        <v>51</v>
      </c>
      <c r="H1165" s="3" t="s">
        <v>48</v>
      </c>
      <c r="I1165" s="3">
        <v>2025</v>
      </c>
      <c r="J1165" s="3" t="str">
        <f>CONCATENATE("54820171129")</f>
        <v>54820171129</v>
      </c>
      <c r="K1165" s="3" t="s">
        <v>33</v>
      </c>
      <c r="L1165" s="3"/>
      <c r="M1165" s="3" t="s">
        <v>131</v>
      </c>
      <c r="N1165" s="3" t="str">
        <f>CONCATENATE("STRSVN52B65D451B")</f>
        <v>STRSVN52B65D451B</v>
      </c>
      <c r="O1165" s="3" t="s">
        <v>1293</v>
      </c>
      <c r="P1165" s="3" t="s">
        <v>36</v>
      </c>
      <c r="Q1165" s="3"/>
      <c r="R1165" s="4">
        <v>45996</v>
      </c>
      <c r="S1165" s="3" t="s">
        <v>37</v>
      </c>
      <c r="T1165" s="3" t="s">
        <v>38</v>
      </c>
      <c r="U1165" s="3" t="s">
        <v>39</v>
      </c>
      <c r="V1165" s="3">
        <v>213.3</v>
      </c>
      <c r="W1165" s="3">
        <v>90.65</v>
      </c>
      <c r="X1165" s="3">
        <v>85.85</v>
      </c>
      <c r="Y1165" s="3">
        <v>36.799999999999997</v>
      </c>
    </row>
    <row r="1166" spans="1:25" ht="60.75" x14ac:dyDescent="0.25">
      <c r="A1166" s="3" t="s">
        <v>26</v>
      </c>
      <c r="B1166" s="3" t="s">
        <v>27</v>
      </c>
      <c r="C1166" s="3" t="s">
        <v>28</v>
      </c>
      <c r="D1166" s="3" t="s">
        <v>29</v>
      </c>
      <c r="E1166" s="3" t="s">
        <v>47</v>
      </c>
      <c r="F1166" s="3" t="s">
        <v>31</v>
      </c>
      <c r="G1166" s="3" t="s">
        <v>47</v>
      </c>
      <c r="H1166" s="3" t="s">
        <v>48</v>
      </c>
      <c r="I1166" s="3">
        <v>2025</v>
      </c>
      <c r="J1166" s="3" t="str">
        <f>CONCATENATE("54820160288")</f>
        <v>54820160288</v>
      </c>
      <c r="K1166" s="3" t="s">
        <v>33</v>
      </c>
      <c r="L1166" s="3"/>
      <c r="M1166" s="3" t="s">
        <v>131</v>
      </c>
      <c r="N1166" s="3" t="str">
        <f>CONCATENATE("RGGNDR77R22D451S")</f>
        <v>RGGNDR77R22D451S</v>
      </c>
      <c r="O1166" s="3" t="s">
        <v>1294</v>
      </c>
      <c r="P1166" s="3" t="s">
        <v>36</v>
      </c>
      <c r="Q1166" s="3"/>
      <c r="R1166" s="4">
        <v>45996</v>
      </c>
      <c r="S1166" s="3" t="s">
        <v>37</v>
      </c>
      <c r="T1166" s="3" t="s">
        <v>38</v>
      </c>
      <c r="U1166" s="3" t="s">
        <v>39</v>
      </c>
      <c r="V1166" s="3">
        <v>48.31</v>
      </c>
      <c r="W1166" s="3">
        <v>20.53</v>
      </c>
      <c r="X1166" s="3">
        <v>19.440000000000001</v>
      </c>
      <c r="Y1166" s="3">
        <v>8.34</v>
      </c>
    </row>
    <row r="1167" spans="1:25" ht="72.75" x14ac:dyDescent="0.25">
      <c r="A1167" s="3" t="s">
        <v>26</v>
      </c>
      <c r="B1167" s="3" t="s">
        <v>27</v>
      </c>
      <c r="C1167" s="3" t="s">
        <v>28</v>
      </c>
      <c r="D1167" s="3" t="s">
        <v>50</v>
      </c>
      <c r="E1167" s="3" t="s">
        <v>252</v>
      </c>
      <c r="F1167" s="3" t="s">
        <v>52</v>
      </c>
      <c r="G1167" s="3" t="s">
        <v>252</v>
      </c>
      <c r="H1167" s="3" t="s">
        <v>45</v>
      </c>
      <c r="I1167" s="3">
        <v>2025</v>
      </c>
      <c r="J1167" s="3" t="str">
        <f>CONCATENATE("54820194055")</f>
        <v>54820194055</v>
      </c>
      <c r="K1167" s="3" t="s">
        <v>33</v>
      </c>
      <c r="L1167" s="3"/>
      <c r="M1167" s="3" t="s">
        <v>131</v>
      </c>
      <c r="N1167" s="3" t="str">
        <f>CONCATENATE("MRAMLN66A55D749U")</f>
        <v>MRAMLN66A55D749U</v>
      </c>
      <c r="O1167" s="3" t="s">
        <v>1295</v>
      </c>
      <c r="P1167" s="3" t="s">
        <v>36</v>
      </c>
      <c r="Q1167" s="3"/>
      <c r="R1167" s="4">
        <v>45996</v>
      </c>
      <c r="S1167" s="3" t="s">
        <v>37</v>
      </c>
      <c r="T1167" s="3" t="s">
        <v>38</v>
      </c>
      <c r="U1167" s="3" t="s">
        <v>39</v>
      </c>
      <c r="V1167" s="3">
        <v>157.12</v>
      </c>
      <c r="W1167" s="3">
        <v>66.78</v>
      </c>
      <c r="X1167" s="3">
        <v>63.24</v>
      </c>
      <c r="Y1167" s="3">
        <v>27.1</v>
      </c>
    </row>
    <row r="1168" spans="1:25" ht="60.75" x14ac:dyDescent="0.25">
      <c r="A1168" s="3" t="s">
        <v>26</v>
      </c>
      <c r="B1168" s="3" t="s">
        <v>27</v>
      </c>
      <c r="C1168" s="3" t="s">
        <v>28</v>
      </c>
      <c r="D1168" s="3" t="s">
        <v>29</v>
      </c>
      <c r="E1168" s="3" t="s">
        <v>47</v>
      </c>
      <c r="F1168" s="3" t="s">
        <v>31</v>
      </c>
      <c r="G1168" s="3" t="s">
        <v>47</v>
      </c>
      <c r="H1168" s="3" t="s">
        <v>48</v>
      </c>
      <c r="I1168" s="3">
        <v>2025</v>
      </c>
      <c r="J1168" s="3" t="str">
        <f>CONCATENATE("54820198791")</f>
        <v>54820198791</v>
      </c>
      <c r="K1168" s="3" t="s">
        <v>33</v>
      </c>
      <c r="L1168" s="3"/>
      <c r="M1168" s="3" t="s">
        <v>131</v>
      </c>
      <c r="N1168" s="3" t="str">
        <f>CONCATENATE("LMTFDN62P10I653I")</f>
        <v>LMTFDN62P10I653I</v>
      </c>
      <c r="O1168" s="3" t="s">
        <v>1296</v>
      </c>
      <c r="P1168" s="3" t="s">
        <v>36</v>
      </c>
      <c r="Q1168" s="3"/>
      <c r="R1168" s="4">
        <v>45996</v>
      </c>
      <c r="S1168" s="3" t="s">
        <v>37</v>
      </c>
      <c r="T1168" s="3" t="s">
        <v>38</v>
      </c>
      <c r="U1168" s="3" t="s">
        <v>39</v>
      </c>
      <c r="V1168" s="3">
        <v>87.19</v>
      </c>
      <c r="W1168" s="3">
        <v>37.06</v>
      </c>
      <c r="X1168" s="3">
        <v>35.090000000000003</v>
      </c>
      <c r="Y1168" s="3">
        <v>15.04</v>
      </c>
    </row>
    <row r="1169" spans="1:25" ht="60.75" x14ac:dyDescent="0.25">
      <c r="A1169" s="3" t="s">
        <v>26</v>
      </c>
      <c r="B1169" s="3" t="s">
        <v>27</v>
      </c>
      <c r="C1169" s="3" t="s">
        <v>28</v>
      </c>
      <c r="D1169" s="3" t="s">
        <v>50</v>
      </c>
      <c r="E1169" s="3" t="s">
        <v>147</v>
      </c>
      <c r="F1169" s="3" t="s">
        <v>52</v>
      </c>
      <c r="G1169" s="3" t="s">
        <v>147</v>
      </c>
      <c r="H1169" s="3" t="s">
        <v>45</v>
      </c>
      <c r="I1169" s="3">
        <v>2025</v>
      </c>
      <c r="J1169" s="3" t="str">
        <f>CONCATENATE("54820179239")</f>
        <v>54820179239</v>
      </c>
      <c r="K1169" s="3" t="s">
        <v>33</v>
      </c>
      <c r="L1169" s="3"/>
      <c r="M1169" s="3" t="s">
        <v>131</v>
      </c>
      <c r="N1169" s="3" t="str">
        <f>CONCATENATE("RBNNLD61E47G479I")</f>
        <v>RBNNLD61E47G479I</v>
      </c>
      <c r="O1169" s="3" t="s">
        <v>1297</v>
      </c>
      <c r="P1169" s="3" t="s">
        <v>36</v>
      </c>
      <c r="Q1169" s="3"/>
      <c r="R1169" s="4">
        <v>45996</v>
      </c>
      <c r="S1169" s="3" t="s">
        <v>37</v>
      </c>
      <c r="T1169" s="3" t="s">
        <v>38</v>
      </c>
      <c r="U1169" s="3" t="s">
        <v>39</v>
      </c>
      <c r="V1169" s="3">
        <v>49.23</v>
      </c>
      <c r="W1169" s="3">
        <v>20.92</v>
      </c>
      <c r="X1169" s="3">
        <v>19.82</v>
      </c>
      <c r="Y1169" s="3">
        <v>8.49</v>
      </c>
    </row>
    <row r="1170" spans="1:25" ht="60.75" x14ac:dyDescent="0.25">
      <c r="A1170" s="3" t="s">
        <v>26</v>
      </c>
      <c r="B1170" s="3" t="s">
        <v>27</v>
      </c>
      <c r="C1170" s="3" t="s">
        <v>28</v>
      </c>
      <c r="D1170" s="3" t="s">
        <v>29</v>
      </c>
      <c r="E1170" s="3" t="s">
        <v>182</v>
      </c>
      <c r="F1170" s="3" t="s">
        <v>31</v>
      </c>
      <c r="G1170" s="3" t="s">
        <v>182</v>
      </c>
      <c r="H1170" s="3" t="s">
        <v>45</v>
      </c>
      <c r="I1170" s="3">
        <v>2025</v>
      </c>
      <c r="J1170" s="3" t="str">
        <f>CONCATENATE("54820235494")</f>
        <v>54820235494</v>
      </c>
      <c r="K1170" s="3" t="s">
        <v>33</v>
      </c>
      <c r="L1170" s="3"/>
      <c r="M1170" s="3" t="s">
        <v>131</v>
      </c>
      <c r="N1170" s="3" t="str">
        <f>CONCATENATE("VCHPTR62R20L500Y")</f>
        <v>VCHPTR62R20L500Y</v>
      </c>
      <c r="O1170" s="3" t="s">
        <v>1298</v>
      </c>
      <c r="P1170" s="3" t="s">
        <v>36</v>
      </c>
      <c r="Q1170" s="3"/>
      <c r="R1170" s="4">
        <v>45996</v>
      </c>
      <c r="S1170" s="3" t="s">
        <v>37</v>
      </c>
      <c r="T1170" s="3" t="s">
        <v>38</v>
      </c>
      <c r="U1170" s="3" t="s">
        <v>39</v>
      </c>
      <c r="V1170" s="3">
        <v>468.09</v>
      </c>
      <c r="W1170" s="3">
        <v>198.94</v>
      </c>
      <c r="X1170" s="3">
        <v>188.41</v>
      </c>
      <c r="Y1170" s="3">
        <v>80.739999999999995</v>
      </c>
    </row>
    <row r="1171" spans="1:25" ht="60.75" x14ac:dyDescent="0.25">
      <c r="A1171" s="3" t="s">
        <v>26</v>
      </c>
      <c r="B1171" s="3" t="s">
        <v>27</v>
      </c>
      <c r="C1171" s="3" t="s">
        <v>28</v>
      </c>
      <c r="D1171" s="3" t="s">
        <v>157</v>
      </c>
      <c r="E1171" s="3" t="s">
        <v>1299</v>
      </c>
      <c r="F1171" s="3" t="s">
        <v>159</v>
      </c>
      <c r="G1171" s="3" t="s">
        <v>1299</v>
      </c>
      <c r="H1171" s="3" t="s">
        <v>45</v>
      </c>
      <c r="I1171" s="3">
        <v>2025</v>
      </c>
      <c r="J1171" s="3" t="str">
        <f>CONCATENATE("54820171236")</f>
        <v>54820171236</v>
      </c>
      <c r="K1171" s="3" t="s">
        <v>33</v>
      </c>
      <c r="L1171" s="3"/>
      <c r="M1171" s="3" t="s">
        <v>131</v>
      </c>
      <c r="N1171" s="3" t="str">
        <f>CONCATENATE("TMSPTR03E13L500A")</f>
        <v>TMSPTR03E13L500A</v>
      </c>
      <c r="O1171" s="3" t="s">
        <v>1300</v>
      </c>
      <c r="P1171" s="3" t="s">
        <v>36</v>
      </c>
      <c r="Q1171" s="3"/>
      <c r="R1171" s="4">
        <v>45996</v>
      </c>
      <c r="S1171" s="3" t="s">
        <v>37</v>
      </c>
      <c r="T1171" s="3" t="s">
        <v>38</v>
      </c>
      <c r="U1171" s="3" t="s">
        <v>39</v>
      </c>
      <c r="V1171" s="3">
        <v>294.56</v>
      </c>
      <c r="W1171" s="3">
        <v>125.19</v>
      </c>
      <c r="X1171" s="3">
        <v>118.56</v>
      </c>
      <c r="Y1171" s="3">
        <v>50.81</v>
      </c>
    </row>
    <row r="1172" spans="1:25" ht="60.75" x14ac:dyDescent="0.25">
      <c r="A1172" s="3" t="s">
        <v>26</v>
      </c>
      <c r="B1172" s="3" t="s">
        <v>27</v>
      </c>
      <c r="C1172" s="3" t="s">
        <v>28</v>
      </c>
      <c r="D1172" s="3" t="s">
        <v>29</v>
      </c>
      <c r="E1172" s="3" t="s">
        <v>228</v>
      </c>
      <c r="F1172" s="3" t="s">
        <v>31</v>
      </c>
      <c r="G1172" s="3" t="s">
        <v>228</v>
      </c>
      <c r="H1172" s="3" t="s">
        <v>45</v>
      </c>
      <c r="I1172" s="3">
        <v>2025</v>
      </c>
      <c r="J1172" s="3" t="str">
        <f>CONCATENATE("54820176771")</f>
        <v>54820176771</v>
      </c>
      <c r="K1172" s="3" t="s">
        <v>33</v>
      </c>
      <c r="L1172" s="3"/>
      <c r="M1172" s="3" t="s">
        <v>131</v>
      </c>
      <c r="N1172" s="3" t="str">
        <f>CONCATENATE("PTRPLA55S43D749F")</f>
        <v>PTRPLA55S43D749F</v>
      </c>
      <c r="O1172" s="3" t="s">
        <v>1301</v>
      </c>
      <c r="P1172" s="3" t="s">
        <v>36</v>
      </c>
      <c r="Q1172" s="3"/>
      <c r="R1172" s="4">
        <v>45996</v>
      </c>
      <c r="S1172" s="3" t="s">
        <v>37</v>
      </c>
      <c r="T1172" s="3" t="s">
        <v>38</v>
      </c>
      <c r="U1172" s="3" t="s">
        <v>39</v>
      </c>
      <c r="V1172" s="3">
        <v>901.25</v>
      </c>
      <c r="W1172" s="3">
        <v>383.03</v>
      </c>
      <c r="X1172" s="3">
        <v>362.75</v>
      </c>
      <c r="Y1172" s="3">
        <v>155.47</v>
      </c>
    </row>
    <row r="1173" spans="1:25" ht="60.75" x14ac:dyDescent="0.25">
      <c r="A1173" s="3" t="s">
        <v>26</v>
      </c>
      <c r="B1173" s="3" t="s">
        <v>27</v>
      </c>
      <c r="C1173" s="3" t="s">
        <v>28</v>
      </c>
      <c r="D1173" s="3" t="s">
        <v>50</v>
      </c>
      <c r="E1173" s="3" t="s">
        <v>147</v>
      </c>
      <c r="F1173" s="3" t="s">
        <v>52</v>
      </c>
      <c r="G1173" s="3" t="s">
        <v>147</v>
      </c>
      <c r="H1173" s="3" t="s">
        <v>45</v>
      </c>
      <c r="I1173" s="3">
        <v>2025</v>
      </c>
      <c r="J1173" s="3" t="str">
        <f>CONCATENATE("54820203484")</f>
        <v>54820203484</v>
      </c>
      <c r="K1173" s="3" t="s">
        <v>33</v>
      </c>
      <c r="L1173" s="3"/>
      <c r="M1173" s="3" t="s">
        <v>131</v>
      </c>
      <c r="N1173" s="3" t="str">
        <f>CONCATENATE("DLBGST41L21L500S")</f>
        <v>DLBGST41L21L500S</v>
      </c>
      <c r="O1173" s="3" t="s">
        <v>1302</v>
      </c>
      <c r="P1173" s="3" t="s">
        <v>36</v>
      </c>
      <c r="Q1173" s="3"/>
      <c r="R1173" s="4">
        <v>45996</v>
      </c>
      <c r="S1173" s="3" t="s">
        <v>37</v>
      </c>
      <c r="T1173" s="3" t="s">
        <v>38</v>
      </c>
      <c r="U1173" s="3" t="s">
        <v>39</v>
      </c>
      <c r="V1173" s="3">
        <v>50.98</v>
      </c>
      <c r="W1173" s="3">
        <v>21.67</v>
      </c>
      <c r="X1173" s="3">
        <v>20.52</v>
      </c>
      <c r="Y1173" s="3">
        <v>8.7899999999999991</v>
      </c>
    </row>
    <row r="1174" spans="1:25" ht="60.75" x14ac:dyDescent="0.25">
      <c r="A1174" s="3" t="s">
        <v>26</v>
      </c>
      <c r="B1174" s="3" t="s">
        <v>27</v>
      </c>
      <c r="C1174" s="3" t="s">
        <v>28</v>
      </c>
      <c r="D1174" s="3" t="s">
        <v>29</v>
      </c>
      <c r="E1174" s="3" t="s">
        <v>56</v>
      </c>
      <c r="F1174" s="3" t="s">
        <v>31</v>
      </c>
      <c r="G1174" s="3" t="s">
        <v>56</v>
      </c>
      <c r="H1174" s="3" t="s">
        <v>32</v>
      </c>
      <c r="I1174" s="3">
        <v>2025</v>
      </c>
      <c r="J1174" s="3" t="str">
        <f>CONCATENATE("54820213418")</f>
        <v>54820213418</v>
      </c>
      <c r="K1174" s="3" t="s">
        <v>33</v>
      </c>
      <c r="L1174" s="3"/>
      <c r="M1174" s="3" t="s">
        <v>131</v>
      </c>
      <c r="N1174" s="3" t="str">
        <f>CONCATENATE("ZCCSFN80T28D653C")</f>
        <v>ZCCSFN80T28D653C</v>
      </c>
      <c r="O1174" s="3" t="s">
        <v>1303</v>
      </c>
      <c r="P1174" s="3" t="s">
        <v>36</v>
      </c>
      <c r="Q1174" s="3"/>
      <c r="R1174" s="4">
        <v>45996</v>
      </c>
      <c r="S1174" s="3" t="s">
        <v>37</v>
      </c>
      <c r="T1174" s="3" t="s">
        <v>38</v>
      </c>
      <c r="U1174" s="3" t="s">
        <v>39</v>
      </c>
      <c r="V1174" s="3">
        <v>276.89</v>
      </c>
      <c r="W1174" s="3">
        <v>117.68</v>
      </c>
      <c r="X1174" s="3">
        <v>111.45</v>
      </c>
      <c r="Y1174" s="3">
        <v>47.76</v>
      </c>
    </row>
    <row r="1175" spans="1:25" ht="60.75" x14ac:dyDescent="0.25">
      <c r="A1175" s="3" t="s">
        <v>26</v>
      </c>
      <c r="B1175" s="3" t="s">
        <v>27</v>
      </c>
      <c r="C1175" s="3" t="s">
        <v>28</v>
      </c>
      <c r="D1175" s="3" t="s">
        <v>29</v>
      </c>
      <c r="E1175" s="3" t="s">
        <v>68</v>
      </c>
      <c r="F1175" s="3" t="s">
        <v>31</v>
      </c>
      <c r="G1175" s="3" t="s">
        <v>68</v>
      </c>
      <c r="H1175" s="3" t="s">
        <v>32</v>
      </c>
      <c r="I1175" s="3">
        <v>2025</v>
      </c>
      <c r="J1175" s="3" t="str">
        <f>CONCATENATE("54820177951")</f>
        <v>54820177951</v>
      </c>
      <c r="K1175" s="3" t="s">
        <v>33</v>
      </c>
      <c r="L1175" s="3"/>
      <c r="M1175" s="3" t="s">
        <v>131</v>
      </c>
      <c r="N1175" s="3" t="str">
        <f>CONCATENATE("CNCFNC82E01B474C")</f>
        <v>CNCFNC82E01B474C</v>
      </c>
      <c r="O1175" s="3" t="s">
        <v>1304</v>
      </c>
      <c r="P1175" s="3" t="s">
        <v>36</v>
      </c>
      <c r="Q1175" s="3"/>
      <c r="R1175" s="4">
        <v>45996</v>
      </c>
      <c r="S1175" s="3" t="s">
        <v>37</v>
      </c>
      <c r="T1175" s="3" t="s">
        <v>38</v>
      </c>
      <c r="U1175" s="3" t="s">
        <v>39</v>
      </c>
      <c r="V1175" s="5">
        <v>1042.8599999999999</v>
      </c>
      <c r="W1175" s="3">
        <v>443.22</v>
      </c>
      <c r="X1175" s="3">
        <v>419.75</v>
      </c>
      <c r="Y1175" s="3">
        <v>179.89</v>
      </c>
    </row>
    <row r="1176" spans="1:25" ht="60.75" x14ac:dyDescent="0.25">
      <c r="A1176" s="3" t="s">
        <v>26</v>
      </c>
      <c r="B1176" s="3" t="s">
        <v>27</v>
      </c>
      <c r="C1176" s="3" t="s">
        <v>28</v>
      </c>
      <c r="D1176" s="3" t="s">
        <v>29</v>
      </c>
      <c r="E1176" s="3" t="s">
        <v>72</v>
      </c>
      <c r="F1176" s="3" t="s">
        <v>31</v>
      </c>
      <c r="G1176" s="3" t="s">
        <v>72</v>
      </c>
      <c r="H1176" s="3" t="s">
        <v>45</v>
      </c>
      <c r="I1176" s="3">
        <v>2025</v>
      </c>
      <c r="J1176" s="3" t="str">
        <f>CONCATENATE("54820213236")</f>
        <v>54820213236</v>
      </c>
      <c r="K1176" s="3" t="s">
        <v>33</v>
      </c>
      <c r="L1176" s="3"/>
      <c r="M1176" s="3" t="s">
        <v>131</v>
      </c>
      <c r="N1176" s="3" t="str">
        <f>CONCATENATE("PRTGZN41T20B352R")</f>
        <v>PRTGZN41T20B352R</v>
      </c>
      <c r="O1176" s="3" t="s">
        <v>1305</v>
      </c>
      <c r="P1176" s="3" t="s">
        <v>36</v>
      </c>
      <c r="Q1176" s="3"/>
      <c r="R1176" s="4">
        <v>45996</v>
      </c>
      <c r="S1176" s="3" t="s">
        <v>37</v>
      </c>
      <c r="T1176" s="3" t="s">
        <v>38</v>
      </c>
      <c r="U1176" s="3" t="s">
        <v>39</v>
      </c>
      <c r="V1176" s="5">
        <v>1000.37</v>
      </c>
      <c r="W1176" s="3">
        <v>425.16</v>
      </c>
      <c r="X1176" s="3">
        <v>402.65</v>
      </c>
      <c r="Y1176" s="3">
        <v>172.56</v>
      </c>
    </row>
    <row r="1177" spans="1:25" ht="60.75" x14ac:dyDescent="0.25">
      <c r="A1177" s="3" t="s">
        <v>26</v>
      </c>
      <c r="B1177" s="3" t="s">
        <v>27</v>
      </c>
      <c r="C1177" s="3" t="s">
        <v>28</v>
      </c>
      <c r="D1177" s="3" t="s">
        <v>50</v>
      </c>
      <c r="E1177" s="3" t="s">
        <v>147</v>
      </c>
      <c r="F1177" s="3" t="s">
        <v>52</v>
      </c>
      <c r="G1177" s="3" t="s">
        <v>147</v>
      </c>
      <c r="H1177" s="3" t="s">
        <v>45</v>
      </c>
      <c r="I1177" s="3">
        <v>2025</v>
      </c>
      <c r="J1177" s="3" t="str">
        <f>CONCATENATE("54820171764")</f>
        <v>54820171764</v>
      </c>
      <c r="K1177" s="3" t="s">
        <v>33</v>
      </c>
      <c r="L1177" s="3"/>
      <c r="M1177" s="3" t="s">
        <v>131</v>
      </c>
      <c r="N1177" s="3" t="str">
        <f>CONCATENATE("DNGGCR41A30L500Z")</f>
        <v>DNGGCR41A30L500Z</v>
      </c>
      <c r="O1177" s="3" t="s">
        <v>1306</v>
      </c>
      <c r="P1177" s="3" t="s">
        <v>36</v>
      </c>
      <c r="Q1177" s="3"/>
      <c r="R1177" s="4">
        <v>45996</v>
      </c>
      <c r="S1177" s="3" t="s">
        <v>37</v>
      </c>
      <c r="T1177" s="3" t="s">
        <v>38</v>
      </c>
      <c r="U1177" s="3" t="s">
        <v>39</v>
      </c>
      <c r="V1177" s="3">
        <v>125.59</v>
      </c>
      <c r="W1177" s="3">
        <v>53.38</v>
      </c>
      <c r="X1177" s="3">
        <v>50.55</v>
      </c>
      <c r="Y1177" s="3">
        <v>21.66</v>
      </c>
    </row>
    <row r="1178" spans="1:25" ht="72.75" x14ac:dyDescent="0.25">
      <c r="A1178" s="3" t="s">
        <v>26</v>
      </c>
      <c r="B1178" s="3" t="s">
        <v>27</v>
      </c>
      <c r="C1178" s="3" t="s">
        <v>28</v>
      </c>
      <c r="D1178" s="3" t="s">
        <v>29</v>
      </c>
      <c r="E1178" s="3" t="s">
        <v>47</v>
      </c>
      <c r="F1178" s="3" t="s">
        <v>31</v>
      </c>
      <c r="G1178" s="3" t="s">
        <v>47</v>
      </c>
      <c r="H1178" s="3" t="s">
        <v>48</v>
      </c>
      <c r="I1178" s="3">
        <v>2025</v>
      </c>
      <c r="J1178" s="3" t="str">
        <f>CONCATENATE("54820211305")</f>
        <v>54820211305</v>
      </c>
      <c r="K1178" s="3" t="s">
        <v>33</v>
      </c>
      <c r="L1178" s="3"/>
      <c r="M1178" s="3" t="s">
        <v>131</v>
      </c>
      <c r="N1178" s="3" t="str">
        <f>CONCATENATE("PTTNMR51A66D451H")</f>
        <v>PTTNMR51A66D451H</v>
      </c>
      <c r="O1178" s="3" t="s">
        <v>1307</v>
      </c>
      <c r="P1178" s="3" t="s">
        <v>36</v>
      </c>
      <c r="Q1178" s="3"/>
      <c r="R1178" s="4">
        <v>45996</v>
      </c>
      <c r="S1178" s="3" t="s">
        <v>37</v>
      </c>
      <c r="T1178" s="3" t="s">
        <v>38</v>
      </c>
      <c r="U1178" s="3" t="s">
        <v>39</v>
      </c>
      <c r="V1178" s="3">
        <v>76.42</v>
      </c>
      <c r="W1178" s="3">
        <v>32.479999999999997</v>
      </c>
      <c r="X1178" s="3">
        <v>30.76</v>
      </c>
      <c r="Y1178" s="3">
        <v>13.18</v>
      </c>
    </row>
    <row r="1179" spans="1:25" ht="60.75" x14ac:dyDescent="0.25">
      <c r="A1179" s="3" t="s">
        <v>26</v>
      </c>
      <c r="B1179" s="3" t="s">
        <v>27</v>
      </c>
      <c r="C1179" s="3" t="s">
        <v>28</v>
      </c>
      <c r="D1179" s="3" t="s">
        <v>50</v>
      </c>
      <c r="E1179" s="3" t="s">
        <v>147</v>
      </c>
      <c r="F1179" s="3" t="s">
        <v>52</v>
      </c>
      <c r="G1179" s="3" t="s">
        <v>147</v>
      </c>
      <c r="H1179" s="3" t="s">
        <v>45</v>
      </c>
      <c r="I1179" s="3">
        <v>2025</v>
      </c>
      <c r="J1179" s="3" t="str">
        <f>CONCATENATE("54820203914")</f>
        <v>54820203914</v>
      </c>
      <c r="K1179" s="3" t="s">
        <v>33</v>
      </c>
      <c r="L1179" s="3"/>
      <c r="M1179" s="3" t="s">
        <v>131</v>
      </c>
      <c r="N1179" s="3" t="str">
        <f>CONCATENATE("VRLCLD61E14L500W")</f>
        <v>VRLCLD61E14L500W</v>
      </c>
      <c r="O1179" s="3" t="s">
        <v>1308</v>
      </c>
      <c r="P1179" s="3" t="s">
        <v>36</v>
      </c>
      <c r="Q1179" s="3"/>
      <c r="R1179" s="4">
        <v>45996</v>
      </c>
      <c r="S1179" s="3" t="s">
        <v>37</v>
      </c>
      <c r="T1179" s="3" t="s">
        <v>38</v>
      </c>
      <c r="U1179" s="3" t="s">
        <v>39</v>
      </c>
      <c r="V1179" s="3">
        <v>91.93</v>
      </c>
      <c r="W1179" s="3">
        <v>39.07</v>
      </c>
      <c r="X1179" s="3">
        <v>37</v>
      </c>
      <c r="Y1179" s="3">
        <v>15.86</v>
      </c>
    </row>
    <row r="1180" spans="1:25" ht="60.75" x14ac:dyDescent="0.25">
      <c r="A1180" s="3" t="s">
        <v>26</v>
      </c>
      <c r="B1180" s="3" t="s">
        <v>27</v>
      </c>
      <c r="C1180" s="3" t="s">
        <v>28</v>
      </c>
      <c r="D1180" s="3" t="s">
        <v>50</v>
      </c>
      <c r="E1180" s="3" t="s">
        <v>252</v>
      </c>
      <c r="F1180" s="3" t="s">
        <v>52</v>
      </c>
      <c r="G1180" s="3" t="s">
        <v>252</v>
      </c>
      <c r="H1180" s="3" t="s">
        <v>45</v>
      </c>
      <c r="I1180" s="3">
        <v>2025</v>
      </c>
      <c r="J1180" s="3" t="str">
        <f>CONCATENATE("54820166640")</f>
        <v>54820166640</v>
      </c>
      <c r="K1180" s="3" t="s">
        <v>33</v>
      </c>
      <c r="L1180" s="3"/>
      <c r="M1180" s="3" t="s">
        <v>131</v>
      </c>
      <c r="N1180" s="3" t="str">
        <f>CONCATENATE("BRTMRP53A53D749K")</f>
        <v>BRTMRP53A53D749K</v>
      </c>
      <c r="O1180" s="3" t="s">
        <v>1309</v>
      </c>
      <c r="P1180" s="3" t="s">
        <v>36</v>
      </c>
      <c r="Q1180" s="3"/>
      <c r="R1180" s="4">
        <v>45996</v>
      </c>
      <c r="S1180" s="3" t="s">
        <v>37</v>
      </c>
      <c r="T1180" s="3" t="s">
        <v>38</v>
      </c>
      <c r="U1180" s="3" t="s">
        <v>39</v>
      </c>
      <c r="V1180" s="3">
        <v>252.23</v>
      </c>
      <c r="W1180" s="3">
        <v>107.2</v>
      </c>
      <c r="X1180" s="3">
        <v>101.52</v>
      </c>
      <c r="Y1180" s="3">
        <v>43.51</v>
      </c>
    </row>
    <row r="1181" spans="1:25" ht="60.75" x14ac:dyDescent="0.25">
      <c r="A1181" s="3" t="s">
        <v>26</v>
      </c>
      <c r="B1181" s="3" t="s">
        <v>27</v>
      </c>
      <c r="C1181" s="3" t="s">
        <v>28</v>
      </c>
      <c r="D1181" s="3" t="s">
        <v>29</v>
      </c>
      <c r="E1181" s="3" t="s">
        <v>47</v>
      </c>
      <c r="F1181" s="3" t="s">
        <v>31</v>
      </c>
      <c r="G1181" s="3" t="s">
        <v>47</v>
      </c>
      <c r="H1181" s="3" t="s">
        <v>48</v>
      </c>
      <c r="I1181" s="3">
        <v>2025</v>
      </c>
      <c r="J1181" s="3" t="str">
        <f>CONCATENATE("54820178132")</f>
        <v>54820178132</v>
      </c>
      <c r="K1181" s="3" t="s">
        <v>33</v>
      </c>
      <c r="L1181" s="3"/>
      <c r="M1181" s="3" t="s">
        <v>131</v>
      </c>
      <c r="N1181" s="3" t="str">
        <f>CONCATENATE("CLOSML91E26D451J")</f>
        <v>CLOSML91E26D451J</v>
      </c>
      <c r="O1181" s="3" t="s">
        <v>1310</v>
      </c>
      <c r="P1181" s="3" t="s">
        <v>36</v>
      </c>
      <c r="Q1181" s="3"/>
      <c r="R1181" s="4">
        <v>45996</v>
      </c>
      <c r="S1181" s="3" t="s">
        <v>37</v>
      </c>
      <c r="T1181" s="3" t="s">
        <v>38</v>
      </c>
      <c r="U1181" s="3" t="s">
        <v>39</v>
      </c>
      <c r="V1181" s="3">
        <v>87.33</v>
      </c>
      <c r="W1181" s="3">
        <v>37.119999999999997</v>
      </c>
      <c r="X1181" s="3">
        <v>35.15</v>
      </c>
      <c r="Y1181" s="3">
        <v>15.06</v>
      </c>
    </row>
    <row r="1182" spans="1:25" ht="60.75" x14ac:dyDescent="0.25">
      <c r="A1182" s="3" t="s">
        <v>26</v>
      </c>
      <c r="B1182" s="3" t="s">
        <v>27</v>
      </c>
      <c r="C1182" s="3" t="s">
        <v>28</v>
      </c>
      <c r="D1182" s="3" t="s">
        <v>50</v>
      </c>
      <c r="E1182" s="3" t="s">
        <v>147</v>
      </c>
      <c r="F1182" s="3" t="s">
        <v>52</v>
      </c>
      <c r="G1182" s="3" t="s">
        <v>147</v>
      </c>
      <c r="H1182" s="3" t="s">
        <v>45</v>
      </c>
      <c r="I1182" s="3">
        <v>2025</v>
      </c>
      <c r="J1182" s="3" t="str">
        <f>CONCATENATE("54820200621")</f>
        <v>54820200621</v>
      </c>
      <c r="K1182" s="3" t="s">
        <v>33</v>
      </c>
      <c r="L1182" s="3"/>
      <c r="M1182" s="3" t="s">
        <v>131</v>
      </c>
      <c r="N1182" s="3" t="str">
        <f>CONCATENATE("GRSMNL68H17F715Z")</f>
        <v>GRSMNL68H17F715Z</v>
      </c>
      <c r="O1182" s="3" t="s">
        <v>1311</v>
      </c>
      <c r="P1182" s="3" t="s">
        <v>36</v>
      </c>
      <c r="Q1182" s="3"/>
      <c r="R1182" s="4">
        <v>45996</v>
      </c>
      <c r="S1182" s="3" t="s">
        <v>37</v>
      </c>
      <c r="T1182" s="3" t="s">
        <v>38</v>
      </c>
      <c r="U1182" s="3" t="s">
        <v>39</v>
      </c>
      <c r="V1182" s="3">
        <v>75.16</v>
      </c>
      <c r="W1182" s="3">
        <v>31.94</v>
      </c>
      <c r="X1182" s="3">
        <v>30.25</v>
      </c>
      <c r="Y1182" s="3">
        <v>12.97</v>
      </c>
    </row>
    <row r="1183" spans="1:25" ht="60.75" x14ac:dyDescent="0.25">
      <c r="A1183" s="3" t="s">
        <v>26</v>
      </c>
      <c r="B1183" s="3" t="s">
        <v>27</v>
      </c>
      <c r="C1183" s="3" t="s">
        <v>28</v>
      </c>
      <c r="D1183" s="3" t="s">
        <v>50</v>
      </c>
      <c r="E1183" s="3" t="s">
        <v>147</v>
      </c>
      <c r="F1183" s="3" t="s">
        <v>52</v>
      </c>
      <c r="G1183" s="3" t="s">
        <v>147</v>
      </c>
      <c r="H1183" s="3" t="s">
        <v>45</v>
      </c>
      <c r="I1183" s="3">
        <v>2025</v>
      </c>
      <c r="J1183" s="3" t="str">
        <f>CONCATENATE("54820180401")</f>
        <v>54820180401</v>
      </c>
      <c r="K1183" s="3" t="s">
        <v>33</v>
      </c>
      <c r="L1183" s="3"/>
      <c r="M1183" s="3" t="s">
        <v>131</v>
      </c>
      <c r="N1183" s="3" t="str">
        <f>CONCATENATE("PPAPCL53T11L500C")</f>
        <v>PPAPCL53T11L500C</v>
      </c>
      <c r="O1183" s="3" t="s">
        <v>1312</v>
      </c>
      <c r="P1183" s="3" t="s">
        <v>36</v>
      </c>
      <c r="Q1183" s="3"/>
      <c r="R1183" s="4">
        <v>45996</v>
      </c>
      <c r="S1183" s="3" t="s">
        <v>37</v>
      </c>
      <c r="T1183" s="3" t="s">
        <v>38</v>
      </c>
      <c r="U1183" s="3" t="s">
        <v>39</v>
      </c>
      <c r="V1183" s="5">
        <v>1032.6400000000001</v>
      </c>
      <c r="W1183" s="3">
        <v>438.87</v>
      </c>
      <c r="X1183" s="3">
        <v>415.64</v>
      </c>
      <c r="Y1183" s="3">
        <v>178.13</v>
      </c>
    </row>
    <row r="1184" spans="1:25" ht="60.75" x14ac:dyDescent="0.25">
      <c r="A1184" s="3" t="s">
        <v>26</v>
      </c>
      <c r="B1184" s="3" t="s">
        <v>27</v>
      </c>
      <c r="C1184" s="3" t="s">
        <v>28</v>
      </c>
      <c r="D1184" s="3" t="s">
        <v>29</v>
      </c>
      <c r="E1184" s="3" t="s">
        <v>186</v>
      </c>
      <c r="F1184" s="3" t="s">
        <v>31</v>
      </c>
      <c r="G1184" s="3" t="s">
        <v>186</v>
      </c>
      <c r="H1184" s="3" t="s">
        <v>45</v>
      </c>
      <c r="I1184" s="3">
        <v>2025</v>
      </c>
      <c r="J1184" s="3" t="str">
        <f>CONCATENATE("54820027024")</f>
        <v>54820027024</v>
      </c>
      <c r="K1184" s="3" t="s">
        <v>33</v>
      </c>
      <c r="L1184" s="3"/>
      <c r="M1184" s="3" t="s">
        <v>131</v>
      </c>
      <c r="N1184" s="3" t="str">
        <f>CONCATENATE("CCCPRZ62C67L500A")</f>
        <v>CCCPRZ62C67L500A</v>
      </c>
      <c r="O1184" s="3" t="s">
        <v>1313</v>
      </c>
      <c r="P1184" s="3" t="s">
        <v>36</v>
      </c>
      <c r="Q1184" s="3"/>
      <c r="R1184" s="4">
        <v>45996</v>
      </c>
      <c r="S1184" s="3" t="s">
        <v>37</v>
      </c>
      <c r="T1184" s="3" t="s">
        <v>38</v>
      </c>
      <c r="U1184" s="3" t="s">
        <v>39</v>
      </c>
      <c r="V1184" s="3">
        <v>55.85</v>
      </c>
      <c r="W1184" s="3">
        <v>23.74</v>
      </c>
      <c r="X1184" s="3">
        <v>22.48</v>
      </c>
      <c r="Y1184" s="3">
        <v>9.6300000000000008</v>
      </c>
    </row>
    <row r="1185" spans="1:25" ht="60.75" x14ac:dyDescent="0.25">
      <c r="A1185" s="3" t="s">
        <v>26</v>
      </c>
      <c r="B1185" s="3" t="s">
        <v>27</v>
      </c>
      <c r="C1185" s="3" t="s">
        <v>28</v>
      </c>
      <c r="D1185" s="3" t="s">
        <v>40</v>
      </c>
      <c r="E1185" s="3" t="s">
        <v>54</v>
      </c>
      <c r="F1185" s="3" t="s">
        <v>42</v>
      </c>
      <c r="G1185" s="3" t="s">
        <v>54</v>
      </c>
      <c r="H1185" s="3" t="s">
        <v>45</v>
      </c>
      <c r="I1185" s="3">
        <v>2025</v>
      </c>
      <c r="J1185" s="3" t="str">
        <f>CONCATENATE("54820029467")</f>
        <v>54820029467</v>
      </c>
      <c r="K1185" s="3" t="s">
        <v>33</v>
      </c>
      <c r="L1185" s="3"/>
      <c r="M1185" s="3" t="s">
        <v>131</v>
      </c>
      <c r="N1185" s="3" t="str">
        <f>CONCATENATE("GRRDRN57C08L500D")</f>
        <v>GRRDRN57C08L500D</v>
      </c>
      <c r="O1185" s="3" t="s">
        <v>1314</v>
      </c>
      <c r="P1185" s="3" t="s">
        <v>36</v>
      </c>
      <c r="Q1185" s="3"/>
      <c r="R1185" s="4">
        <v>45996</v>
      </c>
      <c r="S1185" s="3" t="s">
        <v>37</v>
      </c>
      <c r="T1185" s="3" t="s">
        <v>38</v>
      </c>
      <c r="U1185" s="3" t="s">
        <v>39</v>
      </c>
      <c r="V1185" s="3">
        <v>189.03</v>
      </c>
      <c r="W1185" s="3">
        <v>80.34</v>
      </c>
      <c r="X1185" s="3">
        <v>76.08</v>
      </c>
      <c r="Y1185" s="3">
        <v>32.61</v>
      </c>
    </row>
    <row r="1186" spans="1:25" ht="72.75" x14ac:dyDescent="0.25">
      <c r="A1186" s="3" t="s">
        <v>26</v>
      </c>
      <c r="B1186" s="3" t="s">
        <v>27</v>
      </c>
      <c r="C1186" s="3" t="s">
        <v>28</v>
      </c>
      <c r="D1186" s="3" t="s">
        <v>29</v>
      </c>
      <c r="E1186" s="3" t="s">
        <v>119</v>
      </c>
      <c r="F1186" s="3" t="s">
        <v>31</v>
      </c>
      <c r="G1186" s="3" t="s">
        <v>119</v>
      </c>
      <c r="H1186" s="3" t="s">
        <v>96</v>
      </c>
      <c r="I1186" s="3">
        <v>2025</v>
      </c>
      <c r="J1186" s="3" t="str">
        <f>CONCATENATE("54820070727")</f>
        <v>54820070727</v>
      </c>
      <c r="K1186" s="3" t="s">
        <v>33</v>
      </c>
      <c r="L1186" s="3"/>
      <c r="M1186" s="3" t="s">
        <v>131</v>
      </c>
      <c r="N1186" s="3" t="str">
        <f>CONCATENATE("PGLGNE65R17D691M")</f>
        <v>PGLGNE65R17D691M</v>
      </c>
      <c r="O1186" s="3" t="s">
        <v>1315</v>
      </c>
      <c r="P1186" s="3" t="s">
        <v>36</v>
      </c>
      <c r="Q1186" s="3"/>
      <c r="R1186" s="4">
        <v>45996</v>
      </c>
      <c r="S1186" s="3" t="s">
        <v>37</v>
      </c>
      <c r="T1186" s="3" t="s">
        <v>38</v>
      </c>
      <c r="U1186" s="3" t="s">
        <v>39</v>
      </c>
      <c r="V1186" s="3">
        <v>296.60000000000002</v>
      </c>
      <c r="W1186" s="3">
        <v>126.06</v>
      </c>
      <c r="X1186" s="3">
        <v>119.38</v>
      </c>
      <c r="Y1186" s="3">
        <v>51.16</v>
      </c>
    </row>
    <row r="1187" spans="1:25" ht="60.75" x14ac:dyDescent="0.25">
      <c r="A1187" s="3" t="s">
        <v>26</v>
      </c>
      <c r="B1187" s="3" t="s">
        <v>27</v>
      </c>
      <c r="C1187" s="3" t="s">
        <v>28</v>
      </c>
      <c r="D1187" s="3" t="s">
        <v>29</v>
      </c>
      <c r="E1187" s="3" t="s">
        <v>119</v>
      </c>
      <c r="F1187" s="3" t="s">
        <v>31</v>
      </c>
      <c r="G1187" s="3" t="s">
        <v>119</v>
      </c>
      <c r="H1187" s="3" t="s">
        <v>96</v>
      </c>
      <c r="I1187" s="3">
        <v>2025</v>
      </c>
      <c r="J1187" s="3" t="str">
        <f>CONCATENATE("54820069182")</f>
        <v>54820069182</v>
      </c>
      <c r="K1187" s="3" t="s">
        <v>33</v>
      </c>
      <c r="L1187" s="3"/>
      <c r="M1187" s="3" t="s">
        <v>131</v>
      </c>
      <c r="N1187" s="3" t="str">
        <f>CONCATENATE("BSSMRC83B22A252S")</f>
        <v>BSSMRC83B22A252S</v>
      </c>
      <c r="O1187" s="3" t="s">
        <v>1316</v>
      </c>
      <c r="P1187" s="3" t="s">
        <v>36</v>
      </c>
      <c r="Q1187" s="3"/>
      <c r="R1187" s="4">
        <v>45996</v>
      </c>
      <c r="S1187" s="3" t="s">
        <v>37</v>
      </c>
      <c r="T1187" s="3" t="s">
        <v>38</v>
      </c>
      <c r="U1187" s="3" t="s">
        <v>39</v>
      </c>
      <c r="V1187" s="3">
        <v>121.55</v>
      </c>
      <c r="W1187" s="3">
        <v>51.66</v>
      </c>
      <c r="X1187" s="3">
        <v>48.92</v>
      </c>
      <c r="Y1187" s="3">
        <v>20.97</v>
      </c>
    </row>
    <row r="1188" spans="1:25" ht="36.75" x14ac:dyDescent="0.25">
      <c r="A1188" s="3" t="s">
        <v>26</v>
      </c>
      <c r="B1188" s="3" t="s">
        <v>27</v>
      </c>
      <c r="C1188" s="3" t="s">
        <v>28</v>
      </c>
      <c r="D1188" s="3" t="s">
        <v>40</v>
      </c>
      <c r="E1188" s="3" t="s">
        <v>54</v>
      </c>
      <c r="F1188" s="3" t="s">
        <v>42</v>
      </c>
      <c r="G1188" s="3" t="s">
        <v>54</v>
      </c>
      <c r="H1188" s="3" t="s">
        <v>45</v>
      </c>
      <c r="I1188" s="3">
        <v>2025</v>
      </c>
      <c r="J1188" s="3" t="str">
        <f>CONCATENATE("54820019112")</f>
        <v>54820019112</v>
      </c>
      <c r="K1188" s="3" t="s">
        <v>33</v>
      </c>
      <c r="L1188" s="3"/>
      <c r="M1188" s="3" t="s">
        <v>131</v>
      </c>
      <c r="N1188" s="3" t="str">
        <f>CONCATENATE("00635670417")</f>
        <v>00635670417</v>
      </c>
      <c r="O1188" s="3" t="s">
        <v>1317</v>
      </c>
      <c r="P1188" s="3" t="s">
        <v>36</v>
      </c>
      <c r="Q1188" s="3"/>
      <c r="R1188" s="4">
        <v>45996</v>
      </c>
      <c r="S1188" s="3" t="s">
        <v>37</v>
      </c>
      <c r="T1188" s="3" t="s">
        <v>38</v>
      </c>
      <c r="U1188" s="3" t="s">
        <v>39</v>
      </c>
      <c r="V1188" s="3">
        <v>82.69</v>
      </c>
      <c r="W1188" s="3">
        <v>35.14</v>
      </c>
      <c r="X1188" s="3">
        <v>33.28</v>
      </c>
      <c r="Y1188" s="3">
        <v>14.27</v>
      </c>
    </row>
    <row r="1189" spans="1:25" ht="36.75" x14ac:dyDescent="0.25">
      <c r="A1189" s="3" t="s">
        <v>26</v>
      </c>
      <c r="B1189" s="3" t="s">
        <v>27</v>
      </c>
      <c r="C1189" s="3" t="s">
        <v>28</v>
      </c>
      <c r="D1189" s="3" t="s">
        <v>29</v>
      </c>
      <c r="E1189" s="3" t="s">
        <v>72</v>
      </c>
      <c r="F1189" s="3" t="s">
        <v>31</v>
      </c>
      <c r="G1189" s="3" t="s">
        <v>72</v>
      </c>
      <c r="H1189" s="3" t="s">
        <v>45</v>
      </c>
      <c r="I1189" s="3">
        <v>2025</v>
      </c>
      <c r="J1189" s="3" t="str">
        <f>CONCATENATE("54820058086")</f>
        <v>54820058086</v>
      </c>
      <c r="K1189" s="3" t="s">
        <v>33</v>
      </c>
      <c r="L1189" s="3"/>
      <c r="M1189" s="3" t="s">
        <v>131</v>
      </c>
      <c r="N1189" s="3" t="str">
        <f>CONCATENATE("02577820414")</f>
        <v>02577820414</v>
      </c>
      <c r="O1189" s="3" t="s">
        <v>1318</v>
      </c>
      <c r="P1189" s="3" t="s">
        <v>36</v>
      </c>
      <c r="Q1189" s="3"/>
      <c r="R1189" s="4">
        <v>45996</v>
      </c>
      <c r="S1189" s="3" t="s">
        <v>37</v>
      </c>
      <c r="T1189" s="3" t="s">
        <v>38</v>
      </c>
      <c r="U1189" s="3" t="s">
        <v>39</v>
      </c>
      <c r="V1189" s="3">
        <v>239.11</v>
      </c>
      <c r="W1189" s="3">
        <v>101.62</v>
      </c>
      <c r="X1189" s="3">
        <v>96.24</v>
      </c>
      <c r="Y1189" s="3">
        <v>41.25</v>
      </c>
    </row>
    <row r="1190" spans="1:25" ht="60.75" x14ac:dyDescent="0.25">
      <c r="A1190" s="3" t="s">
        <v>26</v>
      </c>
      <c r="B1190" s="3" t="s">
        <v>27</v>
      </c>
      <c r="C1190" s="3" t="s">
        <v>28</v>
      </c>
      <c r="D1190" s="3" t="s">
        <v>29</v>
      </c>
      <c r="E1190" s="3" t="s">
        <v>136</v>
      </c>
      <c r="F1190" s="3" t="s">
        <v>31</v>
      </c>
      <c r="G1190" s="3" t="s">
        <v>136</v>
      </c>
      <c r="H1190" s="3" t="s">
        <v>48</v>
      </c>
      <c r="I1190" s="3">
        <v>2025</v>
      </c>
      <c r="J1190" s="3" t="str">
        <f>CONCATENATE("54820038815")</f>
        <v>54820038815</v>
      </c>
      <c r="K1190" s="3" t="s">
        <v>33</v>
      </c>
      <c r="L1190" s="3"/>
      <c r="M1190" s="3" t="s">
        <v>131</v>
      </c>
      <c r="N1190" s="3" t="str">
        <f>CONCATENATE("GSTNZR53L07A366J")</f>
        <v>GSTNZR53L07A366J</v>
      </c>
      <c r="O1190" s="3" t="s">
        <v>1319</v>
      </c>
      <c r="P1190" s="3" t="s">
        <v>36</v>
      </c>
      <c r="Q1190" s="3"/>
      <c r="R1190" s="4">
        <v>45996</v>
      </c>
      <c r="S1190" s="3" t="s">
        <v>37</v>
      </c>
      <c r="T1190" s="3" t="s">
        <v>38</v>
      </c>
      <c r="U1190" s="3" t="s">
        <v>39</v>
      </c>
      <c r="V1190" s="3">
        <v>79.709999999999994</v>
      </c>
      <c r="W1190" s="3">
        <v>33.880000000000003</v>
      </c>
      <c r="X1190" s="3">
        <v>32.08</v>
      </c>
      <c r="Y1190" s="3">
        <v>13.75</v>
      </c>
    </row>
    <row r="1191" spans="1:25" ht="72.75" x14ac:dyDescent="0.25">
      <c r="A1191" s="3" t="s">
        <v>26</v>
      </c>
      <c r="B1191" s="3" t="s">
        <v>27</v>
      </c>
      <c r="C1191" s="3" t="s">
        <v>28</v>
      </c>
      <c r="D1191" s="3" t="s">
        <v>29</v>
      </c>
      <c r="E1191" s="3" t="s">
        <v>136</v>
      </c>
      <c r="F1191" s="3" t="s">
        <v>31</v>
      </c>
      <c r="G1191" s="3" t="s">
        <v>136</v>
      </c>
      <c r="H1191" s="3" t="s">
        <v>48</v>
      </c>
      <c r="I1191" s="3">
        <v>2025</v>
      </c>
      <c r="J1191" s="3" t="str">
        <f>CONCATENATE("54820117213")</f>
        <v>54820117213</v>
      </c>
      <c r="K1191" s="3" t="s">
        <v>33</v>
      </c>
      <c r="L1191" s="3"/>
      <c r="M1191" s="3" t="s">
        <v>131</v>
      </c>
      <c r="N1191" s="3" t="str">
        <f>CONCATENATE("TTVMHL92B11D451U")</f>
        <v>TTVMHL92B11D451U</v>
      </c>
      <c r="O1191" s="3" t="s">
        <v>1320</v>
      </c>
      <c r="P1191" s="3" t="s">
        <v>36</v>
      </c>
      <c r="Q1191" s="3"/>
      <c r="R1191" s="4">
        <v>45996</v>
      </c>
      <c r="S1191" s="3" t="s">
        <v>37</v>
      </c>
      <c r="T1191" s="3" t="s">
        <v>38</v>
      </c>
      <c r="U1191" s="3" t="s">
        <v>39</v>
      </c>
      <c r="V1191" s="3">
        <v>344.11</v>
      </c>
      <c r="W1191" s="3">
        <v>146.25</v>
      </c>
      <c r="X1191" s="3">
        <v>138.5</v>
      </c>
      <c r="Y1191" s="3">
        <v>59.36</v>
      </c>
    </row>
    <row r="1192" spans="1:25" ht="60.75" x14ac:dyDescent="0.25">
      <c r="A1192" s="3" t="s">
        <v>26</v>
      </c>
      <c r="B1192" s="3" t="s">
        <v>27</v>
      </c>
      <c r="C1192" s="3" t="s">
        <v>28</v>
      </c>
      <c r="D1192" s="3" t="s">
        <v>50</v>
      </c>
      <c r="E1192" s="3" t="s">
        <v>60</v>
      </c>
      <c r="F1192" s="3" t="s">
        <v>52</v>
      </c>
      <c r="G1192" s="3" t="s">
        <v>60</v>
      </c>
      <c r="H1192" s="3" t="s">
        <v>45</v>
      </c>
      <c r="I1192" s="3">
        <v>2025</v>
      </c>
      <c r="J1192" s="3" t="str">
        <f>CONCATENATE("54820192703")</f>
        <v>54820192703</v>
      </c>
      <c r="K1192" s="3" t="s">
        <v>33</v>
      </c>
      <c r="L1192" s="3"/>
      <c r="M1192" s="3" t="s">
        <v>131</v>
      </c>
      <c r="N1192" s="3" t="str">
        <f>CONCATENATE("PSSNRC66T15D808Q")</f>
        <v>PSSNRC66T15D808Q</v>
      </c>
      <c r="O1192" s="3" t="s">
        <v>1321</v>
      </c>
      <c r="P1192" s="3" t="s">
        <v>36</v>
      </c>
      <c r="Q1192" s="3"/>
      <c r="R1192" s="4">
        <v>45996</v>
      </c>
      <c r="S1192" s="3" t="s">
        <v>37</v>
      </c>
      <c r="T1192" s="3" t="s">
        <v>38</v>
      </c>
      <c r="U1192" s="3" t="s">
        <v>39</v>
      </c>
      <c r="V1192" s="3">
        <v>168.1</v>
      </c>
      <c r="W1192" s="3">
        <v>71.44</v>
      </c>
      <c r="X1192" s="3">
        <v>67.66</v>
      </c>
      <c r="Y1192" s="3">
        <v>29</v>
      </c>
    </row>
    <row r="1193" spans="1:25" ht="36.75" x14ac:dyDescent="0.25">
      <c r="A1193" s="3" t="s">
        <v>26</v>
      </c>
      <c r="B1193" s="3" t="s">
        <v>27</v>
      </c>
      <c r="C1193" s="3" t="s">
        <v>28</v>
      </c>
      <c r="D1193" s="3" t="s">
        <v>91</v>
      </c>
      <c r="E1193" s="3" t="s">
        <v>151</v>
      </c>
      <c r="F1193" s="3" t="s">
        <v>93</v>
      </c>
      <c r="G1193" s="3" t="s">
        <v>151</v>
      </c>
      <c r="H1193" s="3" t="s">
        <v>45</v>
      </c>
      <c r="I1193" s="3">
        <v>2025</v>
      </c>
      <c r="J1193" s="3" t="str">
        <f>CONCATENATE("54820175195")</f>
        <v>54820175195</v>
      </c>
      <c r="K1193" s="3" t="s">
        <v>33</v>
      </c>
      <c r="L1193" s="3"/>
      <c r="M1193" s="3" t="s">
        <v>131</v>
      </c>
      <c r="N1193" s="3" t="str">
        <f>CONCATENATE("02671600415")</f>
        <v>02671600415</v>
      </c>
      <c r="O1193" s="3" t="s">
        <v>1322</v>
      </c>
      <c r="P1193" s="3" t="s">
        <v>36</v>
      </c>
      <c r="Q1193" s="3"/>
      <c r="R1193" s="4">
        <v>45996</v>
      </c>
      <c r="S1193" s="3" t="s">
        <v>37</v>
      </c>
      <c r="T1193" s="3" t="s">
        <v>38</v>
      </c>
      <c r="U1193" s="3" t="s">
        <v>39</v>
      </c>
      <c r="V1193" s="3">
        <v>77.47</v>
      </c>
      <c r="W1193" s="3">
        <v>32.92</v>
      </c>
      <c r="X1193" s="3">
        <v>31.18</v>
      </c>
      <c r="Y1193" s="3">
        <v>13.37</v>
      </c>
    </row>
    <row r="1194" spans="1:25" ht="72.75" x14ac:dyDescent="0.25">
      <c r="A1194" s="3" t="s">
        <v>26</v>
      </c>
      <c r="B1194" s="3" t="s">
        <v>27</v>
      </c>
      <c r="C1194" s="3" t="s">
        <v>28</v>
      </c>
      <c r="D1194" s="3" t="s">
        <v>29</v>
      </c>
      <c r="E1194" s="3" t="s">
        <v>56</v>
      </c>
      <c r="F1194" s="3" t="s">
        <v>31</v>
      </c>
      <c r="G1194" s="3" t="s">
        <v>56</v>
      </c>
      <c r="H1194" s="3" t="s">
        <v>32</v>
      </c>
      <c r="I1194" s="3">
        <v>2025</v>
      </c>
      <c r="J1194" s="3" t="str">
        <f>CONCATENATE("54820034947")</f>
        <v>54820034947</v>
      </c>
      <c r="K1194" s="3" t="s">
        <v>33</v>
      </c>
      <c r="L1194" s="3"/>
      <c r="M1194" s="3" t="s">
        <v>131</v>
      </c>
      <c r="N1194" s="3" t="str">
        <f>CONCATENATE("BNTSRG60D27B474W")</f>
        <v>BNTSRG60D27B474W</v>
      </c>
      <c r="O1194" s="3" t="s">
        <v>1323</v>
      </c>
      <c r="P1194" s="3" t="s">
        <v>36</v>
      </c>
      <c r="Q1194" s="3"/>
      <c r="R1194" s="4">
        <v>45996</v>
      </c>
      <c r="S1194" s="3" t="s">
        <v>37</v>
      </c>
      <c r="T1194" s="3" t="s">
        <v>38</v>
      </c>
      <c r="U1194" s="3" t="s">
        <v>39</v>
      </c>
      <c r="V1194" s="3">
        <v>65.52</v>
      </c>
      <c r="W1194" s="3">
        <v>27.85</v>
      </c>
      <c r="X1194" s="3">
        <v>26.37</v>
      </c>
      <c r="Y1194" s="3">
        <v>11.3</v>
      </c>
    </row>
    <row r="1195" spans="1:25" ht="60.75" x14ac:dyDescent="0.25">
      <c r="A1195" s="3" t="s">
        <v>26</v>
      </c>
      <c r="B1195" s="3" t="s">
        <v>27</v>
      </c>
      <c r="C1195" s="3" t="s">
        <v>28</v>
      </c>
      <c r="D1195" s="3" t="s">
        <v>50</v>
      </c>
      <c r="E1195" s="3" t="s">
        <v>173</v>
      </c>
      <c r="F1195" s="3" t="s">
        <v>52</v>
      </c>
      <c r="G1195" s="3" t="s">
        <v>173</v>
      </c>
      <c r="H1195" s="3" t="s">
        <v>45</v>
      </c>
      <c r="I1195" s="3">
        <v>2025</v>
      </c>
      <c r="J1195" s="3" t="str">
        <f>CONCATENATE("54820036702")</f>
        <v>54820036702</v>
      </c>
      <c r="K1195" s="3" t="s">
        <v>33</v>
      </c>
      <c r="L1195" s="3"/>
      <c r="M1195" s="3" t="s">
        <v>131</v>
      </c>
      <c r="N1195" s="3" t="str">
        <f>CONCATENATE("TRVFRC80E03I459E")</f>
        <v>TRVFRC80E03I459E</v>
      </c>
      <c r="O1195" s="3" t="s">
        <v>1324</v>
      </c>
      <c r="P1195" s="3" t="s">
        <v>36</v>
      </c>
      <c r="Q1195" s="3"/>
      <c r="R1195" s="4">
        <v>45996</v>
      </c>
      <c r="S1195" s="3" t="s">
        <v>37</v>
      </c>
      <c r="T1195" s="3" t="s">
        <v>38</v>
      </c>
      <c r="U1195" s="3" t="s">
        <v>39</v>
      </c>
      <c r="V1195" s="3">
        <v>94.06</v>
      </c>
      <c r="W1195" s="3">
        <v>39.979999999999997</v>
      </c>
      <c r="X1195" s="3">
        <v>37.86</v>
      </c>
      <c r="Y1195" s="3">
        <v>16.22</v>
      </c>
    </row>
    <row r="1196" spans="1:25" ht="60.75" x14ac:dyDescent="0.25">
      <c r="A1196" s="3" t="s">
        <v>26</v>
      </c>
      <c r="B1196" s="3" t="s">
        <v>27</v>
      </c>
      <c r="C1196" s="3" t="s">
        <v>28</v>
      </c>
      <c r="D1196" s="3" t="s">
        <v>40</v>
      </c>
      <c r="E1196" s="3" t="s">
        <v>44</v>
      </c>
      <c r="F1196" s="3" t="s">
        <v>42</v>
      </c>
      <c r="G1196" s="3" t="s">
        <v>44</v>
      </c>
      <c r="H1196" s="3" t="s">
        <v>32</v>
      </c>
      <c r="I1196" s="3">
        <v>2025</v>
      </c>
      <c r="J1196" s="3" t="str">
        <f>CONCATENATE("54820058540")</f>
        <v>54820058540</v>
      </c>
      <c r="K1196" s="3" t="s">
        <v>33</v>
      </c>
      <c r="L1196" s="3"/>
      <c r="M1196" s="3" t="s">
        <v>131</v>
      </c>
      <c r="N1196" s="3" t="str">
        <f>CONCATENATE("QNTGRT90L64E783M")</f>
        <v>QNTGRT90L64E783M</v>
      </c>
      <c r="O1196" s="3" t="s">
        <v>1325</v>
      </c>
      <c r="P1196" s="3" t="s">
        <v>36</v>
      </c>
      <c r="Q1196" s="3"/>
      <c r="R1196" s="4">
        <v>45996</v>
      </c>
      <c r="S1196" s="3" t="s">
        <v>37</v>
      </c>
      <c r="T1196" s="3" t="s">
        <v>38</v>
      </c>
      <c r="U1196" s="3" t="s">
        <v>39</v>
      </c>
      <c r="V1196" s="3">
        <v>169.2</v>
      </c>
      <c r="W1196" s="3">
        <v>71.91</v>
      </c>
      <c r="X1196" s="3">
        <v>68.099999999999994</v>
      </c>
      <c r="Y1196" s="3">
        <v>29.19</v>
      </c>
    </row>
    <row r="1197" spans="1:25" ht="72.75" x14ac:dyDescent="0.25">
      <c r="A1197" s="3" t="s">
        <v>26</v>
      </c>
      <c r="B1197" s="3" t="s">
        <v>27</v>
      </c>
      <c r="C1197" s="3" t="s">
        <v>28</v>
      </c>
      <c r="D1197" s="3" t="s">
        <v>29</v>
      </c>
      <c r="E1197" s="3" t="s">
        <v>119</v>
      </c>
      <c r="F1197" s="3" t="s">
        <v>31</v>
      </c>
      <c r="G1197" s="3" t="s">
        <v>119</v>
      </c>
      <c r="H1197" s="3" t="s">
        <v>96</v>
      </c>
      <c r="I1197" s="3">
        <v>2025</v>
      </c>
      <c r="J1197" s="3" t="str">
        <f>CONCATENATE("54820259460")</f>
        <v>54820259460</v>
      </c>
      <c r="K1197" s="3" t="s">
        <v>33</v>
      </c>
      <c r="L1197" s="3"/>
      <c r="M1197" s="3" t="s">
        <v>131</v>
      </c>
      <c r="N1197" s="3" t="str">
        <f>CONCATENATE("DMLRRT67H08D635D")</f>
        <v>DMLRRT67H08D635D</v>
      </c>
      <c r="O1197" s="3" t="s">
        <v>1326</v>
      </c>
      <c r="P1197" s="3" t="s">
        <v>36</v>
      </c>
      <c r="Q1197" s="3"/>
      <c r="R1197" s="4">
        <v>45996</v>
      </c>
      <c r="S1197" s="3" t="s">
        <v>37</v>
      </c>
      <c r="T1197" s="3" t="s">
        <v>38</v>
      </c>
      <c r="U1197" s="3" t="s">
        <v>39</v>
      </c>
      <c r="V1197" s="5">
        <v>1054.68</v>
      </c>
      <c r="W1197" s="3">
        <v>448.24</v>
      </c>
      <c r="X1197" s="3">
        <v>424.51</v>
      </c>
      <c r="Y1197" s="3">
        <v>181.93</v>
      </c>
    </row>
    <row r="1198" spans="1:25" ht="60.75" x14ac:dyDescent="0.25">
      <c r="A1198" s="3" t="s">
        <v>26</v>
      </c>
      <c r="B1198" s="3" t="s">
        <v>27</v>
      </c>
      <c r="C1198" s="3" t="s">
        <v>28</v>
      </c>
      <c r="D1198" s="3" t="s">
        <v>29</v>
      </c>
      <c r="E1198" s="3" t="s">
        <v>72</v>
      </c>
      <c r="F1198" s="3" t="s">
        <v>31</v>
      </c>
      <c r="G1198" s="3" t="s">
        <v>72</v>
      </c>
      <c r="H1198" s="3" t="s">
        <v>45</v>
      </c>
      <c r="I1198" s="3">
        <v>2025</v>
      </c>
      <c r="J1198" s="3" t="str">
        <f>CONCATENATE("54820239538")</f>
        <v>54820239538</v>
      </c>
      <c r="K1198" s="3" t="s">
        <v>33</v>
      </c>
      <c r="L1198" s="3"/>
      <c r="M1198" s="3" t="s">
        <v>131</v>
      </c>
      <c r="N1198" s="3" t="str">
        <f>CONCATENATE("DRUFNC63C69B636V")</f>
        <v>DRUFNC63C69B636V</v>
      </c>
      <c r="O1198" s="3" t="s">
        <v>73</v>
      </c>
      <c r="P1198" s="3" t="s">
        <v>36</v>
      </c>
      <c r="Q1198" s="3"/>
      <c r="R1198" s="4">
        <v>45996</v>
      </c>
      <c r="S1198" s="3" t="s">
        <v>37</v>
      </c>
      <c r="T1198" s="3" t="s">
        <v>38</v>
      </c>
      <c r="U1198" s="3" t="s">
        <v>39</v>
      </c>
      <c r="V1198" s="3">
        <v>595.54</v>
      </c>
      <c r="W1198" s="3">
        <v>253.1</v>
      </c>
      <c r="X1198" s="3">
        <v>239.7</v>
      </c>
      <c r="Y1198" s="3">
        <v>102.74</v>
      </c>
    </row>
    <row r="1199" spans="1:25" ht="60.75" x14ac:dyDescent="0.25">
      <c r="A1199" s="3" t="s">
        <v>26</v>
      </c>
      <c r="B1199" s="3" t="s">
        <v>27</v>
      </c>
      <c r="C1199" s="3" t="s">
        <v>28</v>
      </c>
      <c r="D1199" s="3" t="s">
        <v>50</v>
      </c>
      <c r="E1199" s="3" t="s">
        <v>60</v>
      </c>
      <c r="F1199" s="3" t="s">
        <v>52</v>
      </c>
      <c r="G1199" s="3" t="s">
        <v>60</v>
      </c>
      <c r="H1199" s="3" t="s">
        <v>45</v>
      </c>
      <c r="I1199" s="3">
        <v>2025</v>
      </c>
      <c r="J1199" s="3" t="str">
        <f>CONCATENATE("54820109889")</f>
        <v>54820109889</v>
      </c>
      <c r="K1199" s="3" t="s">
        <v>33</v>
      </c>
      <c r="L1199" s="3"/>
      <c r="M1199" s="3" t="s">
        <v>131</v>
      </c>
      <c r="N1199" s="3" t="str">
        <f>CONCATENATE("CNTRNT67R57G453L")</f>
        <v>CNTRNT67R57G453L</v>
      </c>
      <c r="O1199" s="3" t="s">
        <v>1327</v>
      </c>
      <c r="P1199" s="3" t="s">
        <v>36</v>
      </c>
      <c r="Q1199" s="3"/>
      <c r="R1199" s="4">
        <v>45996</v>
      </c>
      <c r="S1199" s="3" t="s">
        <v>37</v>
      </c>
      <c r="T1199" s="3" t="s">
        <v>38</v>
      </c>
      <c r="U1199" s="3" t="s">
        <v>39</v>
      </c>
      <c r="V1199" s="3">
        <v>288.07</v>
      </c>
      <c r="W1199" s="3">
        <v>122.43</v>
      </c>
      <c r="X1199" s="3">
        <v>115.95</v>
      </c>
      <c r="Y1199" s="3">
        <v>49.69</v>
      </c>
    </row>
    <row r="1200" spans="1:25" ht="72.75" x14ac:dyDescent="0.25">
      <c r="A1200" s="3" t="s">
        <v>26</v>
      </c>
      <c r="B1200" s="3" t="s">
        <v>27</v>
      </c>
      <c r="C1200" s="3" t="s">
        <v>28</v>
      </c>
      <c r="D1200" s="3" t="s">
        <v>29</v>
      </c>
      <c r="E1200" s="3" t="s">
        <v>136</v>
      </c>
      <c r="F1200" s="3" t="s">
        <v>31</v>
      </c>
      <c r="G1200" s="3" t="s">
        <v>136</v>
      </c>
      <c r="H1200" s="3" t="s">
        <v>48</v>
      </c>
      <c r="I1200" s="3">
        <v>2025</v>
      </c>
      <c r="J1200" s="3" t="str">
        <f>CONCATENATE("54820033238")</f>
        <v>54820033238</v>
      </c>
      <c r="K1200" s="3" t="s">
        <v>33</v>
      </c>
      <c r="L1200" s="3"/>
      <c r="M1200" s="3" t="s">
        <v>131</v>
      </c>
      <c r="N1200" s="3" t="str">
        <f>CONCATENATE("PNOMDM54M22A366Y")</f>
        <v>PNOMDM54M22A366Y</v>
      </c>
      <c r="O1200" s="3" t="s">
        <v>1328</v>
      </c>
      <c r="P1200" s="3" t="s">
        <v>36</v>
      </c>
      <c r="Q1200" s="3"/>
      <c r="R1200" s="4">
        <v>45996</v>
      </c>
      <c r="S1200" s="3" t="s">
        <v>37</v>
      </c>
      <c r="T1200" s="3" t="s">
        <v>38</v>
      </c>
      <c r="U1200" s="3" t="s">
        <v>39</v>
      </c>
      <c r="V1200" s="3">
        <v>351.36</v>
      </c>
      <c r="W1200" s="3">
        <v>149.33000000000001</v>
      </c>
      <c r="X1200" s="3">
        <v>141.41999999999999</v>
      </c>
      <c r="Y1200" s="3">
        <v>60.61</v>
      </c>
    </row>
    <row r="1201" spans="1:25" ht="60.75" x14ac:dyDescent="0.25">
      <c r="A1201" s="3" t="s">
        <v>26</v>
      </c>
      <c r="B1201" s="3" t="s">
        <v>27</v>
      </c>
      <c r="C1201" s="3" t="s">
        <v>28</v>
      </c>
      <c r="D1201" s="3" t="s">
        <v>91</v>
      </c>
      <c r="E1201" s="3" t="s">
        <v>95</v>
      </c>
      <c r="F1201" s="3" t="s">
        <v>93</v>
      </c>
      <c r="G1201" s="3" t="s">
        <v>95</v>
      </c>
      <c r="H1201" s="3" t="s">
        <v>96</v>
      </c>
      <c r="I1201" s="3">
        <v>2025</v>
      </c>
      <c r="J1201" s="3" t="str">
        <f>CONCATENATE("54820180013")</f>
        <v>54820180013</v>
      </c>
      <c r="K1201" s="3" t="s">
        <v>33</v>
      </c>
      <c r="L1201" s="3"/>
      <c r="M1201" s="3" t="s">
        <v>131</v>
      </c>
      <c r="N1201" s="3" t="str">
        <f>CONCATENATE("PLTSND66R05A462B")</f>
        <v>PLTSND66R05A462B</v>
      </c>
      <c r="O1201" s="3" t="s">
        <v>1329</v>
      </c>
      <c r="P1201" s="3" t="s">
        <v>36</v>
      </c>
      <c r="Q1201" s="3"/>
      <c r="R1201" s="4">
        <v>45996</v>
      </c>
      <c r="S1201" s="3" t="s">
        <v>37</v>
      </c>
      <c r="T1201" s="3" t="s">
        <v>38</v>
      </c>
      <c r="U1201" s="3" t="s">
        <v>39</v>
      </c>
      <c r="V1201" s="3">
        <v>165.47</v>
      </c>
      <c r="W1201" s="3">
        <v>70.319999999999993</v>
      </c>
      <c r="X1201" s="3">
        <v>66.599999999999994</v>
      </c>
      <c r="Y1201" s="3">
        <v>28.55</v>
      </c>
    </row>
    <row r="1202" spans="1:25" ht="60.75" x14ac:dyDescent="0.25">
      <c r="A1202" s="3" t="s">
        <v>26</v>
      </c>
      <c r="B1202" s="3" t="s">
        <v>27</v>
      </c>
      <c r="C1202" s="3" t="s">
        <v>28</v>
      </c>
      <c r="D1202" s="3" t="s">
        <v>29</v>
      </c>
      <c r="E1202" s="3" t="s">
        <v>68</v>
      </c>
      <c r="F1202" s="3" t="s">
        <v>31</v>
      </c>
      <c r="G1202" s="3" t="s">
        <v>68</v>
      </c>
      <c r="H1202" s="3" t="s">
        <v>32</v>
      </c>
      <c r="I1202" s="3">
        <v>2025</v>
      </c>
      <c r="J1202" s="3" t="str">
        <f>CONCATENATE("54820104096")</f>
        <v>54820104096</v>
      </c>
      <c r="K1202" s="3" t="s">
        <v>33</v>
      </c>
      <c r="L1202" s="3"/>
      <c r="M1202" s="3" t="s">
        <v>131</v>
      </c>
      <c r="N1202" s="3" t="str">
        <f>CONCATENATE("VLVPNI63A29L191G")</f>
        <v>VLVPNI63A29L191G</v>
      </c>
      <c r="O1202" s="3" t="s">
        <v>1330</v>
      </c>
      <c r="P1202" s="3" t="s">
        <v>36</v>
      </c>
      <c r="Q1202" s="3"/>
      <c r="R1202" s="4">
        <v>45996</v>
      </c>
      <c r="S1202" s="3" t="s">
        <v>37</v>
      </c>
      <c r="T1202" s="3" t="s">
        <v>38</v>
      </c>
      <c r="U1202" s="3" t="s">
        <v>39</v>
      </c>
      <c r="V1202" s="3">
        <v>382.32</v>
      </c>
      <c r="W1202" s="3">
        <v>162.49</v>
      </c>
      <c r="X1202" s="3">
        <v>153.88</v>
      </c>
      <c r="Y1202" s="3">
        <v>65.95</v>
      </c>
    </row>
    <row r="1203" spans="1:25" ht="60.75" x14ac:dyDescent="0.25">
      <c r="A1203" s="3" t="s">
        <v>26</v>
      </c>
      <c r="B1203" s="3" t="s">
        <v>27</v>
      </c>
      <c r="C1203" s="3" t="s">
        <v>28</v>
      </c>
      <c r="D1203" s="3" t="s">
        <v>29</v>
      </c>
      <c r="E1203" s="3" t="s">
        <v>341</v>
      </c>
      <c r="F1203" s="3" t="s">
        <v>31</v>
      </c>
      <c r="G1203" s="3" t="s">
        <v>341</v>
      </c>
      <c r="H1203" s="3" t="s">
        <v>45</v>
      </c>
      <c r="I1203" s="3">
        <v>2025</v>
      </c>
      <c r="J1203" s="3" t="str">
        <f>CONCATENATE("54820091475")</f>
        <v>54820091475</v>
      </c>
      <c r="K1203" s="3" t="s">
        <v>33</v>
      </c>
      <c r="L1203" s="3"/>
      <c r="M1203" s="3" t="s">
        <v>131</v>
      </c>
      <c r="N1203" s="3" t="str">
        <f>CONCATENATE("PLSRNT54S07L500X")</f>
        <v>PLSRNT54S07L500X</v>
      </c>
      <c r="O1203" s="3" t="s">
        <v>1331</v>
      </c>
      <c r="P1203" s="3" t="s">
        <v>36</v>
      </c>
      <c r="Q1203" s="3"/>
      <c r="R1203" s="4">
        <v>45996</v>
      </c>
      <c r="S1203" s="3" t="s">
        <v>37</v>
      </c>
      <c r="T1203" s="3" t="s">
        <v>38</v>
      </c>
      <c r="U1203" s="3" t="s">
        <v>39</v>
      </c>
      <c r="V1203" s="3">
        <v>142.80000000000001</v>
      </c>
      <c r="W1203" s="3">
        <v>60.69</v>
      </c>
      <c r="X1203" s="3">
        <v>57.48</v>
      </c>
      <c r="Y1203" s="3">
        <v>24.63</v>
      </c>
    </row>
    <row r="1204" spans="1:25" ht="60.75" x14ac:dyDescent="0.25">
      <c r="A1204" s="3" t="s">
        <v>26</v>
      </c>
      <c r="B1204" s="3" t="s">
        <v>27</v>
      </c>
      <c r="C1204" s="3" t="s">
        <v>28</v>
      </c>
      <c r="D1204" s="3" t="s">
        <v>29</v>
      </c>
      <c r="E1204" s="3" t="s">
        <v>182</v>
      </c>
      <c r="F1204" s="3" t="s">
        <v>31</v>
      </c>
      <c r="G1204" s="3" t="s">
        <v>182</v>
      </c>
      <c r="H1204" s="3" t="s">
        <v>45</v>
      </c>
      <c r="I1204" s="3">
        <v>2025</v>
      </c>
      <c r="J1204" s="3" t="str">
        <f>CONCATENATE("54820145735")</f>
        <v>54820145735</v>
      </c>
      <c r="K1204" s="3" t="s">
        <v>33</v>
      </c>
      <c r="L1204" s="3"/>
      <c r="M1204" s="3" t="s">
        <v>131</v>
      </c>
      <c r="N1204" s="3" t="str">
        <f>CONCATENATE("LNZMRZ62L04D541F")</f>
        <v>LNZMRZ62L04D541F</v>
      </c>
      <c r="O1204" s="3" t="s">
        <v>1332</v>
      </c>
      <c r="P1204" s="3" t="s">
        <v>36</v>
      </c>
      <c r="Q1204" s="3"/>
      <c r="R1204" s="4">
        <v>45996</v>
      </c>
      <c r="S1204" s="3" t="s">
        <v>37</v>
      </c>
      <c r="T1204" s="3" t="s">
        <v>38</v>
      </c>
      <c r="U1204" s="3" t="s">
        <v>39</v>
      </c>
      <c r="V1204" s="3">
        <v>195.13</v>
      </c>
      <c r="W1204" s="3">
        <v>82.93</v>
      </c>
      <c r="X1204" s="3">
        <v>78.540000000000006</v>
      </c>
      <c r="Y1204" s="3">
        <v>33.659999999999997</v>
      </c>
    </row>
    <row r="1205" spans="1:25" ht="60.75" x14ac:dyDescent="0.25">
      <c r="A1205" s="3" t="s">
        <v>26</v>
      </c>
      <c r="B1205" s="3" t="s">
        <v>27</v>
      </c>
      <c r="C1205" s="3" t="s">
        <v>28</v>
      </c>
      <c r="D1205" s="3" t="s">
        <v>29</v>
      </c>
      <c r="E1205" s="3" t="s">
        <v>47</v>
      </c>
      <c r="F1205" s="3" t="s">
        <v>31</v>
      </c>
      <c r="G1205" s="3" t="s">
        <v>47</v>
      </c>
      <c r="H1205" s="3" t="s">
        <v>48</v>
      </c>
      <c r="I1205" s="3">
        <v>2025</v>
      </c>
      <c r="J1205" s="3" t="str">
        <f>CONCATENATE("54820089628")</f>
        <v>54820089628</v>
      </c>
      <c r="K1205" s="3" t="s">
        <v>33</v>
      </c>
      <c r="L1205" s="3"/>
      <c r="M1205" s="3" t="s">
        <v>131</v>
      </c>
      <c r="N1205" s="3" t="str">
        <f>CONCATENATE("STRRNZ60S18D451J")</f>
        <v>STRRNZ60S18D451J</v>
      </c>
      <c r="O1205" s="3" t="s">
        <v>1333</v>
      </c>
      <c r="P1205" s="3" t="s">
        <v>36</v>
      </c>
      <c r="Q1205" s="3"/>
      <c r="R1205" s="4">
        <v>45996</v>
      </c>
      <c r="S1205" s="3" t="s">
        <v>37</v>
      </c>
      <c r="T1205" s="3" t="s">
        <v>38</v>
      </c>
      <c r="U1205" s="3" t="s">
        <v>39</v>
      </c>
      <c r="V1205" s="3">
        <v>313.67</v>
      </c>
      <c r="W1205" s="3">
        <v>133.31</v>
      </c>
      <c r="X1205" s="3">
        <v>126.25</v>
      </c>
      <c r="Y1205" s="3">
        <v>54.11</v>
      </c>
    </row>
    <row r="1206" spans="1:25" ht="36.75" x14ac:dyDescent="0.25">
      <c r="A1206" s="3" t="s">
        <v>26</v>
      </c>
      <c r="B1206" s="3" t="s">
        <v>27</v>
      </c>
      <c r="C1206" s="3" t="s">
        <v>28</v>
      </c>
      <c r="D1206" s="3" t="s">
        <v>29</v>
      </c>
      <c r="E1206" s="3" t="s">
        <v>208</v>
      </c>
      <c r="F1206" s="3" t="s">
        <v>31</v>
      </c>
      <c r="G1206" s="3" t="s">
        <v>208</v>
      </c>
      <c r="H1206" s="3" t="s">
        <v>45</v>
      </c>
      <c r="I1206" s="3">
        <v>2025</v>
      </c>
      <c r="J1206" s="3" t="str">
        <f>CONCATENATE("54820234182")</f>
        <v>54820234182</v>
      </c>
      <c r="K1206" s="3" t="s">
        <v>33</v>
      </c>
      <c r="L1206" s="3"/>
      <c r="M1206" s="3" t="s">
        <v>131</v>
      </c>
      <c r="N1206" s="3" t="str">
        <f>CONCATENATE("02414650412")</f>
        <v>02414650412</v>
      </c>
      <c r="O1206" s="3" t="s">
        <v>1334</v>
      </c>
      <c r="P1206" s="3" t="s">
        <v>36</v>
      </c>
      <c r="Q1206" s="3"/>
      <c r="R1206" s="4">
        <v>45996</v>
      </c>
      <c r="S1206" s="3" t="s">
        <v>37</v>
      </c>
      <c r="T1206" s="3" t="s">
        <v>38</v>
      </c>
      <c r="U1206" s="3" t="s">
        <v>39</v>
      </c>
      <c r="V1206" s="3">
        <v>54.93</v>
      </c>
      <c r="W1206" s="3">
        <v>23.35</v>
      </c>
      <c r="X1206" s="3">
        <v>22.11</v>
      </c>
      <c r="Y1206" s="3">
        <v>9.4700000000000006</v>
      </c>
    </row>
    <row r="1207" spans="1:25" ht="60.75" x14ac:dyDescent="0.25">
      <c r="A1207" s="3" t="s">
        <v>26</v>
      </c>
      <c r="B1207" s="3" t="s">
        <v>27</v>
      </c>
      <c r="C1207" s="3" t="s">
        <v>28</v>
      </c>
      <c r="D1207" s="3" t="s">
        <v>104</v>
      </c>
      <c r="E1207" s="3" t="s">
        <v>691</v>
      </c>
      <c r="F1207" s="3" t="s">
        <v>104</v>
      </c>
      <c r="G1207" s="3" t="s">
        <v>691</v>
      </c>
      <c r="H1207" s="3" t="s">
        <v>48</v>
      </c>
      <c r="I1207" s="3">
        <v>2025</v>
      </c>
      <c r="J1207" s="3" t="str">
        <f>CONCATENATE("54820169727")</f>
        <v>54820169727</v>
      </c>
      <c r="K1207" s="3" t="s">
        <v>33</v>
      </c>
      <c r="L1207" s="3"/>
      <c r="M1207" s="3" t="s">
        <v>131</v>
      </c>
      <c r="N1207" s="3" t="str">
        <f>CONCATENATE("LNRTTI48H16H501G")</f>
        <v>LNRTTI48H16H501G</v>
      </c>
      <c r="O1207" s="3" t="s">
        <v>1335</v>
      </c>
      <c r="P1207" s="3" t="s">
        <v>36</v>
      </c>
      <c r="Q1207" s="3"/>
      <c r="R1207" s="4">
        <v>45996</v>
      </c>
      <c r="S1207" s="3" t="s">
        <v>37</v>
      </c>
      <c r="T1207" s="3" t="s">
        <v>38</v>
      </c>
      <c r="U1207" s="3" t="s">
        <v>39</v>
      </c>
      <c r="V1207" s="3">
        <v>257.12</v>
      </c>
      <c r="W1207" s="3">
        <v>109.28</v>
      </c>
      <c r="X1207" s="3">
        <v>103.49</v>
      </c>
      <c r="Y1207" s="3">
        <v>44.35</v>
      </c>
    </row>
    <row r="1208" spans="1:25" ht="72.75" x14ac:dyDescent="0.25">
      <c r="A1208" s="3" t="s">
        <v>26</v>
      </c>
      <c r="B1208" s="3" t="s">
        <v>27</v>
      </c>
      <c r="C1208" s="3" t="s">
        <v>28</v>
      </c>
      <c r="D1208" s="3" t="s">
        <v>50</v>
      </c>
      <c r="E1208" s="3" t="s">
        <v>51</v>
      </c>
      <c r="F1208" s="3" t="s">
        <v>52</v>
      </c>
      <c r="G1208" s="3" t="s">
        <v>51</v>
      </c>
      <c r="H1208" s="3" t="s">
        <v>48</v>
      </c>
      <c r="I1208" s="3">
        <v>2025</v>
      </c>
      <c r="J1208" s="3" t="str">
        <f>CONCATENATE("54820067632")</f>
        <v>54820067632</v>
      </c>
      <c r="K1208" s="3" t="s">
        <v>33</v>
      </c>
      <c r="L1208" s="3"/>
      <c r="M1208" s="3" t="s">
        <v>131</v>
      </c>
      <c r="N1208" s="3" t="str">
        <f>CONCATENATE("GMBLNZ94M03I608T")</f>
        <v>GMBLNZ94M03I608T</v>
      </c>
      <c r="O1208" s="3" t="s">
        <v>1336</v>
      </c>
      <c r="P1208" s="3" t="s">
        <v>36</v>
      </c>
      <c r="Q1208" s="3"/>
      <c r="R1208" s="4">
        <v>45996</v>
      </c>
      <c r="S1208" s="3" t="s">
        <v>37</v>
      </c>
      <c r="T1208" s="3" t="s">
        <v>38</v>
      </c>
      <c r="U1208" s="3" t="s">
        <v>39</v>
      </c>
      <c r="V1208" s="3">
        <v>75.319999999999993</v>
      </c>
      <c r="W1208" s="3">
        <v>32.01</v>
      </c>
      <c r="X1208" s="3">
        <v>30.32</v>
      </c>
      <c r="Y1208" s="3">
        <v>12.99</v>
      </c>
    </row>
    <row r="1209" spans="1:25" ht="60.75" x14ac:dyDescent="0.25">
      <c r="A1209" s="3" t="s">
        <v>26</v>
      </c>
      <c r="B1209" s="3" t="s">
        <v>27</v>
      </c>
      <c r="C1209" s="3" t="s">
        <v>28</v>
      </c>
      <c r="D1209" s="3" t="s">
        <v>29</v>
      </c>
      <c r="E1209" s="3" t="s">
        <v>136</v>
      </c>
      <c r="F1209" s="3" t="s">
        <v>31</v>
      </c>
      <c r="G1209" s="3" t="s">
        <v>136</v>
      </c>
      <c r="H1209" s="3" t="s">
        <v>48</v>
      </c>
      <c r="I1209" s="3">
        <v>2025</v>
      </c>
      <c r="J1209" s="3" t="str">
        <f>CONCATENATE("54820077029")</f>
        <v>54820077029</v>
      </c>
      <c r="K1209" s="3" t="s">
        <v>33</v>
      </c>
      <c r="L1209" s="3"/>
      <c r="M1209" s="3" t="s">
        <v>131</v>
      </c>
      <c r="N1209" s="3" t="str">
        <f>CONCATENATE("LZUNNM51A03I461F")</f>
        <v>LZUNNM51A03I461F</v>
      </c>
      <c r="O1209" s="3" t="s">
        <v>1337</v>
      </c>
      <c r="P1209" s="3" t="s">
        <v>36</v>
      </c>
      <c r="Q1209" s="3"/>
      <c r="R1209" s="4">
        <v>45996</v>
      </c>
      <c r="S1209" s="3" t="s">
        <v>37</v>
      </c>
      <c r="T1209" s="3" t="s">
        <v>38</v>
      </c>
      <c r="U1209" s="3" t="s">
        <v>39</v>
      </c>
      <c r="V1209" s="3">
        <v>54.66</v>
      </c>
      <c r="W1209" s="3">
        <v>23.23</v>
      </c>
      <c r="X1209" s="3">
        <v>22</v>
      </c>
      <c r="Y1209" s="3">
        <v>9.43</v>
      </c>
    </row>
    <row r="1210" spans="1:25" ht="60.75" x14ac:dyDescent="0.25">
      <c r="A1210" s="3" t="s">
        <v>26</v>
      </c>
      <c r="B1210" s="3" t="s">
        <v>27</v>
      </c>
      <c r="C1210" s="3" t="s">
        <v>28</v>
      </c>
      <c r="D1210" s="3" t="s">
        <v>29</v>
      </c>
      <c r="E1210" s="3" t="s">
        <v>136</v>
      </c>
      <c r="F1210" s="3" t="s">
        <v>31</v>
      </c>
      <c r="G1210" s="3" t="s">
        <v>136</v>
      </c>
      <c r="H1210" s="3" t="s">
        <v>48</v>
      </c>
      <c r="I1210" s="3">
        <v>2025</v>
      </c>
      <c r="J1210" s="3" t="str">
        <f>CONCATENATE("54820136791")</f>
        <v>54820136791</v>
      </c>
      <c r="K1210" s="3" t="s">
        <v>33</v>
      </c>
      <c r="L1210" s="3"/>
      <c r="M1210" s="3" t="s">
        <v>131</v>
      </c>
      <c r="N1210" s="3" t="str">
        <f>CONCATENATE("MRCGNN57H24I461U")</f>
        <v>MRCGNN57H24I461U</v>
      </c>
      <c r="O1210" s="3" t="s">
        <v>1338</v>
      </c>
      <c r="P1210" s="3" t="s">
        <v>36</v>
      </c>
      <c r="Q1210" s="3"/>
      <c r="R1210" s="4">
        <v>45996</v>
      </c>
      <c r="S1210" s="3" t="s">
        <v>37</v>
      </c>
      <c r="T1210" s="3" t="s">
        <v>38</v>
      </c>
      <c r="U1210" s="3" t="s">
        <v>39</v>
      </c>
      <c r="V1210" s="3">
        <v>152.04</v>
      </c>
      <c r="W1210" s="3">
        <v>64.62</v>
      </c>
      <c r="X1210" s="3">
        <v>61.2</v>
      </c>
      <c r="Y1210" s="3">
        <v>26.22</v>
      </c>
    </row>
    <row r="1211" spans="1:25" ht="60.75" x14ac:dyDescent="0.25">
      <c r="A1211" s="3" t="s">
        <v>26</v>
      </c>
      <c r="B1211" s="3" t="s">
        <v>27</v>
      </c>
      <c r="C1211" s="3" t="s">
        <v>28</v>
      </c>
      <c r="D1211" s="3" t="s">
        <v>104</v>
      </c>
      <c r="E1211" s="3" t="s">
        <v>141</v>
      </c>
      <c r="F1211" s="3" t="s">
        <v>104</v>
      </c>
      <c r="G1211" s="3" t="s">
        <v>141</v>
      </c>
      <c r="H1211" s="3" t="s">
        <v>96</v>
      </c>
      <c r="I1211" s="3">
        <v>2025</v>
      </c>
      <c r="J1211" s="3" t="str">
        <f>CONCATENATE("54820136197")</f>
        <v>54820136197</v>
      </c>
      <c r="K1211" s="3" t="s">
        <v>33</v>
      </c>
      <c r="L1211" s="3"/>
      <c r="M1211" s="3" t="s">
        <v>131</v>
      </c>
      <c r="N1211" s="3" t="str">
        <f>CONCATENATE("CSRPRZ75L66A252L")</f>
        <v>CSRPRZ75L66A252L</v>
      </c>
      <c r="O1211" s="3" t="s">
        <v>1339</v>
      </c>
      <c r="P1211" s="3" t="s">
        <v>36</v>
      </c>
      <c r="Q1211" s="3"/>
      <c r="R1211" s="4">
        <v>45996</v>
      </c>
      <c r="S1211" s="3" t="s">
        <v>37</v>
      </c>
      <c r="T1211" s="3" t="s">
        <v>38</v>
      </c>
      <c r="U1211" s="3" t="s">
        <v>39</v>
      </c>
      <c r="V1211" s="3">
        <v>379.02</v>
      </c>
      <c r="W1211" s="3">
        <v>161.08000000000001</v>
      </c>
      <c r="X1211" s="3">
        <v>152.56</v>
      </c>
      <c r="Y1211" s="3">
        <v>65.38</v>
      </c>
    </row>
    <row r="1212" spans="1:25" ht="60.75" x14ac:dyDescent="0.25">
      <c r="A1212" s="3" t="s">
        <v>26</v>
      </c>
      <c r="B1212" s="3" t="s">
        <v>27</v>
      </c>
      <c r="C1212" s="3" t="s">
        <v>28</v>
      </c>
      <c r="D1212" s="3" t="s">
        <v>29</v>
      </c>
      <c r="E1212" s="3" t="s">
        <v>80</v>
      </c>
      <c r="F1212" s="3" t="s">
        <v>31</v>
      </c>
      <c r="G1212" s="3" t="s">
        <v>80</v>
      </c>
      <c r="H1212" s="3" t="s">
        <v>45</v>
      </c>
      <c r="I1212" s="3">
        <v>2025</v>
      </c>
      <c r="J1212" s="3" t="str">
        <f>CONCATENATE("54820148085")</f>
        <v>54820148085</v>
      </c>
      <c r="K1212" s="3" t="s">
        <v>33</v>
      </c>
      <c r="L1212" s="3"/>
      <c r="M1212" s="3" t="s">
        <v>131</v>
      </c>
      <c r="N1212" s="3" t="str">
        <f>CONCATENATE("RSTRLF56L22D791V")</f>
        <v>RSTRLF56L22D791V</v>
      </c>
      <c r="O1212" s="3" t="s">
        <v>1340</v>
      </c>
      <c r="P1212" s="3" t="s">
        <v>36</v>
      </c>
      <c r="Q1212" s="3"/>
      <c r="R1212" s="4">
        <v>45996</v>
      </c>
      <c r="S1212" s="3" t="s">
        <v>37</v>
      </c>
      <c r="T1212" s="3" t="s">
        <v>38</v>
      </c>
      <c r="U1212" s="3" t="s">
        <v>39</v>
      </c>
      <c r="V1212" s="3">
        <v>846.63</v>
      </c>
      <c r="W1212" s="3">
        <v>359.82</v>
      </c>
      <c r="X1212" s="3">
        <v>340.77</v>
      </c>
      <c r="Y1212" s="3">
        <v>146.04</v>
      </c>
    </row>
    <row r="1213" spans="1:25" ht="60.75" x14ac:dyDescent="0.25">
      <c r="A1213" s="3" t="s">
        <v>26</v>
      </c>
      <c r="B1213" s="3" t="s">
        <v>27</v>
      </c>
      <c r="C1213" s="3" t="s">
        <v>28</v>
      </c>
      <c r="D1213" s="3" t="s">
        <v>91</v>
      </c>
      <c r="E1213" s="3" t="s">
        <v>151</v>
      </c>
      <c r="F1213" s="3" t="s">
        <v>93</v>
      </c>
      <c r="G1213" s="3" t="s">
        <v>151</v>
      </c>
      <c r="H1213" s="3" t="s">
        <v>45</v>
      </c>
      <c r="I1213" s="3">
        <v>2025</v>
      </c>
      <c r="J1213" s="3" t="str">
        <f>CONCATENATE("54820113238")</f>
        <v>54820113238</v>
      </c>
      <c r="K1213" s="3" t="s">
        <v>33</v>
      </c>
      <c r="L1213" s="3"/>
      <c r="M1213" s="3" t="s">
        <v>131</v>
      </c>
      <c r="N1213" s="3" t="str">
        <f>CONCATENATE("BNCRRT57P09I670H")</f>
        <v>BNCRRT57P09I670H</v>
      </c>
      <c r="O1213" s="3" t="s">
        <v>1341</v>
      </c>
      <c r="P1213" s="3" t="s">
        <v>36</v>
      </c>
      <c r="Q1213" s="3"/>
      <c r="R1213" s="4">
        <v>45996</v>
      </c>
      <c r="S1213" s="3" t="s">
        <v>37</v>
      </c>
      <c r="T1213" s="3" t="s">
        <v>38</v>
      </c>
      <c r="U1213" s="3" t="s">
        <v>39</v>
      </c>
      <c r="V1213" s="3">
        <v>177.42</v>
      </c>
      <c r="W1213" s="3">
        <v>75.400000000000006</v>
      </c>
      <c r="X1213" s="3">
        <v>71.41</v>
      </c>
      <c r="Y1213" s="3">
        <v>30.61</v>
      </c>
    </row>
    <row r="1214" spans="1:25" ht="60.75" x14ac:dyDescent="0.25">
      <c r="A1214" s="3" t="s">
        <v>26</v>
      </c>
      <c r="B1214" s="3" t="s">
        <v>27</v>
      </c>
      <c r="C1214" s="3" t="s">
        <v>28</v>
      </c>
      <c r="D1214" s="3" t="s">
        <v>29</v>
      </c>
      <c r="E1214" s="3" t="s">
        <v>182</v>
      </c>
      <c r="F1214" s="3" t="s">
        <v>31</v>
      </c>
      <c r="G1214" s="3" t="s">
        <v>182</v>
      </c>
      <c r="H1214" s="3" t="s">
        <v>45</v>
      </c>
      <c r="I1214" s="3">
        <v>2025</v>
      </c>
      <c r="J1214" s="3" t="str">
        <f>CONCATENATE("54820086731")</f>
        <v>54820086731</v>
      </c>
      <c r="K1214" s="3" t="s">
        <v>33</v>
      </c>
      <c r="L1214" s="3"/>
      <c r="M1214" s="3" t="s">
        <v>131</v>
      </c>
      <c r="N1214" s="3" t="str">
        <f>CONCATENATE("BSLLCU82E07L500A")</f>
        <v>BSLLCU82E07L500A</v>
      </c>
      <c r="O1214" s="3" t="s">
        <v>1342</v>
      </c>
      <c r="P1214" s="3" t="s">
        <v>36</v>
      </c>
      <c r="Q1214" s="3"/>
      <c r="R1214" s="4">
        <v>45996</v>
      </c>
      <c r="S1214" s="3" t="s">
        <v>37</v>
      </c>
      <c r="T1214" s="3" t="s">
        <v>38</v>
      </c>
      <c r="U1214" s="3" t="s">
        <v>39</v>
      </c>
      <c r="V1214" s="3">
        <v>183.84</v>
      </c>
      <c r="W1214" s="3">
        <v>78.13</v>
      </c>
      <c r="X1214" s="3">
        <v>74</v>
      </c>
      <c r="Y1214" s="3">
        <v>31.71</v>
      </c>
    </row>
    <row r="1215" spans="1:25" ht="72.75" x14ac:dyDescent="0.25">
      <c r="A1215" s="3" t="s">
        <v>26</v>
      </c>
      <c r="B1215" s="3" t="s">
        <v>27</v>
      </c>
      <c r="C1215" s="3" t="s">
        <v>28</v>
      </c>
      <c r="D1215" s="3" t="s">
        <v>29</v>
      </c>
      <c r="E1215" s="3" t="s">
        <v>56</v>
      </c>
      <c r="F1215" s="3" t="s">
        <v>31</v>
      </c>
      <c r="G1215" s="3" t="s">
        <v>56</v>
      </c>
      <c r="H1215" s="3" t="s">
        <v>32</v>
      </c>
      <c r="I1215" s="3">
        <v>2025</v>
      </c>
      <c r="J1215" s="3" t="str">
        <f>CONCATENATE("54820090030")</f>
        <v>54820090030</v>
      </c>
      <c r="K1215" s="3" t="s">
        <v>33</v>
      </c>
      <c r="L1215" s="3"/>
      <c r="M1215" s="3" t="s">
        <v>131</v>
      </c>
      <c r="N1215" s="3" t="str">
        <f>CONCATENATE("GNTFRZ75R09B474B")</f>
        <v>GNTFRZ75R09B474B</v>
      </c>
      <c r="O1215" s="3" t="s">
        <v>1343</v>
      </c>
      <c r="P1215" s="3" t="s">
        <v>36</v>
      </c>
      <c r="Q1215" s="3"/>
      <c r="R1215" s="4">
        <v>45996</v>
      </c>
      <c r="S1215" s="3" t="s">
        <v>37</v>
      </c>
      <c r="T1215" s="3" t="s">
        <v>38</v>
      </c>
      <c r="U1215" s="3" t="s">
        <v>39</v>
      </c>
      <c r="V1215" s="3">
        <v>274.64</v>
      </c>
      <c r="W1215" s="3">
        <v>116.72</v>
      </c>
      <c r="X1215" s="3">
        <v>110.54</v>
      </c>
      <c r="Y1215" s="3">
        <v>47.38</v>
      </c>
    </row>
    <row r="1216" spans="1:25" ht="60.75" x14ac:dyDescent="0.25">
      <c r="A1216" s="3" t="s">
        <v>26</v>
      </c>
      <c r="B1216" s="3" t="s">
        <v>27</v>
      </c>
      <c r="C1216" s="3" t="s">
        <v>28</v>
      </c>
      <c r="D1216" s="3" t="s">
        <v>29</v>
      </c>
      <c r="E1216" s="3" t="s">
        <v>119</v>
      </c>
      <c r="F1216" s="3" t="s">
        <v>31</v>
      </c>
      <c r="G1216" s="3" t="s">
        <v>119</v>
      </c>
      <c r="H1216" s="3" t="s">
        <v>96</v>
      </c>
      <c r="I1216" s="3">
        <v>2025</v>
      </c>
      <c r="J1216" s="3" t="str">
        <f>CONCATENATE("54820107545")</f>
        <v>54820107545</v>
      </c>
      <c r="K1216" s="3" t="s">
        <v>33</v>
      </c>
      <c r="L1216" s="3"/>
      <c r="M1216" s="3" t="s">
        <v>131</v>
      </c>
      <c r="N1216" s="3" t="str">
        <f>CONCATENATE("PRGTTL52D18F509E")</f>
        <v>PRGTTL52D18F509E</v>
      </c>
      <c r="O1216" s="3" t="s">
        <v>1344</v>
      </c>
      <c r="P1216" s="3" t="s">
        <v>36</v>
      </c>
      <c r="Q1216" s="3"/>
      <c r="R1216" s="4">
        <v>45996</v>
      </c>
      <c r="S1216" s="3" t="s">
        <v>37</v>
      </c>
      <c r="T1216" s="3" t="s">
        <v>38</v>
      </c>
      <c r="U1216" s="3" t="s">
        <v>39</v>
      </c>
      <c r="V1216" s="3">
        <v>313.41000000000003</v>
      </c>
      <c r="W1216" s="3">
        <v>133.19999999999999</v>
      </c>
      <c r="X1216" s="3">
        <v>126.15</v>
      </c>
      <c r="Y1216" s="3">
        <v>54.06</v>
      </c>
    </row>
    <row r="1217" spans="1:25" ht="60.75" x14ac:dyDescent="0.25">
      <c r="A1217" s="3" t="s">
        <v>26</v>
      </c>
      <c r="B1217" s="3" t="s">
        <v>27</v>
      </c>
      <c r="C1217" s="3" t="s">
        <v>28</v>
      </c>
      <c r="D1217" s="3" t="s">
        <v>104</v>
      </c>
      <c r="E1217" s="3" t="s">
        <v>141</v>
      </c>
      <c r="F1217" s="3" t="s">
        <v>104</v>
      </c>
      <c r="G1217" s="3" t="s">
        <v>141</v>
      </c>
      <c r="H1217" s="3" t="s">
        <v>96</v>
      </c>
      <c r="I1217" s="3">
        <v>2025</v>
      </c>
      <c r="J1217" s="3" t="str">
        <f>CONCATENATE("54820137005")</f>
        <v>54820137005</v>
      </c>
      <c r="K1217" s="3" t="s">
        <v>33</v>
      </c>
      <c r="L1217" s="3"/>
      <c r="M1217" s="3" t="s">
        <v>131</v>
      </c>
      <c r="N1217" s="3" t="str">
        <f>CONCATENATE("BRTMRS64P60F509H")</f>
        <v>BRTMRS64P60F509H</v>
      </c>
      <c r="O1217" s="3" t="s">
        <v>1345</v>
      </c>
      <c r="P1217" s="3" t="s">
        <v>36</v>
      </c>
      <c r="Q1217" s="3"/>
      <c r="R1217" s="4">
        <v>45996</v>
      </c>
      <c r="S1217" s="3" t="s">
        <v>37</v>
      </c>
      <c r="T1217" s="3" t="s">
        <v>38</v>
      </c>
      <c r="U1217" s="3" t="s">
        <v>39</v>
      </c>
      <c r="V1217" s="3">
        <v>122.07</v>
      </c>
      <c r="W1217" s="3">
        <v>51.88</v>
      </c>
      <c r="X1217" s="3">
        <v>49.13</v>
      </c>
      <c r="Y1217" s="3">
        <v>21.06</v>
      </c>
    </row>
    <row r="1218" spans="1:25" ht="36.75" x14ac:dyDescent="0.25">
      <c r="A1218" s="3" t="s">
        <v>26</v>
      </c>
      <c r="B1218" s="3" t="s">
        <v>27</v>
      </c>
      <c r="C1218" s="3" t="s">
        <v>28</v>
      </c>
      <c r="D1218" s="3" t="s">
        <v>40</v>
      </c>
      <c r="E1218" s="3" t="s">
        <v>122</v>
      </c>
      <c r="F1218" s="3" t="s">
        <v>42</v>
      </c>
      <c r="G1218" s="3" t="s">
        <v>122</v>
      </c>
      <c r="H1218" s="3" t="s">
        <v>32</v>
      </c>
      <c r="I1218" s="3">
        <v>2025</v>
      </c>
      <c r="J1218" s="3" t="str">
        <f>CONCATENATE("54820118062")</f>
        <v>54820118062</v>
      </c>
      <c r="K1218" s="3" t="s">
        <v>33</v>
      </c>
      <c r="L1218" s="3"/>
      <c r="M1218" s="3" t="s">
        <v>131</v>
      </c>
      <c r="N1218" s="3" t="str">
        <f>CONCATENATE("01969580438")</f>
        <v>01969580438</v>
      </c>
      <c r="O1218" s="3" t="s">
        <v>1346</v>
      </c>
      <c r="P1218" s="3" t="s">
        <v>36</v>
      </c>
      <c r="Q1218" s="3"/>
      <c r="R1218" s="4">
        <v>45996</v>
      </c>
      <c r="S1218" s="3" t="s">
        <v>37</v>
      </c>
      <c r="T1218" s="3" t="s">
        <v>38</v>
      </c>
      <c r="U1218" s="3" t="s">
        <v>39</v>
      </c>
      <c r="V1218" s="3">
        <v>667.58</v>
      </c>
      <c r="W1218" s="3">
        <v>283.72000000000003</v>
      </c>
      <c r="X1218" s="3">
        <v>268.7</v>
      </c>
      <c r="Y1218" s="3">
        <v>115.16</v>
      </c>
    </row>
    <row r="1219" spans="1:25" ht="60.75" x14ac:dyDescent="0.25">
      <c r="A1219" s="3" t="s">
        <v>26</v>
      </c>
      <c r="B1219" s="3" t="s">
        <v>27</v>
      </c>
      <c r="C1219" s="3" t="s">
        <v>28</v>
      </c>
      <c r="D1219" s="3" t="s">
        <v>29</v>
      </c>
      <c r="E1219" s="3" t="s">
        <v>47</v>
      </c>
      <c r="F1219" s="3" t="s">
        <v>31</v>
      </c>
      <c r="G1219" s="3" t="s">
        <v>47</v>
      </c>
      <c r="H1219" s="3" t="s">
        <v>48</v>
      </c>
      <c r="I1219" s="3">
        <v>2025</v>
      </c>
      <c r="J1219" s="3" t="str">
        <f>CONCATENATE("54820078837")</f>
        <v>54820078837</v>
      </c>
      <c r="K1219" s="3" t="s">
        <v>33</v>
      </c>
      <c r="L1219" s="3"/>
      <c r="M1219" s="3" t="s">
        <v>131</v>
      </c>
      <c r="N1219" s="3" t="str">
        <f>CONCATENATE("STLMRZ50E18D451J")</f>
        <v>STLMRZ50E18D451J</v>
      </c>
      <c r="O1219" s="3" t="s">
        <v>1347</v>
      </c>
      <c r="P1219" s="3" t="s">
        <v>36</v>
      </c>
      <c r="Q1219" s="3"/>
      <c r="R1219" s="4">
        <v>45996</v>
      </c>
      <c r="S1219" s="3" t="s">
        <v>37</v>
      </c>
      <c r="T1219" s="3" t="s">
        <v>38</v>
      </c>
      <c r="U1219" s="3" t="s">
        <v>39</v>
      </c>
      <c r="V1219" s="3">
        <v>308.45999999999998</v>
      </c>
      <c r="W1219" s="3">
        <v>131.1</v>
      </c>
      <c r="X1219" s="3">
        <v>124.16</v>
      </c>
      <c r="Y1219" s="3">
        <v>53.2</v>
      </c>
    </row>
    <row r="1220" spans="1:25" ht="60.75" x14ac:dyDescent="0.25">
      <c r="A1220" s="3" t="s">
        <v>26</v>
      </c>
      <c r="B1220" s="3" t="s">
        <v>27</v>
      </c>
      <c r="C1220" s="3" t="s">
        <v>28</v>
      </c>
      <c r="D1220" s="3" t="s">
        <v>29</v>
      </c>
      <c r="E1220" s="3" t="s">
        <v>136</v>
      </c>
      <c r="F1220" s="3" t="s">
        <v>31</v>
      </c>
      <c r="G1220" s="3" t="s">
        <v>136</v>
      </c>
      <c r="H1220" s="3" t="s">
        <v>48</v>
      </c>
      <c r="I1220" s="3">
        <v>2025</v>
      </c>
      <c r="J1220" s="3" t="str">
        <f>CONCATENATE("54820127816")</f>
        <v>54820127816</v>
      </c>
      <c r="K1220" s="3" t="s">
        <v>33</v>
      </c>
      <c r="L1220" s="3"/>
      <c r="M1220" s="3" t="s">
        <v>131</v>
      </c>
      <c r="N1220" s="3" t="str">
        <f>CONCATENATE("CNTRLL60D64D965O")</f>
        <v>CNTRLL60D64D965O</v>
      </c>
      <c r="O1220" s="3" t="s">
        <v>1348</v>
      </c>
      <c r="P1220" s="3" t="s">
        <v>36</v>
      </c>
      <c r="Q1220" s="3"/>
      <c r="R1220" s="4">
        <v>45996</v>
      </c>
      <c r="S1220" s="3" t="s">
        <v>37</v>
      </c>
      <c r="T1220" s="3" t="s">
        <v>38</v>
      </c>
      <c r="U1220" s="3" t="s">
        <v>39</v>
      </c>
      <c r="V1220" s="3">
        <v>97.39</v>
      </c>
      <c r="W1220" s="3">
        <v>41.39</v>
      </c>
      <c r="X1220" s="3">
        <v>39.200000000000003</v>
      </c>
      <c r="Y1220" s="3">
        <v>16.8</v>
      </c>
    </row>
    <row r="1221" spans="1:25" ht="60.75" x14ac:dyDescent="0.25">
      <c r="A1221" s="3" t="s">
        <v>26</v>
      </c>
      <c r="B1221" s="3" t="s">
        <v>27</v>
      </c>
      <c r="C1221" s="3" t="s">
        <v>28</v>
      </c>
      <c r="D1221" s="3" t="s">
        <v>29</v>
      </c>
      <c r="E1221" s="3" t="s">
        <v>56</v>
      </c>
      <c r="F1221" s="3" t="s">
        <v>31</v>
      </c>
      <c r="G1221" s="3" t="s">
        <v>56</v>
      </c>
      <c r="H1221" s="3" t="s">
        <v>32</v>
      </c>
      <c r="I1221" s="3">
        <v>2025</v>
      </c>
      <c r="J1221" s="3" t="str">
        <f>CONCATENATE("54820099692")</f>
        <v>54820099692</v>
      </c>
      <c r="K1221" s="3" t="s">
        <v>33</v>
      </c>
      <c r="L1221" s="3"/>
      <c r="M1221" s="3" t="s">
        <v>131</v>
      </c>
      <c r="N1221" s="3" t="str">
        <f>CONCATENATE("MLNMGD87L62I156S")</f>
        <v>MLNMGD87L62I156S</v>
      </c>
      <c r="O1221" s="3" t="s">
        <v>1349</v>
      </c>
      <c r="P1221" s="3" t="s">
        <v>36</v>
      </c>
      <c r="Q1221" s="3"/>
      <c r="R1221" s="4">
        <v>45996</v>
      </c>
      <c r="S1221" s="3" t="s">
        <v>37</v>
      </c>
      <c r="T1221" s="3" t="s">
        <v>38</v>
      </c>
      <c r="U1221" s="3" t="s">
        <v>39</v>
      </c>
      <c r="V1221" s="3">
        <v>77.459999999999994</v>
      </c>
      <c r="W1221" s="3">
        <v>32.92</v>
      </c>
      <c r="X1221" s="3">
        <v>31.18</v>
      </c>
      <c r="Y1221" s="3">
        <v>13.36</v>
      </c>
    </row>
    <row r="1222" spans="1:25" ht="60.75" x14ac:dyDescent="0.25">
      <c r="A1222" s="3" t="s">
        <v>26</v>
      </c>
      <c r="B1222" s="3" t="s">
        <v>27</v>
      </c>
      <c r="C1222" s="3" t="s">
        <v>28</v>
      </c>
      <c r="D1222" s="3" t="s">
        <v>50</v>
      </c>
      <c r="E1222" s="3" t="s">
        <v>367</v>
      </c>
      <c r="F1222" s="3" t="s">
        <v>52</v>
      </c>
      <c r="G1222" s="3" t="s">
        <v>367</v>
      </c>
      <c r="H1222" s="3" t="s">
        <v>32</v>
      </c>
      <c r="I1222" s="3">
        <v>2025</v>
      </c>
      <c r="J1222" s="3" t="str">
        <f>CONCATENATE("54820086673")</f>
        <v>54820086673</v>
      </c>
      <c r="K1222" s="3" t="s">
        <v>33</v>
      </c>
      <c r="L1222" s="3"/>
      <c r="M1222" s="3" t="s">
        <v>131</v>
      </c>
      <c r="N1222" s="3" t="str">
        <f>CONCATENATE("SNTFCN75S07D653N")</f>
        <v>SNTFCN75S07D653N</v>
      </c>
      <c r="O1222" s="3" t="s">
        <v>1350</v>
      </c>
      <c r="P1222" s="3" t="s">
        <v>36</v>
      </c>
      <c r="Q1222" s="3"/>
      <c r="R1222" s="4">
        <v>45996</v>
      </c>
      <c r="S1222" s="3" t="s">
        <v>37</v>
      </c>
      <c r="T1222" s="3" t="s">
        <v>38</v>
      </c>
      <c r="U1222" s="3" t="s">
        <v>39</v>
      </c>
      <c r="V1222" s="3">
        <v>820.51</v>
      </c>
      <c r="W1222" s="3">
        <v>348.72</v>
      </c>
      <c r="X1222" s="3">
        <v>330.26</v>
      </c>
      <c r="Y1222" s="3">
        <v>141.53</v>
      </c>
    </row>
    <row r="1223" spans="1:25" ht="72.75" x14ac:dyDescent="0.25">
      <c r="A1223" s="3" t="s">
        <v>26</v>
      </c>
      <c r="B1223" s="3" t="s">
        <v>27</v>
      </c>
      <c r="C1223" s="3" t="s">
        <v>28</v>
      </c>
      <c r="D1223" s="3" t="s">
        <v>104</v>
      </c>
      <c r="E1223" s="3" t="s">
        <v>141</v>
      </c>
      <c r="F1223" s="3" t="s">
        <v>104</v>
      </c>
      <c r="G1223" s="3" t="s">
        <v>141</v>
      </c>
      <c r="H1223" s="3" t="s">
        <v>96</v>
      </c>
      <c r="I1223" s="3">
        <v>2025</v>
      </c>
      <c r="J1223" s="3" t="str">
        <f>CONCATENATE("54820137195")</f>
        <v>54820137195</v>
      </c>
      <c r="K1223" s="3" t="s">
        <v>33</v>
      </c>
      <c r="L1223" s="3"/>
      <c r="M1223" s="3" t="s">
        <v>131</v>
      </c>
      <c r="N1223" s="3" t="str">
        <f>CONCATENATE("BRTFNC41D02A252R")</f>
        <v>BRTFNC41D02A252R</v>
      </c>
      <c r="O1223" s="3" t="s">
        <v>1351</v>
      </c>
      <c r="P1223" s="3" t="s">
        <v>36</v>
      </c>
      <c r="Q1223" s="3"/>
      <c r="R1223" s="4">
        <v>45996</v>
      </c>
      <c r="S1223" s="3" t="s">
        <v>37</v>
      </c>
      <c r="T1223" s="3" t="s">
        <v>38</v>
      </c>
      <c r="U1223" s="3" t="s">
        <v>39</v>
      </c>
      <c r="V1223" s="3">
        <v>53.66</v>
      </c>
      <c r="W1223" s="3">
        <v>22.81</v>
      </c>
      <c r="X1223" s="3">
        <v>21.6</v>
      </c>
      <c r="Y1223" s="3">
        <v>9.25</v>
      </c>
    </row>
    <row r="1224" spans="1:25" ht="36.75" x14ac:dyDescent="0.25">
      <c r="A1224" s="3" t="s">
        <v>26</v>
      </c>
      <c r="B1224" s="3" t="s">
        <v>27</v>
      </c>
      <c r="C1224" s="3" t="s">
        <v>28</v>
      </c>
      <c r="D1224" s="3" t="s">
        <v>29</v>
      </c>
      <c r="E1224" s="3" t="s">
        <v>119</v>
      </c>
      <c r="F1224" s="3" t="s">
        <v>31</v>
      </c>
      <c r="G1224" s="3" t="s">
        <v>119</v>
      </c>
      <c r="H1224" s="3" t="s">
        <v>96</v>
      </c>
      <c r="I1224" s="3">
        <v>2025</v>
      </c>
      <c r="J1224" s="3" t="str">
        <f>CONCATENATE("54820144621")</f>
        <v>54820144621</v>
      </c>
      <c r="K1224" s="3" t="s">
        <v>33</v>
      </c>
      <c r="L1224" s="3"/>
      <c r="M1224" s="3" t="s">
        <v>131</v>
      </c>
      <c r="N1224" s="3" t="str">
        <f>CONCATENATE("01411730441")</f>
        <v>01411730441</v>
      </c>
      <c r="O1224" s="3" t="s">
        <v>1352</v>
      </c>
      <c r="P1224" s="3" t="s">
        <v>36</v>
      </c>
      <c r="Q1224" s="3"/>
      <c r="R1224" s="4">
        <v>45996</v>
      </c>
      <c r="S1224" s="3" t="s">
        <v>37</v>
      </c>
      <c r="T1224" s="3" t="s">
        <v>38</v>
      </c>
      <c r="U1224" s="3" t="s">
        <v>39</v>
      </c>
      <c r="V1224" s="3">
        <v>709.9</v>
      </c>
      <c r="W1224" s="3">
        <v>301.70999999999998</v>
      </c>
      <c r="X1224" s="3">
        <v>285.73</v>
      </c>
      <c r="Y1224" s="3">
        <v>122.46</v>
      </c>
    </row>
    <row r="1225" spans="1:25" ht="72.75" x14ac:dyDescent="0.25">
      <c r="A1225" s="3" t="s">
        <v>26</v>
      </c>
      <c r="B1225" s="3" t="s">
        <v>27</v>
      </c>
      <c r="C1225" s="3" t="s">
        <v>28</v>
      </c>
      <c r="D1225" s="3" t="s">
        <v>50</v>
      </c>
      <c r="E1225" s="3" t="s">
        <v>60</v>
      </c>
      <c r="F1225" s="3" t="s">
        <v>52</v>
      </c>
      <c r="G1225" s="3" t="s">
        <v>60</v>
      </c>
      <c r="H1225" s="3" t="s">
        <v>45</v>
      </c>
      <c r="I1225" s="3">
        <v>2025</v>
      </c>
      <c r="J1225" s="3" t="str">
        <f>CONCATENATE("54820107602")</f>
        <v>54820107602</v>
      </c>
      <c r="K1225" s="3" t="s">
        <v>33</v>
      </c>
      <c r="L1225" s="3"/>
      <c r="M1225" s="3" t="s">
        <v>131</v>
      </c>
      <c r="N1225" s="3" t="str">
        <f>CONCATENATE("CSTRMN50R20B352X")</f>
        <v>CSTRMN50R20B352X</v>
      </c>
      <c r="O1225" s="3" t="s">
        <v>1353</v>
      </c>
      <c r="P1225" s="3" t="s">
        <v>36</v>
      </c>
      <c r="Q1225" s="3"/>
      <c r="R1225" s="4">
        <v>45996</v>
      </c>
      <c r="S1225" s="3" t="s">
        <v>37</v>
      </c>
      <c r="T1225" s="3" t="s">
        <v>38</v>
      </c>
      <c r="U1225" s="3" t="s">
        <v>39</v>
      </c>
      <c r="V1225" s="3">
        <v>70.38</v>
      </c>
      <c r="W1225" s="3">
        <v>29.91</v>
      </c>
      <c r="X1225" s="3">
        <v>28.33</v>
      </c>
      <c r="Y1225" s="3">
        <v>12.14</v>
      </c>
    </row>
    <row r="1226" spans="1:25" ht="72.75" x14ac:dyDescent="0.25">
      <c r="A1226" s="3" t="s">
        <v>26</v>
      </c>
      <c r="B1226" s="3" t="s">
        <v>27</v>
      </c>
      <c r="C1226" s="3" t="s">
        <v>28</v>
      </c>
      <c r="D1226" s="3" t="s">
        <v>91</v>
      </c>
      <c r="E1226" s="3" t="s">
        <v>95</v>
      </c>
      <c r="F1226" s="3" t="s">
        <v>93</v>
      </c>
      <c r="G1226" s="3" t="s">
        <v>95</v>
      </c>
      <c r="H1226" s="3" t="s">
        <v>96</v>
      </c>
      <c r="I1226" s="3">
        <v>2025</v>
      </c>
      <c r="J1226" s="3" t="str">
        <f>CONCATENATE("54820090519")</f>
        <v>54820090519</v>
      </c>
      <c r="K1226" s="3" t="s">
        <v>33</v>
      </c>
      <c r="L1226" s="3"/>
      <c r="M1226" s="3" t="s">
        <v>131</v>
      </c>
      <c r="N1226" s="3" t="str">
        <f>CONCATENATE("PRGRMN88M59A462S")</f>
        <v>PRGRMN88M59A462S</v>
      </c>
      <c r="O1226" s="3" t="s">
        <v>1354</v>
      </c>
      <c r="P1226" s="3" t="s">
        <v>36</v>
      </c>
      <c r="Q1226" s="3"/>
      <c r="R1226" s="4">
        <v>45996</v>
      </c>
      <c r="S1226" s="3" t="s">
        <v>37</v>
      </c>
      <c r="T1226" s="3" t="s">
        <v>38</v>
      </c>
      <c r="U1226" s="3" t="s">
        <v>39</v>
      </c>
      <c r="V1226" s="3">
        <v>53.68</v>
      </c>
      <c r="W1226" s="3">
        <v>22.81</v>
      </c>
      <c r="X1226" s="3">
        <v>21.61</v>
      </c>
      <c r="Y1226" s="3">
        <v>9.26</v>
      </c>
    </row>
    <row r="1227" spans="1:25" ht="60.75" x14ac:dyDescent="0.25">
      <c r="A1227" s="3" t="s">
        <v>26</v>
      </c>
      <c r="B1227" s="3" t="s">
        <v>27</v>
      </c>
      <c r="C1227" s="3" t="s">
        <v>28</v>
      </c>
      <c r="D1227" s="3" t="s">
        <v>104</v>
      </c>
      <c r="E1227" s="3" t="s">
        <v>141</v>
      </c>
      <c r="F1227" s="3" t="s">
        <v>104</v>
      </c>
      <c r="G1227" s="3" t="s">
        <v>141</v>
      </c>
      <c r="H1227" s="3" t="s">
        <v>96</v>
      </c>
      <c r="I1227" s="3">
        <v>2025</v>
      </c>
      <c r="J1227" s="3" t="str">
        <f>CONCATENATE("54820144894")</f>
        <v>54820144894</v>
      </c>
      <c r="K1227" s="3" t="s">
        <v>33</v>
      </c>
      <c r="L1227" s="3"/>
      <c r="M1227" s="3" t="s">
        <v>131</v>
      </c>
      <c r="N1227" s="3" t="str">
        <f>CONCATENATE("TSSLCU51L54G289W")</f>
        <v>TSSLCU51L54G289W</v>
      </c>
      <c r="O1227" s="3" t="s">
        <v>1355</v>
      </c>
      <c r="P1227" s="3" t="s">
        <v>36</v>
      </c>
      <c r="Q1227" s="3"/>
      <c r="R1227" s="4">
        <v>45996</v>
      </c>
      <c r="S1227" s="3" t="s">
        <v>37</v>
      </c>
      <c r="T1227" s="3" t="s">
        <v>38</v>
      </c>
      <c r="U1227" s="3" t="s">
        <v>39</v>
      </c>
      <c r="V1227" s="3">
        <v>51.37</v>
      </c>
      <c r="W1227" s="3">
        <v>21.83</v>
      </c>
      <c r="X1227" s="3">
        <v>20.68</v>
      </c>
      <c r="Y1227" s="3">
        <v>8.86</v>
      </c>
    </row>
    <row r="1228" spans="1:25" ht="72.75" x14ac:dyDescent="0.25">
      <c r="A1228" s="3" t="s">
        <v>26</v>
      </c>
      <c r="B1228" s="3" t="s">
        <v>27</v>
      </c>
      <c r="C1228" s="3" t="s">
        <v>28</v>
      </c>
      <c r="D1228" s="3" t="s">
        <v>104</v>
      </c>
      <c r="E1228" s="3" t="s">
        <v>141</v>
      </c>
      <c r="F1228" s="3" t="s">
        <v>104</v>
      </c>
      <c r="G1228" s="3" t="s">
        <v>141</v>
      </c>
      <c r="H1228" s="3" t="s">
        <v>96</v>
      </c>
      <c r="I1228" s="3">
        <v>2025</v>
      </c>
      <c r="J1228" s="3" t="str">
        <f>CONCATENATE("54820144936")</f>
        <v>54820144936</v>
      </c>
      <c r="K1228" s="3" t="s">
        <v>33</v>
      </c>
      <c r="L1228" s="3"/>
      <c r="M1228" s="3" t="s">
        <v>131</v>
      </c>
      <c r="N1228" s="3" t="str">
        <f>CONCATENATE("TDRFLN71B54A462V")</f>
        <v>TDRFLN71B54A462V</v>
      </c>
      <c r="O1228" s="3" t="s">
        <v>1356</v>
      </c>
      <c r="P1228" s="3" t="s">
        <v>36</v>
      </c>
      <c r="Q1228" s="3"/>
      <c r="R1228" s="4">
        <v>45996</v>
      </c>
      <c r="S1228" s="3" t="s">
        <v>37</v>
      </c>
      <c r="T1228" s="3" t="s">
        <v>38</v>
      </c>
      <c r="U1228" s="3" t="s">
        <v>39</v>
      </c>
      <c r="V1228" s="3">
        <v>323.06</v>
      </c>
      <c r="W1228" s="3">
        <v>137.30000000000001</v>
      </c>
      <c r="X1228" s="3">
        <v>130.03</v>
      </c>
      <c r="Y1228" s="3">
        <v>55.73</v>
      </c>
    </row>
    <row r="1229" spans="1:25" ht="72.75" x14ac:dyDescent="0.25">
      <c r="A1229" s="3" t="s">
        <v>26</v>
      </c>
      <c r="B1229" s="3" t="s">
        <v>27</v>
      </c>
      <c r="C1229" s="3" t="s">
        <v>28</v>
      </c>
      <c r="D1229" s="3" t="s">
        <v>50</v>
      </c>
      <c r="E1229" s="3" t="s">
        <v>60</v>
      </c>
      <c r="F1229" s="3" t="s">
        <v>52</v>
      </c>
      <c r="G1229" s="3" t="s">
        <v>60</v>
      </c>
      <c r="H1229" s="3" t="s">
        <v>45</v>
      </c>
      <c r="I1229" s="3">
        <v>2025</v>
      </c>
      <c r="J1229" s="3" t="str">
        <f>CONCATENATE("54820117825")</f>
        <v>54820117825</v>
      </c>
      <c r="K1229" s="3" t="s">
        <v>33</v>
      </c>
      <c r="L1229" s="3"/>
      <c r="M1229" s="3" t="s">
        <v>131</v>
      </c>
      <c r="N1229" s="3" t="str">
        <f>CONCATENATE("SRGNRC57D15B352W")</f>
        <v>SRGNRC57D15B352W</v>
      </c>
      <c r="O1229" s="3" t="s">
        <v>1357</v>
      </c>
      <c r="P1229" s="3" t="s">
        <v>36</v>
      </c>
      <c r="Q1229" s="3"/>
      <c r="R1229" s="4">
        <v>45996</v>
      </c>
      <c r="S1229" s="3" t="s">
        <v>37</v>
      </c>
      <c r="T1229" s="3" t="s">
        <v>38</v>
      </c>
      <c r="U1229" s="3" t="s">
        <v>39</v>
      </c>
      <c r="V1229" s="3">
        <v>54.36</v>
      </c>
      <c r="W1229" s="3">
        <v>23.1</v>
      </c>
      <c r="X1229" s="3">
        <v>21.88</v>
      </c>
      <c r="Y1229" s="3">
        <v>9.3800000000000008</v>
      </c>
    </row>
    <row r="1230" spans="1:25" ht="60.75" x14ac:dyDescent="0.25">
      <c r="A1230" s="3" t="s">
        <v>26</v>
      </c>
      <c r="B1230" s="3" t="s">
        <v>27</v>
      </c>
      <c r="C1230" s="3" t="s">
        <v>28</v>
      </c>
      <c r="D1230" s="3" t="s">
        <v>29</v>
      </c>
      <c r="E1230" s="3" t="s">
        <v>136</v>
      </c>
      <c r="F1230" s="3" t="s">
        <v>31</v>
      </c>
      <c r="G1230" s="3" t="s">
        <v>136</v>
      </c>
      <c r="H1230" s="3" t="s">
        <v>48</v>
      </c>
      <c r="I1230" s="3">
        <v>2025</v>
      </c>
      <c r="J1230" s="3" t="str">
        <f>CONCATENATE("54820117023")</f>
        <v>54820117023</v>
      </c>
      <c r="K1230" s="3" t="s">
        <v>33</v>
      </c>
      <c r="L1230" s="3"/>
      <c r="M1230" s="3" t="s">
        <v>131</v>
      </c>
      <c r="N1230" s="3" t="str">
        <f>CONCATENATE("PLTNND46E08D965U")</f>
        <v>PLTNND46E08D965U</v>
      </c>
      <c r="O1230" s="3" t="s">
        <v>1358</v>
      </c>
      <c r="P1230" s="3" t="s">
        <v>36</v>
      </c>
      <c r="Q1230" s="3"/>
      <c r="R1230" s="4">
        <v>45996</v>
      </c>
      <c r="S1230" s="3" t="s">
        <v>37</v>
      </c>
      <c r="T1230" s="3" t="s">
        <v>38</v>
      </c>
      <c r="U1230" s="3" t="s">
        <v>39</v>
      </c>
      <c r="V1230" s="3">
        <v>74.739999999999995</v>
      </c>
      <c r="W1230" s="3">
        <v>31.76</v>
      </c>
      <c r="X1230" s="3">
        <v>30.08</v>
      </c>
      <c r="Y1230" s="3">
        <v>12.9</v>
      </c>
    </row>
    <row r="1231" spans="1:25" ht="60.75" x14ac:dyDescent="0.25">
      <c r="A1231" s="3" t="s">
        <v>26</v>
      </c>
      <c r="B1231" s="3" t="s">
        <v>27</v>
      </c>
      <c r="C1231" s="3" t="s">
        <v>28</v>
      </c>
      <c r="D1231" s="3" t="s">
        <v>29</v>
      </c>
      <c r="E1231" s="3" t="s">
        <v>136</v>
      </c>
      <c r="F1231" s="3" t="s">
        <v>31</v>
      </c>
      <c r="G1231" s="3" t="s">
        <v>136</v>
      </c>
      <c r="H1231" s="3" t="s">
        <v>48</v>
      </c>
      <c r="I1231" s="3">
        <v>2025</v>
      </c>
      <c r="J1231" s="3" t="str">
        <f>CONCATENATE("54820116884")</f>
        <v>54820116884</v>
      </c>
      <c r="K1231" s="3" t="s">
        <v>33</v>
      </c>
      <c r="L1231" s="3"/>
      <c r="M1231" s="3" t="s">
        <v>131</v>
      </c>
      <c r="N1231" s="3" t="str">
        <f>CONCATENATE("PSCBRN33M64I461K")</f>
        <v>PSCBRN33M64I461K</v>
      </c>
      <c r="O1231" s="3" t="s">
        <v>1359</v>
      </c>
      <c r="P1231" s="3" t="s">
        <v>36</v>
      </c>
      <c r="Q1231" s="3"/>
      <c r="R1231" s="4">
        <v>45996</v>
      </c>
      <c r="S1231" s="3" t="s">
        <v>37</v>
      </c>
      <c r="T1231" s="3" t="s">
        <v>38</v>
      </c>
      <c r="U1231" s="3" t="s">
        <v>39</v>
      </c>
      <c r="V1231" s="3">
        <v>228.2</v>
      </c>
      <c r="W1231" s="3">
        <v>96.99</v>
      </c>
      <c r="X1231" s="3">
        <v>91.85</v>
      </c>
      <c r="Y1231" s="3">
        <v>39.36</v>
      </c>
    </row>
    <row r="1232" spans="1:25" ht="60.75" x14ac:dyDescent="0.25">
      <c r="A1232" s="3" t="s">
        <v>26</v>
      </c>
      <c r="B1232" s="3" t="s">
        <v>27</v>
      </c>
      <c r="C1232" s="3" t="s">
        <v>28</v>
      </c>
      <c r="D1232" s="3" t="s">
        <v>50</v>
      </c>
      <c r="E1232" s="3" t="s">
        <v>147</v>
      </c>
      <c r="F1232" s="3" t="s">
        <v>52</v>
      </c>
      <c r="G1232" s="3" t="s">
        <v>147</v>
      </c>
      <c r="H1232" s="3" t="s">
        <v>45</v>
      </c>
      <c r="I1232" s="3">
        <v>2025</v>
      </c>
      <c r="J1232" s="3" t="str">
        <f>CONCATENATE("54820157623")</f>
        <v>54820157623</v>
      </c>
      <c r="K1232" s="3" t="s">
        <v>33</v>
      </c>
      <c r="L1232" s="3"/>
      <c r="M1232" s="3" t="s">
        <v>131</v>
      </c>
      <c r="N1232" s="3" t="str">
        <f>CONCATENATE("MTTVTR67S07L500X")</f>
        <v>MTTVTR67S07L500X</v>
      </c>
      <c r="O1232" s="3" t="s">
        <v>1360</v>
      </c>
      <c r="P1232" s="3" t="s">
        <v>36</v>
      </c>
      <c r="Q1232" s="3"/>
      <c r="R1232" s="4">
        <v>45996</v>
      </c>
      <c r="S1232" s="3" t="s">
        <v>37</v>
      </c>
      <c r="T1232" s="3" t="s">
        <v>38</v>
      </c>
      <c r="U1232" s="3" t="s">
        <v>39</v>
      </c>
      <c r="V1232" s="3">
        <v>345.52</v>
      </c>
      <c r="W1232" s="3">
        <v>146.85</v>
      </c>
      <c r="X1232" s="3">
        <v>139.07</v>
      </c>
      <c r="Y1232" s="3">
        <v>59.6</v>
      </c>
    </row>
    <row r="1233" spans="1:25" ht="60.75" x14ac:dyDescent="0.25">
      <c r="A1233" s="3" t="s">
        <v>26</v>
      </c>
      <c r="B1233" s="3" t="s">
        <v>27</v>
      </c>
      <c r="C1233" s="3" t="s">
        <v>28</v>
      </c>
      <c r="D1233" s="3" t="s">
        <v>50</v>
      </c>
      <c r="E1233" s="3" t="s">
        <v>147</v>
      </c>
      <c r="F1233" s="3" t="s">
        <v>52</v>
      </c>
      <c r="G1233" s="3" t="s">
        <v>147</v>
      </c>
      <c r="H1233" s="3" t="s">
        <v>45</v>
      </c>
      <c r="I1233" s="3">
        <v>2025</v>
      </c>
      <c r="J1233" s="3" t="str">
        <f>CONCATENATE("54820131909")</f>
        <v>54820131909</v>
      </c>
      <c r="K1233" s="3" t="s">
        <v>33</v>
      </c>
      <c r="L1233" s="3"/>
      <c r="M1233" s="3" t="s">
        <v>131</v>
      </c>
      <c r="N1233" s="3" t="str">
        <f>CONCATENATE("PRCMRC61B19L500G")</f>
        <v>PRCMRC61B19L500G</v>
      </c>
      <c r="O1233" s="3" t="s">
        <v>1361</v>
      </c>
      <c r="P1233" s="3" t="s">
        <v>36</v>
      </c>
      <c r="Q1233" s="3"/>
      <c r="R1233" s="4">
        <v>45996</v>
      </c>
      <c r="S1233" s="3" t="s">
        <v>37</v>
      </c>
      <c r="T1233" s="3" t="s">
        <v>38</v>
      </c>
      <c r="U1233" s="3" t="s">
        <v>39</v>
      </c>
      <c r="V1233" s="3">
        <v>279.83999999999997</v>
      </c>
      <c r="W1233" s="3">
        <v>118.93</v>
      </c>
      <c r="X1233" s="3">
        <v>112.64</v>
      </c>
      <c r="Y1233" s="3">
        <v>48.27</v>
      </c>
    </row>
    <row r="1234" spans="1:25" ht="60.75" x14ac:dyDescent="0.25">
      <c r="A1234" s="3" t="s">
        <v>26</v>
      </c>
      <c r="B1234" s="3" t="s">
        <v>27</v>
      </c>
      <c r="C1234" s="3" t="s">
        <v>28</v>
      </c>
      <c r="D1234" s="3" t="s">
        <v>50</v>
      </c>
      <c r="E1234" s="3" t="s">
        <v>60</v>
      </c>
      <c r="F1234" s="3" t="s">
        <v>52</v>
      </c>
      <c r="G1234" s="3" t="s">
        <v>60</v>
      </c>
      <c r="H1234" s="3" t="s">
        <v>45</v>
      </c>
      <c r="I1234" s="3">
        <v>2025</v>
      </c>
      <c r="J1234" s="3" t="str">
        <f>CONCATENATE("54820111562")</f>
        <v>54820111562</v>
      </c>
      <c r="K1234" s="3" t="s">
        <v>33</v>
      </c>
      <c r="L1234" s="3"/>
      <c r="M1234" s="3" t="s">
        <v>131</v>
      </c>
      <c r="N1234" s="3" t="str">
        <f>CONCATENATE("FNLLCU89M19L500D")</f>
        <v>FNLLCU89M19L500D</v>
      </c>
      <c r="O1234" s="3" t="s">
        <v>1362</v>
      </c>
      <c r="P1234" s="3" t="s">
        <v>36</v>
      </c>
      <c r="Q1234" s="3"/>
      <c r="R1234" s="4">
        <v>45996</v>
      </c>
      <c r="S1234" s="3" t="s">
        <v>37</v>
      </c>
      <c r="T1234" s="3" t="s">
        <v>38</v>
      </c>
      <c r="U1234" s="3" t="s">
        <v>39</v>
      </c>
      <c r="V1234" s="3">
        <v>57.1</v>
      </c>
      <c r="W1234" s="3">
        <v>24.27</v>
      </c>
      <c r="X1234" s="3">
        <v>22.98</v>
      </c>
      <c r="Y1234" s="3">
        <v>9.85</v>
      </c>
    </row>
    <row r="1235" spans="1:25" ht="36.75" x14ac:dyDescent="0.25">
      <c r="A1235" s="3" t="s">
        <v>26</v>
      </c>
      <c r="B1235" s="3" t="s">
        <v>27</v>
      </c>
      <c r="C1235" s="3" t="s">
        <v>28</v>
      </c>
      <c r="D1235" s="3" t="s">
        <v>157</v>
      </c>
      <c r="E1235" s="3" t="s">
        <v>1299</v>
      </c>
      <c r="F1235" s="3" t="s">
        <v>159</v>
      </c>
      <c r="G1235" s="3" t="s">
        <v>1299</v>
      </c>
      <c r="H1235" s="3" t="s">
        <v>45</v>
      </c>
      <c r="I1235" s="3">
        <v>2025</v>
      </c>
      <c r="J1235" s="3" t="str">
        <f>CONCATENATE("54820146550")</f>
        <v>54820146550</v>
      </c>
      <c r="K1235" s="3" t="s">
        <v>33</v>
      </c>
      <c r="L1235" s="3"/>
      <c r="M1235" s="3" t="s">
        <v>131</v>
      </c>
      <c r="N1235" s="3" t="str">
        <f>CONCATENATE("02703890414")</f>
        <v>02703890414</v>
      </c>
      <c r="O1235" s="3" t="s">
        <v>1363</v>
      </c>
      <c r="P1235" s="3" t="s">
        <v>36</v>
      </c>
      <c r="Q1235" s="3"/>
      <c r="R1235" s="4">
        <v>45996</v>
      </c>
      <c r="S1235" s="3" t="s">
        <v>37</v>
      </c>
      <c r="T1235" s="3" t="s">
        <v>38</v>
      </c>
      <c r="U1235" s="3" t="s">
        <v>39</v>
      </c>
      <c r="V1235" s="3">
        <v>887.04</v>
      </c>
      <c r="W1235" s="3">
        <v>376.99</v>
      </c>
      <c r="X1235" s="3">
        <v>357.03</v>
      </c>
      <c r="Y1235" s="3">
        <v>153.02000000000001</v>
      </c>
    </row>
    <row r="1236" spans="1:25" ht="60.75" x14ac:dyDescent="0.25">
      <c r="A1236" s="3" t="s">
        <v>26</v>
      </c>
      <c r="B1236" s="3" t="s">
        <v>27</v>
      </c>
      <c r="C1236" s="3" t="s">
        <v>28</v>
      </c>
      <c r="D1236" s="3" t="s">
        <v>50</v>
      </c>
      <c r="E1236" s="3" t="s">
        <v>51</v>
      </c>
      <c r="F1236" s="3" t="s">
        <v>52</v>
      </c>
      <c r="G1236" s="3" t="s">
        <v>51</v>
      </c>
      <c r="H1236" s="3" t="s">
        <v>48</v>
      </c>
      <c r="I1236" s="3">
        <v>2025</v>
      </c>
      <c r="J1236" s="3" t="str">
        <f>CONCATENATE("54820153309")</f>
        <v>54820153309</v>
      </c>
      <c r="K1236" s="3" t="s">
        <v>33</v>
      </c>
      <c r="L1236" s="3"/>
      <c r="M1236" s="3" t="s">
        <v>131</v>
      </c>
      <c r="N1236" s="3" t="str">
        <f>CONCATENATE("MNDGPP63T70D007T")</f>
        <v>MNDGPP63T70D007T</v>
      </c>
      <c r="O1236" s="3" t="s">
        <v>1364</v>
      </c>
      <c r="P1236" s="3" t="s">
        <v>36</v>
      </c>
      <c r="Q1236" s="3"/>
      <c r="R1236" s="4">
        <v>45996</v>
      </c>
      <c r="S1236" s="3" t="s">
        <v>37</v>
      </c>
      <c r="T1236" s="3" t="s">
        <v>38</v>
      </c>
      <c r="U1236" s="3" t="s">
        <v>39</v>
      </c>
      <c r="V1236" s="3">
        <v>328.05</v>
      </c>
      <c r="W1236" s="3">
        <v>139.41999999999999</v>
      </c>
      <c r="X1236" s="3">
        <v>132.04</v>
      </c>
      <c r="Y1236" s="3">
        <v>56.59</v>
      </c>
    </row>
    <row r="1237" spans="1:25" ht="60.75" x14ac:dyDescent="0.25">
      <c r="A1237" s="3" t="s">
        <v>26</v>
      </c>
      <c r="B1237" s="3" t="s">
        <v>27</v>
      </c>
      <c r="C1237" s="3" t="s">
        <v>28</v>
      </c>
      <c r="D1237" s="3" t="s">
        <v>29</v>
      </c>
      <c r="E1237" s="3" t="s">
        <v>136</v>
      </c>
      <c r="F1237" s="3" t="s">
        <v>31</v>
      </c>
      <c r="G1237" s="3" t="s">
        <v>136</v>
      </c>
      <c r="H1237" s="3" t="s">
        <v>48</v>
      </c>
      <c r="I1237" s="3">
        <v>2025</v>
      </c>
      <c r="J1237" s="3" t="str">
        <f>CONCATENATE("54820123187")</f>
        <v>54820123187</v>
      </c>
      <c r="K1237" s="3" t="s">
        <v>33</v>
      </c>
      <c r="L1237" s="3"/>
      <c r="M1237" s="3" t="s">
        <v>131</v>
      </c>
      <c r="N1237" s="3" t="str">
        <f>CONCATENATE("BLLNTN60A29I461N")</f>
        <v>BLLNTN60A29I461N</v>
      </c>
      <c r="O1237" s="3" t="s">
        <v>1365</v>
      </c>
      <c r="P1237" s="3" t="s">
        <v>36</v>
      </c>
      <c r="Q1237" s="3"/>
      <c r="R1237" s="4">
        <v>45996</v>
      </c>
      <c r="S1237" s="3" t="s">
        <v>37</v>
      </c>
      <c r="T1237" s="3" t="s">
        <v>38</v>
      </c>
      <c r="U1237" s="3" t="s">
        <v>39</v>
      </c>
      <c r="V1237" s="3">
        <v>948.79</v>
      </c>
      <c r="W1237" s="3">
        <v>403.24</v>
      </c>
      <c r="X1237" s="3">
        <v>381.89</v>
      </c>
      <c r="Y1237" s="3">
        <v>163.66</v>
      </c>
    </row>
    <row r="1238" spans="1:25" ht="60.75" x14ac:dyDescent="0.25">
      <c r="A1238" s="3" t="s">
        <v>26</v>
      </c>
      <c r="B1238" s="3" t="s">
        <v>27</v>
      </c>
      <c r="C1238" s="3" t="s">
        <v>28</v>
      </c>
      <c r="D1238" s="3" t="s">
        <v>50</v>
      </c>
      <c r="E1238" s="3" t="s">
        <v>51</v>
      </c>
      <c r="F1238" s="3" t="s">
        <v>52</v>
      </c>
      <c r="G1238" s="3" t="s">
        <v>51</v>
      </c>
      <c r="H1238" s="3" t="s">
        <v>48</v>
      </c>
      <c r="I1238" s="3">
        <v>2025</v>
      </c>
      <c r="J1238" s="3" t="str">
        <f>CONCATENATE("54820163639")</f>
        <v>54820163639</v>
      </c>
      <c r="K1238" s="3" t="s">
        <v>33</v>
      </c>
      <c r="L1238" s="3"/>
      <c r="M1238" s="3" t="s">
        <v>131</v>
      </c>
      <c r="N1238" s="3" t="str">
        <f>CONCATENATE("ZMPTLI39P15D451P")</f>
        <v>ZMPTLI39P15D451P</v>
      </c>
      <c r="O1238" s="3" t="s">
        <v>1366</v>
      </c>
      <c r="P1238" s="3" t="s">
        <v>36</v>
      </c>
      <c r="Q1238" s="3"/>
      <c r="R1238" s="4">
        <v>45996</v>
      </c>
      <c r="S1238" s="3" t="s">
        <v>37</v>
      </c>
      <c r="T1238" s="3" t="s">
        <v>38</v>
      </c>
      <c r="U1238" s="3" t="s">
        <v>39</v>
      </c>
      <c r="V1238" s="3">
        <v>164.62</v>
      </c>
      <c r="W1238" s="3">
        <v>69.959999999999994</v>
      </c>
      <c r="X1238" s="3">
        <v>66.260000000000005</v>
      </c>
      <c r="Y1238" s="3">
        <v>28.4</v>
      </c>
    </row>
    <row r="1239" spans="1:25" ht="60.75" x14ac:dyDescent="0.25">
      <c r="A1239" s="3" t="s">
        <v>26</v>
      </c>
      <c r="B1239" s="3" t="s">
        <v>27</v>
      </c>
      <c r="C1239" s="3" t="s">
        <v>28</v>
      </c>
      <c r="D1239" s="3" t="s">
        <v>50</v>
      </c>
      <c r="E1239" s="3" t="s">
        <v>147</v>
      </c>
      <c r="F1239" s="3" t="s">
        <v>52</v>
      </c>
      <c r="G1239" s="3" t="s">
        <v>147</v>
      </c>
      <c r="H1239" s="3" t="s">
        <v>45</v>
      </c>
      <c r="I1239" s="3">
        <v>2025</v>
      </c>
      <c r="J1239" s="3" t="str">
        <f>CONCATENATE("54820189592")</f>
        <v>54820189592</v>
      </c>
      <c r="K1239" s="3" t="s">
        <v>33</v>
      </c>
      <c r="L1239" s="3"/>
      <c r="M1239" s="3" t="s">
        <v>131</v>
      </c>
      <c r="N1239" s="3" t="str">
        <f>CONCATENATE("LGIFNC78B60L500J")</f>
        <v>LGIFNC78B60L500J</v>
      </c>
      <c r="O1239" s="3" t="s">
        <v>1367</v>
      </c>
      <c r="P1239" s="3" t="s">
        <v>36</v>
      </c>
      <c r="Q1239" s="3"/>
      <c r="R1239" s="4">
        <v>45996</v>
      </c>
      <c r="S1239" s="3" t="s">
        <v>37</v>
      </c>
      <c r="T1239" s="3" t="s">
        <v>38</v>
      </c>
      <c r="U1239" s="3" t="s">
        <v>39</v>
      </c>
      <c r="V1239" s="3">
        <v>582.53</v>
      </c>
      <c r="W1239" s="3">
        <v>247.58</v>
      </c>
      <c r="X1239" s="3">
        <v>234.47</v>
      </c>
      <c r="Y1239" s="3">
        <v>100.48</v>
      </c>
    </row>
    <row r="1240" spans="1:25" ht="60.75" x14ac:dyDescent="0.25">
      <c r="A1240" s="3" t="s">
        <v>26</v>
      </c>
      <c r="B1240" s="3" t="s">
        <v>27</v>
      </c>
      <c r="C1240" s="3" t="s">
        <v>28</v>
      </c>
      <c r="D1240" s="3" t="s">
        <v>104</v>
      </c>
      <c r="E1240" s="3" t="s">
        <v>141</v>
      </c>
      <c r="F1240" s="3" t="s">
        <v>104</v>
      </c>
      <c r="G1240" s="3" t="s">
        <v>141</v>
      </c>
      <c r="H1240" s="3" t="s">
        <v>96</v>
      </c>
      <c r="I1240" s="3">
        <v>2025</v>
      </c>
      <c r="J1240" s="3" t="str">
        <f>CONCATENATE("54820143920")</f>
        <v>54820143920</v>
      </c>
      <c r="K1240" s="3" t="s">
        <v>33</v>
      </c>
      <c r="L1240" s="3"/>
      <c r="M1240" s="3" t="s">
        <v>131</v>
      </c>
      <c r="N1240" s="3" t="str">
        <f>CONCATENATE("MSSDNY77S06D542P")</f>
        <v>MSSDNY77S06D542P</v>
      </c>
      <c r="O1240" s="3" t="s">
        <v>1368</v>
      </c>
      <c r="P1240" s="3" t="s">
        <v>36</v>
      </c>
      <c r="Q1240" s="3"/>
      <c r="R1240" s="4">
        <v>45996</v>
      </c>
      <c r="S1240" s="3" t="s">
        <v>37</v>
      </c>
      <c r="T1240" s="3" t="s">
        <v>38</v>
      </c>
      <c r="U1240" s="3" t="s">
        <v>39</v>
      </c>
      <c r="V1240" s="3">
        <v>166.83</v>
      </c>
      <c r="W1240" s="3">
        <v>70.900000000000006</v>
      </c>
      <c r="X1240" s="3">
        <v>67.150000000000006</v>
      </c>
      <c r="Y1240" s="3">
        <v>28.78</v>
      </c>
    </row>
    <row r="1241" spans="1:25" ht="72.75" x14ac:dyDescent="0.25">
      <c r="A1241" s="3" t="s">
        <v>26</v>
      </c>
      <c r="B1241" s="3" t="s">
        <v>27</v>
      </c>
      <c r="C1241" s="3" t="s">
        <v>28</v>
      </c>
      <c r="D1241" s="3" t="s">
        <v>29</v>
      </c>
      <c r="E1241" s="3" t="s">
        <v>119</v>
      </c>
      <c r="F1241" s="3" t="s">
        <v>31</v>
      </c>
      <c r="G1241" s="3" t="s">
        <v>119</v>
      </c>
      <c r="H1241" s="3" t="s">
        <v>96</v>
      </c>
      <c r="I1241" s="3">
        <v>2025</v>
      </c>
      <c r="J1241" s="3" t="str">
        <f>CONCATENATE("54820161120")</f>
        <v>54820161120</v>
      </c>
      <c r="K1241" s="3" t="s">
        <v>33</v>
      </c>
      <c r="L1241" s="3"/>
      <c r="M1241" s="3" t="s">
        <v>131</v>
      </c>
      <c r="N1241" s="3" t="str">
        <f>CONCATENATE("BSSRMN55S12I315N")</f>
        <v>BSSRMN55S12I315N</v>
      </c>
      <c r="O1241" s="3" t="s">
        <v>1369</v>
      </c>
      <c r="P1241" s="3" t="s">
        <v>36</v>
      </c>
      <c r="Q1241" s="3"/>
      <c r="R1241" s="4">
        <v>45996</v>
      </c>
      <c r="S1241" s="3" t="s">
        <v>37</v>
      </c>
      <c r="T1241" s="3" t="s">
        <v>38</v>
      </c>
      <c r="U1241" s="3" t="s">
        <v>39</v>
      </c>
      <c r="V1241" s="3">
        <v>165.55</v>
      </c>
      <c r="W1241" s="3">
        <v>70.36</v>
      </c>
      <c r="X1241" s="3">
        <v>66.63</v>
      </c>
      <c r="Y1241" s="3">
        <v>28.56</v>
      </c>
    </row>
    <row r="1242" spans="1:25" ht="60.75" x14ac:dyDescent="0.25">
      <c r="A1242" s="3" t="s">
        <v>26</v>
      </c>
      <c r="B1242" s="3" t="s">
        <v>27</v>
      </c>
      <c r="C1242" s="3" t="s">
        <v>28</v>
      </c>
      <c r="D1242" s="3" t="s">
        <v>50</v>
      </c>
      <c r="E1242" s="3" t="s">
        <v>252</v>
      </c>
      <c r="F1242" s="3" t="s">
        <v>52</v>
      </c>
      <c r="G1242" s="3" t="s">
        <v>252</v>
      </c>
      <c r="H1242" s="3" t="s">
        <v>45</v>
      </c>
      <c r="I1242" s="3">
        <v>2025</v>
      </c>
      <c r="J1242" s="3" t="str">
        <f>CONCATENATE("54820212121")</f>
        <v>54820212121</v>
      </c>
      <c r="K1242" s="3" t="s">
        <v>33</v>
      </c>
      <c r="L1242" s="3"/>
      <c r="M1242" s="3" t="s">
        <v>131</v>
      </c>
      <c r="N1242" s="3" t="str">
        <f>CONCATENATE("CNGRLL59S62D749Z")</f>
        <v>CNGRLL59S62D749Z</v>
      </c>
      <c r="O1242" s="3" t="s">
        <v>1370</v>
      </c>
      <c r="P1242" s="3" t="s">
        <v>36</v>
      </c>
      <c r="Q1242" s="3"/>
      <c r="R1242" s="4">
        <v>45996</v>
      </c>
      <c r="S1242" s="3" t="s">
        <v>37</v>
      </c>
      <c r="T1242" s="3" t="s">
        <v>38</v>
      </c>
      <c r="U1242" s="3" t="s">
        <v>39</v>
      </c>
      <c r="V1242" s="3">
        <v>62.05</v>
      </c>
      <c r="W1242" s="3">
        <v>26.37</v>
      </c>
      <c r="X1242" s="3">
        <v>24.98</v>
      </c>
      <c r="Y1242" s="3">
        <v>10.7</v>
      </c>
    </row>
    <row r="1243" spans="1:25" ht="60.75" x14ac:dyDescent="0.25">
      <c r="A1243" s="3" t="s">
        <v>26</v>
      </c>
      <c r="B1243" s="3" t="s">
        <v>27</v>
      </c>
      <c r="C1243" s="3" t="s">
        <v>28</v>
      </c>
      <c r="D1243" s="3" t="s">
        <v>29</v>
      </c>
      <c r="E1243" s="3" t="s">
        <v>80</v>
      </c>
      <c r="F1243" s="3" t="s">
        <v>31</v>
      </c>
      <c r="G1243" s="3" t="s">
        <v>80</v>
      </c>
      <c r="H1243" s="3" t="s">
        <v>45</v>
      </c>
      <c r="I1243" s="3">
        <v>2025</v>
      </c>
      <c r="J1243" s="3" t="str">
        <f>CONCATENATE("54820041348")</f>
        <v>54820041348</v>
      </c>
      <c r="K1243" s="3" t="s">
        <v>33</v>
      </c>
      <c r="L1243" s="3"/>
      <c r="M1243" s="3" t="s">
        <v>131</v>
      </c>
      <c r="N1243" s="3" t="str">
        <f>CONCATENATE("DBRSCC96B15L500D")</f>
        <v>DBRSCC96B15L500D</v>
      </c>
      <c r="O1243" s="3" t="s">
        <v>1371</v>
      </c>
      <c r="P1243" s="3" t="s">
        <v>36</v>
      </c>
      <c r="Q1243" s="3"/>
      <c r="R1243" s="4">
        <v>45996</v>
      </c>
      <c r="S1243" s="3" t="s">
        <v>37</v>
      </c>
      <c r="T1243" s="3" t="s">
        <v>38</v>
      </c>
      <c r="U1243" s="3" t="s">
        <v>39</v>
      </c>
      <c r="V1243" s="3">
        <v>361.14</v>
      </c>
      <c r="W1243" s="3">
        <v>153.47999999999999</v>
      </c>
      <c r="X1243" s="3">
        <v>145.36000000000001</v>
      </c>
      <c r="Y1243" s="3">
        <v>62.3</v>
      </c>
    </row>
    <row r="1244" spans="1:25" ht="60.75" x14ac:dyDescent="0.25">
      <c r="A1244" s="3" t="s">
        <v>26</v>
      </c>
      <c r="B1244" s="3" t="s">
        <v>27</v>
      </c>
      <c r="C1244" s="3" t="s">
        <v>28</v>
      </c>
      <c r="D1244" s="3" t="s">
        <v>50</v>
      </c>
      <c r="E1244" s="3" t="s">
        <v>252</v>
      </c>
      <c r="F1244" s="3" t="s">
        <v>52</v>
      </c>
      <c r="G1244" s="3" t="s">
        <v>252</v>
      </c>
      <c r="H1244" s="3" t="s">
        <v>45</v>
      </c>
      <c r="I1244" s="3">
        <v>2025</v>
      </c>
      <c r="J1244" s="3" t="str">
        <f>CONCATENATE("54820203294")</f>
        <v>54820203294</v>
      </c>
      <c r="K1244" s="3" t="s">
        <v>33</v>
      </c>
      <c r="L1244" s="3"/>
      <c r="M1244" s="3" t="s">
        <v>131</v>
      </c>
      <c r="N1244" s="3" t="str">
        <f>CONCATENATE("PRTPRN47M30E351U")</f>
        <v>PRTPRN47M30E351U</v>
      </c>
      <c r="O1244" s="3" t="s">
        <v>1372</v>
      </c>
      <c r="P1244" s="3" t="s">
        <v>36</v>
      </c>
      <c r="Q1244" s="3"/>
      <c r="R1244" s="4">
        <v>45996</v>
      </c>
      <c r="S1244" s="3" t="s">
        <v>37</v>
      </c>
      <c r="T1244" s="3" t="s">
        <v>38</v>
      </c>
      <c r="U1244" s="3" t="s">
        <v>39</v>
      </c>
      <c r="V1244" s="3">
        <v>65.36</v>
      </c>
      <c r="W1244" s="3">
        <v>27.78</v>
      </c>
      <c r="X1244" s="3">
        <v>26.31</v>
      </c>
      <c r="Y1244" s="3">
        <v>11.27</v>
      </c>
    </row>
    <row r="1245" spans="1:25" ht="72.75" x14ac:dyDescent="0.25">
      <c r="A1245" s="3" t="s">
        <v>26</v>
      </c>
      <c r="B1245" s="3" t="s">
        <v>27</v>
      </c>
      <c r="C1245" s="3" t="s">
        <v>28</v>
      </c>
      <c r="D1245" s="3" t="s">
        <v>50</v>
      </c>
      <c r="E1245" s="3" t="s">
        <v>252</v>
      </c>
      <c r="F1245" s="3" t="s">
        <v>52</v>
      </c>
      <c r="G1245" s="3" t="s">
        <v>252</v>
      </c>
      <c r="H1245" s="3" t="s">
        <v>45</v>
      </c>
      <c r="I1245" s="3">
        <v>2025</v>
      </c>
      <c r="J1245" s="3" t="str">
        <f>CONCATENATE("54820286208")</f>
        <v>54820286208</v>
      </c>
      <c r="K1245" s="3" t="s">
        <v>33</v>
      </c>
      <c r="L1245" s="3"/>
      <c r="M1245" s="3" t="s">
        <v>131</v>
      </c>
      <c r="N1245" s="3" t="str">
        <f>CONCATENATE("CHRNMR54A69D749C")</f>
        <v>CHRNMR54A69D749C</v>
      </c>
      <c r="O1245" s="3" t="s">
        <v>1373</v>
      </c>
      <c r="P1245" s="3" t="s">
        <v>36</v>
      </c>
      <c r="Q1245" s="3"/>
      <c r="R1245" s="4">
        <v>45996</v>
      </c>
      <c r="S1245" s="3" t="s">
        <v>37</v>
      </c>
      <c r="T1245" s="3" t="s">
        <v>38</v>
      </c>
      <c r="U1245" s="3" t="s">
        <v>39</v>
      </c>
      <c r="V1245" s="3">
        <v>48.5</v>
      </c>
      <c r="W1245" s="3">
        <v>20.61</v>
      </c>
      <c r="X1245" s="3">
        <v>19.52</v>
      </c>
      <c r="Y1245" s="3">
        <v>8.3699999999999992</v>
      </c>
    </row>
    <row r="1246" spans="1:25" ht="60.75" x14ac:dyDescent="0.25">
      <c r="A1246" s="3" t="s">
        <v>26</v>
      </c>
      <c r="B1246" s="3" t="s">
        <v>27</v>
      </c>
      <c r="C1246" s="3" t="s">
        <v>28</v>
      </c>
      <c r="D1246" s="3" t="s">
        <v>29</v>
      </c>
      <c r="E1246" s="3" t="s">
        <v>56</v>
      </c>
      <c r="F1246" s="3" t="s">
        <v>31</v>
      </c>
      <c r="G1246" s="3" t="s">
        <v>56</v>
      </c>
      <c r="H1246" s="3" t="s">
        <v>32</v>
      </c>
      <c r="I1246" s="3">
        <v>2025</v>
      </c>
      <c r="J1246" s="3" t="str">
        <f>CONCATENATE("54820085980")</f>
        <v>54820085980</v>
      </c>
      <c r="K1246" s="3" t="s">
        <v>33</v>
      </c>
      <c r="L1246" s="3"/>
      <c r="M1246" s="3" t="s">
        <v>131</v>
      </c>
      <c r="N1246" s="3" t="str">
        <f>CONCATENATE("GTTRNZ51A27I661R")</f>
        <v>GTTRNZ51A27I661R</v>
      </c>
      <c r="O1246" s="3" t="s">
        <v>1374</v>
      </c>
      <c r="P1246" s="3" t="s">
        <v>36</v>
      </c>
      <c r="Q1246" s="3"/>
      <c r="R1246" s="4">
        <v>45996</v>
      </c>
      <c r="S1246" s="3" t="s">
        <v>37</v>
      </c>
      <c r="T1246" s="3" t="s">
        <v>38</v>
      </c>
      <c r="U1246" s="3" t="s">
        <v>39</v>
      </c>
      <c r="V1246" s="3">
        <v>156.28</v>
      </c>
      <c r="W1246" s="3">
        <v>66.42</v>
      </c>
      <c r="X1246" s="3">
        <v>62.9</v>
      </c>
      <c r="Y1246" s="3">
        <v>26.96</v>
      </c>
    </row>
    <row r="1247" spans="1:25" ht="72.75" x14ac:dyDescent="0.25">
      <c r="A1247" s="3" t="s">
        <v>26</v>
      </c>
      <c r="B1247" s="3" t="s">
        <v>27</v>
      </c>
      <c r="C1247" s="3" t="s">
        <v>28</v>
      </c>
      <c r="D1247" s="3" t="s">
        <v>40</v>
      </c>
      <c r="E1247" s="3" t="s">
        <v>496</v>
      </c>
      <c r="F1247" s="3" t="s">
        <v>42</v>
      </c>
      <c r="G1247" s="3" t="s">
        <v>496</v>
      </c>
      <c r="H1247" s="3" t="s">
        <v>32</v>
      </c>
      <c r="I1247" s="3">
        <v>2025</v>
      </c>
      <c r="J1247" s="3" t="str">
        <f>CONCATENATE("54820273131")</f>
        <v>54820273131</v>
      </c>
      <c r="K1247" s="3" t="s">
        <v>33</v>
      </c>
      <c r="L1247" s="3"/>
      <c r="M1247" s="3" t="s">
        <v>131</v>
      </c>
      <c r="N1247" s="3" t="str">
        <f>CONCATENATE("RNZCLD64B10B474W")</f>
        <v>RNZCLD64B10B474W</v>
      </c>
      <c r="O1247" s="3" t="s">
        <v>1375</v>
      </c>
      <c r="P1247" s="3" t="s">
        <v>36</v>
      </c>
      <c r="Q1247" s="3"/>
      <c r="R1247" s="4">
        <v>45996</v>
      </c>
      <c r="S1247" s="3" t="s">
        <v>37</v>
      </c>
      <c r="T1247" s="3" t="s">
        <v>38</v>
      </c>
      <c r="U1247" s="3" t="s">
        <v>39</v>
      </c>
      <c r="V1247" s="3">
        <v>876.39</v>
      </c>
      <c r="W1247" s="3">
        <v>372.47</v>
      </c>
      <c r="X1247" s="3">
        <v>352.75</v>
      </c>
      <c r="Y1247" s="3">
        <v>151.16999999999999</v>
      </c>
    </row>
    <row r="1248" spans="1:25" ht="60.75" x14ac:dyDescent="0.25">
      <c r="A1248" s="3" t="s">
        <v>26</v>
      </c>
      <c r="B1248" s="3" t="s">
        <v>27</v>
      </c>
      <c r="C1248" s="3" t="s">
        <v>28</v>
      </c>
      <c r="D1248" s="3" t="s">
        <v>457</v>
      </c>
      <c r="E1248" s="3" t="s">
        <v>1376</v>
      </c>
      <c r="F1248" s="3" t="s">
        <v>459</v>
      </c>
      <c r="G1248" s="3" t="s">
        <v>1376</v>
      </c>
      <c r="H1248" s="3" t="s">
        <v>48</v>
      </c>
      <c r="I1248" s="3">
        <v>2025</v>
      </c>
      <c r="J1248" s="3" t="str">
        <f>CONCATENATE("54820278635")</f>
        <v>54820278635</v>
      </c>
      <c r="K1248" s="3" t="s">
        <v>33</v>
      </c>
      <c r="L1248" s="3"/>
      <c r="M1248" s="3" t="s">
        <v>131</v>
      </c>
      <c r="N1248" s="3" t="str">
        <f>CONCATENATE("SRBFNC42H54D451L")</f>
        <v>SRBFNC42H54D451L</v>
      </c>
      <c r="O1248" s="3" t="s">
        <v>1377</v>
      </c>
      <c r="P1248" s="3" t="s">
        <v>36</v>
      </c>
      <c r="Q1248" s="3"/>
      <c r="R1248" s="4">
        <v>45996</v>
      </c>
      <c r="S1248" s="3" t="s">
        <v>37</v>
      </c>
      <c r="T1248" s="3" t="s">
        <v>38</v>
      </c>
      <c r="U1248" s="3" t="s">
        <v>39</v>
      </c>
      <c r="V1248" s="3">
        <v>103.92</v>
      </c>
      <c r="W1248" s="3">
        <v>44.17</v>
      </c>
      <c r="X1248" s="3">
        <v>41.83</v>
      </c>
      <c r="Y1248" s="3">
        <v>17.920000000000002</v>
      </c>
    </row>
    <row r="1249" spans="1:25" ht="60.75" x14ac:dyDescent="0.25">
      <c r="A1249" s="3" t="s">
        <v>26</v>
      </c>
      <c r="B1249" s="3" t="s">
        <v>27</v>
      </c>
      <c r="C1249" s="3" t="s">
        <v>28</v>
      </c>
      <c r="D1249" s="3" t="s">
        <v>50</v>
      </c>
      <c r="E1249" s="3" t="s">
        <v>173</v>
      </c>
      <c r="F1249" s="3" t="s">
        <v>52</v>
      </c>
      <c r="G1249" s="3" t="s">
        <v>173</v>
      </c>
      <c r="H1249" s="3" t="s">
        <v>45</v>
      </c>
      <c r="I1249" s="3">
        <v>2025</v>
      </c>
      <c r="J1249" s="3" t="str">
        <f>CONCATENATE("54820045539")</f>
        <v>54820045539</v>
      </c>
      <c r="K1249" s="3" t="s">
        <v>33</v>
      </c>
      <c r="L1249" s="3"/>
      <c r="M1249" s="3" t="s">
        <v>131</v>
      </c>
      <c r="N1249" s="3" t="str">
        <f>CONCATENATE("GRRRSN48C46E785J")</f>
        <v>GRRRSN48C46E785J</v>
      </c>
      <c r="O1249" s="3" t="s">
        <v>1378</v>
      </c>
      <c r="P1249" s="3" t="s">
        <v>36</v>
      </c>
      <c r="Q1249" s="3"/>
      <c r="R1249" s="4">
        <v>45996</v>
      </c>
      <c r="S1249" s="3" t="s">
        <v>37</v>
      </c>
      <c r="T1249" s="3" t="s">
        <v>38</v>
      </c>
      <c r="U1249" s="3" t="s">
        <v>39</v>
      </c>
      <c r="V1249" s="3">
        <v>121.33</v>
      </c>
      <c r="W1249" s="3">
        <v>51.57</v>
      </c>
      <c r="X1249" s="3">
        <v>48.84</v>
      </c>
      <c r="Y1249" s="3">
        <v>20.92</v>
      </c>
    </row>
    <row r="1250" spans="1:25" ht="36.75" x14ac:dyDescent="0.25">
      <c r="A1250" s="3" t="s">
        <v>26</v>
      </c>
      <c r="B1250" s="3" t="s">
        <v>27</v>
      </c>
      <c r="C1250" s="3" t="s">
        <v>28</v>
      </c>
      <c r="D1250" s="3" t="s">
        <v>40</v>
      </c>
      <c r="E1250" s="3" t="s">
        <v>44</v>
      </c>
      <c r="F1250" s="3" t="s">
        <v>42</v>
      </c>
      <c r="G1250" s="3" t="s">
        <v>44</v>
      </c>
      <c r="H1250" s="3" t="s">
        <v>32</v>
      </c>
      <c r="I1250" s="3">
        <v>2025</v>
      </c>
      <c r="J1250" s="3" t="str">
        <f>CONCATENATE("54820182969")</f>
        <v>54820182969</v>
      </c>
      <c r="K1250" s="3" t="s">
        <v>33</v>
      </c>
      <c r="L1250" s="3"/>
      <c r="M1250" s="3" t="s">
        <v>131</v>
      </c>
      <c r="N1250" s="3" t="str">
        <f>CONCATENATE("01270910431")</f>
        <v>01270910431</v>
      </c>
      <c r="O1250" s="3" t="s">
        <v>1379</v>
      </c>
      <c r="P1250" s="3" t="s">
        <v>36</v>
      </c>
      <c r="Q1250" s="3"/>
      <c r="R1250" s="4">
        <v>45996</v>
      </c>
      <c r="S1250" s="3" t="s">
        <v>37</v>
      </c>
      <c r="T1250" s="3" t="s">
        <v>38</v>
      </c>
      <c r="U1250" s="3" t="s">
        <v>39</v>
      </c>
      <c r="V1250" s="3">
        <v>436.65</v>
      </c>
      <c r="W1250" s="3">
        <v>185.58</v>
      </c>
      <c r="X1250" s="3">
        <v>175.75</v>
      </c>
      <c r="Y1250" s="3">
        <v>75.319999999999993</v>
      </c>
    </row>
    <row r="1251" spans="1:25" ht="60.75" x14ac:dyDescent="0.25">
      <c r="A1251" s="3" t="s">
        <v>26</v>
      </c>
      <c r="B1251" s="3" t="s">
        <v>27</v>
      </c>
      <c r="C1251" s="3" t="s">
        <v>28</v>
      </c>
      <c r="D1251" s="3" t="s">
        <v>50</v>
      </c>
      <c r="E1251" s="3" t="s">
        <v>252</v>
      </c>
      <c r="F1251" s="3" t="s">
        <v>52</v>
      </c>
      <c r="G1251" s="3" t="s">
        <v>252</v>
      </c>
      <c r="H1251" s="3" t="s">
        <v>45</v>
      </c>
      <c r="I1251" s="3">
        <v>2025</v>
      </c>
      <c r="J1251" s="3" t="str">
        <f>CONCATENATE("54820213046")</f>
        <v>54820213046</v>
      </c>
      <c r="K1251" s="3" t="s">
        <v>33</v>
      </c>
      <c r="L1251" s="3"/>
      <c r="M1251" s="3" t="s">
        <v>131</v>
      </c>
      <c r="N1251" s="3" t="str">
        <f>CONCATENATE("SRRFCN70L50F979L")</f>
        <v>SRRFCN70L50F979L</v>
      </c>
      <c r="O1251" s="3" t="s">
        <v>1380</v>
      </c>
      <c r="P1251" s="3" t="s">
        <v>36</v>
      </c>
      <c r="Q1251" s="3"/>
      <c r="R1251" s="4">
        <v>45996</v>
      </c>
      <c r="S1251" s="3" t="s">
        <v>37</v>
      </c>
      <c r="T1251" s="3" t="s">
        <v>38</v>
      </c>
      <c r="U1251" s="3" t="s">
        <v>39</v>
      </c>
      <c r="V1251" s="3">
        <v>100.7</v>
      </c>
      <c r="W1251" s="3">
        <v>42.8</v>
      </c>
      <c r="X1251" s="3">
        <v>40.53</v>
      </c>
      <c r="Y1251" s="3">
        <v>17.37</v>
      </c>
    </row>
    <row r="1252" spans="1:25" ht="36.75" x14ac:dyDescent="0.25">
      <c r="A1252" s="3" t="s">
        <v>26</v>
      </c>
      <c r="B1252" s="3" t="s">
        <v>27</v>
      </c>
      <c r="C1252" s="3" t="s">
        <v>28</v>
      </c>
      <c r="D1252" s="3" t="s">
        <v>29</v>
      </c>
      <c r="E1252" s="3" t="s">
        <v>186</v>
      </c>
      <c r="F1252" s="3" t="s">
        <v>31</v>
      </c>
      <c r="G1252" s="3" t="s">
        <v>186</v>
      </c>
      <c r="H1252" s="3" t="s">
        <v>45</v>
      </c>
      <c r="I1252" s="3">
        <v>2025</v>
      </c>
      <c r="J1252" s="3" t="str">
        <f>CONCATENATE("54820139050")</f>
        <v>54820139050</v>
      </c>
      <c r="K1252" s="3" t="s">
        <v>33</v>
      </c>
      <c r="L1252" s="3"/>
      <c r="M1252" s="3" t="s">
        <v>131</v>
      </c>
      <c r="N1252" s="3" t="str">
        <f>CONCATENATE("01407300415")</f>
        <v>01407300415</v>
      </c>
      <c r="O1252" s="3" t="s">
        <v>1381</v>
      </c>
      <c r="P1252" s="3" t="s">
        <v>36</v>
      </c>
      <c r="Q1252" s="3"/>
      <c r="R1252" s="4">
        <v>45996</v>
      </c>
      <c r="S1252" s="3" t="s">
        <v>37</v>
      </c>
      <c r="T1252" s="3" t="s">
        <v>38</v>
      </c>
      <c r="U1252" s="3" t="s">
        <v>39</v>
      </c>
      <c r="V1252" s="5">
        <v>1227.3599999999999</v>
      </c>
      <c r="W1252" s="3">
        <v>521.63</v>
      </c>
      <c r="X1252" s="3">
        <v>494.01</v>
      </c>
      <c r="Y1252" s="3">
        <v>211.72</v>
      </c>
    </row>
    <row r="1253" spans="1:25" ht="60.75" x14ac:dyDescent="0.25">
      <c r="A1253" s="3" t="s">
        <v>26</v>
      </c>
      <c r="B1253" s="3" t="s">
        <v>27</v>
      </c>
      <c r="C1253" s="3" t="s">
        <v>28</v>
      </c>
      <c r="D1253" s="3" t="s">
        <v>50</v>
      </c>
      <c r="E1253" s="3" t="s">
        <v>60</v>
      </c>
      <c r="F1253" s="3" t="s">
        <v>52</v>
      </c>
      <c r="G1253" s="3" t="s">
        <v>60</v>
      </c>
      <c r="H1253" s="3" t="s">
        <v>45</v>
      </c>
      <c r="I1253" s="3">
        <v>2025</v>
      </c>
      <c r="J1253" s="3" t="str">
        <f>CONCATENATE("54820082854")</f>
        <v>54820082854</v>
      </c>
      <c r="K1253" s="3" t="s">
        <v>33</v>
      </c>
      <c r="L1253" s="3"/>
      <c r="M1253" s="3" t="s">
        <v>131</v>
      </c>
      <c r="N1253" s="3" t="str">
        <f>CONCATENATE("CSCLGU52E05I654S")</f>
        <v>CSCLGU52E05I654S</v>
      </c>
      <c r="O1253" s="3" t="s">
        <v>1382</v>
      </c>
      <c r="P1253" s="3" t="s">
        <v>36</v>
      </c>
      <c r="Q1253" s="3"/>
      <c r="R1253" s="4">
        <v>45996</v>
      </c>
      <c r="S1253" s="3" t="s">
        <v>37</v>
      </c>
      <c r="T1253" s="3" t="s">
        <v>38</v>
      </c>
      <c r="U1253" s="3" t="s">
        <v>39</v>
      </c>
      <c r="V1253" s="3">
        <v>97.28</v>
      </c>
      <c r="W1253" s="3">
        <v>41.34</v>
      </c>
      <c r="X1253" s="3">
        <v>39.159999999999997</v>
      </c>
      <c r="Y1253" s="3">
        <v>16.78</v>
      </c>
    </row>
    <row r="1254" spans="1:25" ht="60.75" x14ac:dyDescent="0.25">
      <c r="A1254" s="3" t="s">
        <v>26</v>
      </c>
      <c r="B1254" s="3" t="s">
        <v>27</v>
      </c>
      <c r="C1254" s="3" t="s">
        <v>28</v>
      </c>
      <c r="D1254" s="3" t="s">
        <v>312</v>
      </c>
      <c r="E1254" s="3" t="s">
        <v>313</v>
      </c>
      <c r="F1254" s="3" t="s">
        <v>314</v>
      </c>
      <c r="G1254" s="3" t="s">
        <v>313</v>
      </c>
      <c r="H1254" s="3" t="s">
        <v>96</v>
      </c>
      <c r="I1254" s="3">
        <v>2025</v>
      </c>
      <c r="J1254" s="3" t="str">
        <f>CONCATENATE("54820241153")</f>
        <v>54820241153</v>
      </c>
      <c r="K1254" s="3" t="s">
        <v>33</v>
      </c>
      <c r="L1254" s="3"/>
      <c r="M1254" s="3" t="s">
        <v>131</v>
      </c>
      <c r="N1254" s="3" t="str">
        <f>CONCATENATE("CTTGLI67B15C935B")</f>
        <v>CTTGLI67B15C935B</v>
      </c>
      <c r="O1254" s="3" t="s">
        <v>1383</v>
      </c>
      <c r="P1254" s="3" t="s">
        <v>36</v>
      </c>
      <c r="Q1254" s="3"/>
      <c r="R1254" s="4">
        <v>45996</v>
      </c>
      <c r="S1254" s="3" t="s">
        <v>37</v>
      </c>
      <c r="T1254" s="3" t="s">
        <v>38</v>
      </c>
      <c r="U1254" s="3" t="s">
        <v>39</v>
      </c>
      <c r="V1254" s="3">
        <v>195.55</v>
      </c>
      <c r="W1254" s="3">
        <v>83.11</v>
      </c>
      <c r="X1254" s="3">
        <v>78.709999999999994</v>
      </c>
      <c r="Y1254" s="3">
        <v>33.729999999999997</v>
      </c>
    </row>
    <row r="1255" spans="1:25" ht="36.75" x14ac:dyDescent="0.25">
      <c r="A1255" s="3" t="s">
        <v>26</v>
      </c>
      <c r="B1255" s="3" t="s">
        <v>27</v>
      </c>
      <c r="C1255" s="3" t="s">
        <v>28</v>
      </c>
      <c r="D1255" s="3" t="s">
        <v>157</v>
      </c>
      <c r="E1255" s="3" t="s">
        <v>158</v>
      </c>
      <c r="F1255" s="3" t="s">
        <v>159</v>
      </c>
      <c r="G1255" s="3" t="s">
        <v>158</v>
      </c>
      <c r="H1255" s="3" t="s">
        <v>45</v>
      </c>
      <c r="I1255" s="3">
        <v>2025</v>
      </c>
      <c r="J1255" s="3" t="str">
        <f>CONCATENATE("54820008222")</f>
        <v>54820008222</v>
      </c>
      <c r="K1255" s="3" t="s">
        <v>33</v>
      </c>
      <c r="L1255" s="3"/>
      <c r="M1255" s="3" t="s">
        <v>131</v>
      </c>
      <c r="N1255" s="3" t="str">
        <f>CONCATENATE("02810750410")</f>
        <v>02810750410</v>
      </c>
      <c r="O1255" s="3" t="s">
        <v>1384</v>
      </c>
      <c r="P1255" s="3" t="s">
        <v>36</v>
      </c>
      <c r="Q1255" s="3"/>
      <c r="R1255" s="4">
        <v>45996</v>
      </c>
      <c r="S1255" s="3" t="s">
        <v>37</v>
      </c>
      <c r="T1255" s="3" t="s">
        <v>38</v>
      </c>
      <c r="U1255" s="3" t="s">
        <v>39</v>
      </c>
      <c r="V1255" s="3">
        <v>616.70000000000005</v>
      </c>
      <c r="W1255" s="3">
        <v>262.10000000000002</v>
      </c>
      <c r="X1255" s="3">
        <v>248.22</v>
      </c>
      <c r="Y1255" s="3">
        <v>106.38</v>
      </c>
    </row>
    <row r="1256" spans="1:25" ht="60.75" x14ac:dyDescent="0.25">
      <c r="A1256" s="3" t="s">
        <v>26</v>
      </c>
      <c r="B1256" s="3" t="s">
        <v>27</v>
      </c>
      <c r="C1256" s="3" t="s">
        <v>28</v>
      </c>
      <c r="D1256" s="3" t="s">
        <v>50</v>
      </c>
      <c r="E1256" s="3" t="s">
        <v>252</v>
      </c>
      <c r="F1256" s="3" t="s">
        <v>52</v>
      </c>
      <c r="G1256" s="3" t="s">
        <v>252</v>
      </c>
      <c r="H1256" s="3" t="s">
        <v>45</v>
      </c>
      <c r="I1256" s="3">
        <v>2025</v>
      </c>
      <c r="J1256" s="3" t="str">
        <f>CONCATENATE("54820174677")</f>
        <v>54820174677</v>
      </c>
      <c r="K1256" s="3" t="s">
        <v>33</v>
      </c>
      <c r="L1256" s="3"/>
      <c r="M1256" s="3" t="s">
        <v>131</v>
      </c>
      <c r="N1256" s="3" t="str">
        <f>CONCATENATE("BRLSFN92P02A271E")</f>
        <v>BRLSFN92P02A271E</v>
      </c>
      <c r="O1256" s="3" t="s">
        <v>1385</v>
      </c>
      <c r="P1256" s="3" t="s">
        <v>36</v>
      </c>
      <c r="Q1256" s="3"/>
      <c r="R1256" s="4">
        <v>45996</v>
      </c>
      <c r="S1256" s="3" t="s">
        <v>37</v>
      </c>
      <c r="T1256" s="3" t="s">
        <v>38</v>
      </c>
      <c r="U1256" s="3" t="s">
        <v>39</v>
      </c>
      <c r="V1256" s="3">
        <v>304.83</v>
      </c>
      <c r="W1256" s="3">
        <v>129.55000000000001</v>
      </c>
      <c r="X1256" s="3">
        <v>122.69</v>
      </c>
      <c r="Y1256" s="3">
        <v>52.59</v>
      </c>
    </row>
    <row r="1257" spans="1:25" ht="60.75" x14ac:dyDescent="0.25">
      <c r="A1257" s="3" t="s">
        <v>26</v>
      </c>
      <c r="B1257" s="3" t="s">
        <v>27</v>
      </c>
      <c r="C1257" s="3" t="s">
        <v>28</v>
      </c>
      <c r="D1257" s="3" t="s">
        <v>50</v>
      </c>
      <c r="E1257" s="3" t="s">
        <v>173</v>
      </c>
      <c r="F1257" s="3" t="s">
        <v>52</v>
      </c>
      <c r="G1257" s="3" t="s">
        <v>173</v>
      </c>
      <c r="H1257" s="3" t="s">
        <v>45</v>
      </c>
      <c r="I1257" s="3">
        <v>2025</v>
      </c>
      <c r="J1257" s="3" t="str">
        <f>CONCATENATE("54820036306")</f>
        <v>54820036306</v>
      </c>
      <c r="K1257" s="3" t="s">
        <v>33</v>
      </c>
      <c r="L1257" s="3"/>
      <c r="M1257" s="3" t="s">
        <v>131</v>
      </c>
      <c r="N1257" s="3" t="str">
        <f>CONCATENATE("GHSTZN66E60D969V")</f>
        <v>GHSTZN66E60D969V</v>
      </c>
      <c r="O1257" s="3" t="s">
        <v>1386</v>
      </c>
      <c r="P1257" s="3" t="s">
        <v>36</v>
      </c>
      <c r="Q1257" s="3"/>
      <c r="R1257" s="4">
        <v>45996</v>
      </c>
      <c r="S1257" s="3" t="s">
        <v>37</v>
      </c>
      <c r="T1257" s="3" t="s">
        <v>38</v>
      </c>
      <c r="U1257" s="3" t="s">
        <v>39</v>
      </c>
      <c r="V1257" s="3">
        <v>237.87</v>
      </c>
      <c r="W1257" s="3">
        <v>101.09</v>
      </c>
      <c r="X1257" s="3">
        <v>95.74</v>
      </c>
      <c r="Y1257" s="3">
        <v>41.04</v>
      </c>
    </row>
    <row r="1258" spans="1:25" ht="60.75" x14ac:dyDescent="0.25">
      <c r="A1258" s="3" t="s">
        <v>26</v>
      </c>
      <c r="B1258" s="3" t="s">
        <v>27</v>
      </c>
      <c r="C1258" s="3" t="s">
        <v>28</v>
      </c>
      <c r="D1258" s="3" t="s">
        <v>29</v>
      </c>
      <c r="E1258" s="3" t="s">
        <v>186</v>
      </c>
      <c r="F1258" s="3" t="s">
        <v>31</v>
      </c>
      <c r="G1258" s="3" t="s">
        <v>186</v>
      </c>
      <c r="H1258" s="3" t="s">
        <v>45</v>
      </c>
      <c r="I1258" s="3">
        <v>2025</v>
      </c>
      <c r="J1258" s="3" t="str">
        <f>CONCATENATE("54820052394")</f>
        <v>54820052394</v>
      </c>
      <c r="K1258" s="3" t="s">
        <v>33</v>
      </c>
      <c r="L1258" s="3"/>
      <c r="M1258" s="3" t="s">
        <v>131</v>
      </c>
      <c r="N1258" s="3" t="str">
        <f>CONCATENATE("RSTSVN51E20G551B")</f>
        <v>RSTSVN51E20G551B</v>
      </c>
      <c r="O1258" s="3" t="s">
        <v>1387</v>
      </c>
      <c r="P1258" s="3" t="s">
        <v>36</v>
      </c>
      <c r="Q1258" s="3"/>
      <c r="R1258" s="4">
        <v>45996</v>
      </c>
      <c r="S1258" s="3" t="s">
        <v>37</v>
      </c>
      <c r="T1258" s="3" t="s">
        <v>38</v>
      </c>
      <c r="U1258" s="3" t="s">
        <v>39</v>
      </c>
      <c r="V1258" s="3">
        <v>85.4</v>
      </c>
      <c r="W1258" s="3">
        <v>36.299999999999997</v>
      </c>
      <c r="X1258" s="3">
        <v>34.369999999999997</v>
      </c>
      <c r="Y1258" s="3">
        <v>14.73</v>
      </c>
    </row>
    <row r="1259" spans="1:25" ht="60.75" x14ac:dyDescent="0.25">
      <c r="A1259" s="3" t="s">
        <v>26</v>
      </c>
      <c r="B1259" s="3" t="s">
        <v>27</v>
      </c>
      <c r="C1259" s="3" t="s">
        <v>28</v>
      </c>
      <c r="D1259" s="3" t="s">
        <v>29</v>
      </c>
      <c r="E1259" s="3" t="s">
        <v>47</v>
      </c>
      <c r="F1259" s="3" t="s">
        <v>31</v>
      </c>
      <c r="G1259" s="3" t="s">
        <v>47</v>
      </c>
      <c r="H1259" s="3" t="s">
        <v>48</v>
      </c>
      <c r="I1259" s="3">
        <v>2025</v>
      </c>
      <c r="J1259" s="3" t="str">
        <f>CONCATENATE("54820200175")</f>
        <v>54820200175</v>
      </c>
      <c r="K1259" s="3" t="s">
        <v>33</v>
      </c>
      <c r="L1259" s="3"/>
      <c r="M1259" s="3" t="s">
        <v>131</v>
      </c>
      <c r="N1259" s="3" t="str">
        <f>CONCATENATE("LRNMSM68B12I653L")</f>
        <v>LRNMSM68B12I653L</v>
      </c>
      <c r="O1259" s="3" t="s">
        <v>1388</v>
      </c>
      <c r="P1259" s="3" t="s">
        <v>36</v>
      </c>
      <c r="Q1259" s="3"/>
      <c r="R1259" s="4">
        <v>45996</v>
      </c>
      <c r="S1259" s="3" t="s">
        <v>37</v>
      </c>
      <c r="T1259" s="3" t="s">
        <v>38</v>
      </c>
      <c r="U1259" s="3" t="s">
        <v>39</v>
      </c>
      <c r="V1259" s="3">
        <v>161.1</v>
      </c>
      <c r="W1259" s="3">
        <v>68.47</v>
      </c>
      <c r="X1259" s="3">
        <v>64.84</v>
      </c>
      <c r="Y1259" s="3">
        <v>27.79</v>
      </c>
    </row>
    <row r="1260" spans="1:25" ht="60.75" x14ac:dyDescent="0.25">
      <c r="A1260" s="3" t="s">
        <v>26</v>
      </c>
      <c r="B1260" s="3" t="s">
        <v>27</v>
      </c>
      <c r="C1260" s="3" t="s">
        <v>28</v>
      </c>
      <c r="D1260" s="3" t="s">
        <v>29</v>
      </c>
      <c r="E1260" s="3" t="s">
        <v>228</v>
      </c>
      <c r="F1260" s="3" t="s">
        <v>31</v>
      </c>
      <c r="G1260" s="3" t="s">
        <v>228</v>
      </c>
      <c r="H1260" s="3" t="s">
        <v>45</v>
      </c>
      <c r="I1260" s="3">
        <v>2025</v>
      </c>
      <c r="J1260" s="3" t="str">
        <f>CONCATENATE("54820036801")</f>
        <v>54820036801</v>
      </c>
      <c r="K1260" s="3" t="s">
        <v>33</v>
      </c>
      <c r="L1260" s="3"/>
      <c r="M1260" s="3" t="s">
        <v>131</v>
      </c>
      <c r="N1260" s="3" t="str">
        <f>CONCATENATE("GRLLRT83B27D749E")</f>
        <v>GRLLRT83B27D749E</v>
      </c>
      <c r="O1260" s="3" t="s">
        <v>1389</v>
      </c>
      <c r="P1260" s="3" t="s">
        <v>36</v>
      </c>
      <c r="Q1260" s="3"/>
      <c r="R1260" s="4">
        <v>45996</v>
      </c>
      <c r="S1260" s="3" t="s">
        <v>37</v>
      </c>
      <c r="T1260" s="3" t="s">
        <v>38</v>
      </c>
      <c r="U1260" s="3" t="s">
        <v>39</v>
      </c>
      <c r="V1260" s="3">
        <v>673.59</v>
      </c>
      <c r="W1260" s="3">
        <v>286.27999999999997</v>
      </c>
      <c r="X1260" s="3">
        <v>271.12</v>
      </c>
      <c r="Y1260" s="3">
        <v>116.19</v>
      </c>
    </row>
    <row r="1261" spans="1:25" ht="72.75" x14ac:dyDescent="0.25">
      <c r="A1261" s="3" t="s">
        <v>26</v>
      </c>
      <c r="B1261" s="3" t="s">
        <v>27</v>
      </c>
      <c r="C1261" s="3" t="s">
        <v>28</v>
      </c>
      <c r="D1261" s="3" t="s">
        <v>29</v>
      </c>
      <c r="E1261" s="3" t="s">
        <v>80</v>
      </c>
      <c r="F1261" s="3" t="s">
        <v>31</v>
      </c>
      <c r="G1261" s="3" t="s">
        <v>80</v>
      </c>
      <c r="H1261" s="3" t="s">
        <v>45</v>
      </c>
      <c r="I1261" s="3">
        <v>2025</v>
      </c>
      <c r="J1261" s="3" t="str">
        <f>CONCATENATE("54820157797")</f>
        <v>54820157797</v>
      </c>
      <c r="K1261" s="3" t="s">
        <v>33</v>
      </c>
      <c r="L1261" s="3"/>
      <c r="M1261" s="3" t="s">
        <v>131</v>
      </c>
      <c r="N1261" s="3" t="str">
        <f>CONCATENATE("PRCGMC59A12D808R")</f>
        <v>PRCGMC59A12D808R</v>
      </c>
      <c r="O1261" s="3" t="s">
        <v>1390</v>
      </c>
      <c r="P1261" s="3" t="s">
        <v>36</v>
      </c>
      <c r="Q1261" s="3"/>
      <c r="R1261" s="4">
        <v>45996</v>
      </c>
      <c r="S1261" s="3" t="s">
        <v>37</v>
      </c>
      <c r="T1261" s="3" t="s">
        <v>38</v>
      </c>
      <c r="U1261" s="3" t="s">
        <v>39</v>
      </c>
      <c r="V1261" s="3">
        <v>309.26</v>
      </c>
      <c r="W1261" s="3">
        <v>131.44</v>
      </c>
      <c r="X1261" s="3">
        <v>124.48</v>
      </c>
      <c r="Y1261" s="3">
        <v>53.34</v>
      </c>
    </row>
    <row r="1262" spans="1:25" ht="60.75" x14ac:dyDescent="0.25">
      <c r="A1262" s="3" t="s">
        <v>26</v>
      </c>
      <c r="B1262" s="3" t="s">
        <v>27</v>
      </c>
      <c r="C1262" s="3" t="s">
        <v>28</v>
      </c>
      <c r="D1262" s="3" t="s">
        <v>104</v>
      </c>
      <c r="E1262" s="3" t="s">
        <v>141</v>
      </c>
      <c r="F1262" s="3" t="s">
        <v>104</v>
      </c>
      <c r="G1262" s="3" t="s">
        <v>141</v>
      </c>
      <c r="H1262" s="3" t="s">
        <v>96</v>
      </c>
      <c r="I1262" s="3">
        <v>2025</v>
      </c>
      <c r="J1262" s="3" t="str">
        <f>CONCATENATE("54820136734")</f>
        <v>54820136734</v>
      </c>
      <c r="K1262" s="3" t="s">
        <v>33</v>
      </c>
      <c r="L1262" s="3"/>
      <c r="M1262" s="3" t="s">
        <v>131</v>
      </c>
      <c r="N1262" s="3" t="str">
        <f>CONCATENATE("MDADNA39C01L728L")</f>
        <v>MDADNA39C01L728L</v>
      </c>
      <c r="O1262" s="3" t="s">
        <v>1391</v>
      </c>
      <c r="P1262" s="3" t="s">
        <v>36</v>
      </c>
      <c r="Q1262" s="3"/>
      <c r="R1262" s="4">
        <v>45996</v>
      </c>
      <c r="S1262" s="3" t="s">
        <v>37</v>
      </c>
      <c r="T1262" s="3" t="s">
        <v>38</v>
      </c>
      <c r="U1262" s="3" t="s">
        <v>39</v>
      </c>
      <c r="V1262" s="3">
        <v>89.41</v>
      </c>
      <c r="W1262" s="3">
        <v>38</v>
      </c>
      <c r="X1262" s="3">
        <v>35.99</v>
      </c>
      <c r="Y1262" s="3">
        <v>15.42</v>
      </c>
    </row>
    <row r="1263" spans="1:25" ht="60.75" x14ac:dyDescent="0.25">
      <c r="A1263" s="3" t="s">
        <v>26</v>
      </c>
      <c r="B1263" s="3" t="s">
        <v>27</v>
      </c>
      <c r="C1263" s="3" t="s">
        <v>28</v>
      </c>
      <c r="D1263" s="3" t="s">
        <v>50</v>
      </c>
      <c r="E1263" s="3" t="s">
        <v>51</v>
      </c>
      <c r="F1263" s="3" t="s">
        <v>52</v>
      </c>
      <c r="G1263" s="3" t="s">
        <v>51</v>
      </c>
      <c r="H1263" s="3" t="s">
        <v>48</v>
      </c>
      <c r="I1263" s="3">
        <v>2025</v>
      </c>
      <c r="J1263" s="3" t="str">
        <f>CONCATENATE("54820106661")</f>
        <v>54820106661</v>
      </c>
      <c r="K1263" s="3" t="s">
        <v>33</v>
      </c>
      <c r="L1263" s="3"/>
      <c r="M1263" s="3" t="s">
        <v>131</v>
      </c>
      <c r="N1263" s="3" t="str">
        <f>CONCATENATE("MRTMLE34H44I653P")</f>
        <v>MRTMLE34H44I653P</v>
      </c>
      <c r="O1263" s="3" t="s">
        <v>1392</v>
      </c>
      <c r="P1263" s="3" t="s">
        <v>36</v>
      </c>
      <c r="Q1263" s="3"/>
      <c r="R1263" s="4">
        <v>45996</v>
      </c>
      <c r="S1263" s="3" t="s">
        <v>37</v>
      </c>
      <c r="T1263" s="3" t="s">
        <v>38</v>
      </c>
      <c r="U1263" s="3" t="s">
        <v>39</v>
      </c>
      <c r="V1263" s="3">
        <v>66.78</v>
      </c>
      <c r="W1263" s="3">
        <v>28.38</v>
      </c>
      <c r="X1263" s="3">
        <v>26.88</v>
      </c>
      <c r="Y1263" s="3">
        <v>11.52</v>
      </c>
    </row>
    <row r="1264" spans="1:25" ht="60.75" x14ac:dyDescent="0.25">
      <c r="A1264" s="3" t="s">
        <v>26</v>
      </c>
      <c r="B1264" s="3" t="s">
        <v>27</v>
      </c>
      <c r="C1264" s="3" t="s">
        <v>28</v>
      </c>
      <c r="D1264" s="3" t="s">
        <v>104</v>
      </c>
      <c r="E1264" s="3" t="s">
        <v>268</v>
      </c>
      <c r="F1264" s="3" t="s">
        <v>104</v>
      </c>
      <c r="G1264" s="3" t="s">
        <v>268</v>
      </c>
      <c r="H1264" s="3" t="s">
        <v>32</v>
      </c>
      <c r="I1264" s="3">
        <v>2025</v>
      </c>
      <c r="J1264" s="3" t="str">
        <f>CONCATENATE("54820046453")</f>
        <v>54820046453</v>
      </c>
      <c r="K1264" s="3" t="s">
        <v>33</v>
      </c>
      <c r="L1264" s="3"/>
      <c r="M1264" s="3" t="s">
        <v>131</v>
      </c>
      <c r="N1264" s="3" t="str">
        <f>CONCATENATE("CNTRLL60H47B474N")</f>
        <v>CNTRLL60H47B474N</v>
      </c>
      <c r="O1264" s="3" t="s">
        <v>1393</v>
      </c>
      <c r="P1264" s="3" t="s">
        <v>36</v>
      </c>
      <c r="Q1264" s="3"/>
      <c r="R1264" s="4">
        <v>45996</v>
      </c>
      <c r="S1264" s="3" t="s">
        <v>37</v>
      </c>
      <c r="T1264" s="3" t="s">
        <v>38</v>
      </c>
      <c r="U1264" s="3" t="s">
        <v>39</v>
      </c>
      <c r="V1264" s="3">
        <v>105.43</v>
      </c>
      <c r="W1264" s="3">
        <v>44.81</v>
      </c>
      <c r="X1264" s="3">
        <v>42.44</v>
      </c>
      <c r="Y1264" s="3">
        <v>18.18</v>
      </c>
    </row>
    <row r="1265" spans="1:25" ht="60.75" x14ac:dyDescent="0.25">
      <c r="A1265" s="3" t="s">
        <v>26</v>
      </c>
      <c r="B1265" s="3" t="s">
        <v>27</v>
      </c>
      <c r="C1265" s="3" t="s">
        <v>28</v>
      </c>
      <c r="D1265" s="3" t="s">
        <v>50</v>
      </c>
      <c r="E1265" s="3" t="s">
        <v>147</v>
      </c>
      <c r="F1265" s="3" t="s">
        <v>52</v>
      </c>
      <c r="G1265" s="3" t="s">
        <v>147</v>
      </c>
      <c r="H1265" s="3" t="s">
        <v>45</v>
      </c>
      <c r="I1265" s="3">
        <v>2025</v>
      </c>
      <c r="J1265" s="3" t="str">
        <f>CONCATENATE("54820147301")</f>
        <v>54820147301</v>
      </c>
      <c r="K1265" s="3" t="s">
        <v>33</v>
      </c>
      <c r="L1265" s="3"/>
      <c r="M1265" s="3" t="s">
        <v>131</v>
      </c>
      <c r="N1265" s="3" t="str">
        <f>CONCATENATE("FDDMCH54M25A895I")</f>
        <v>FDDMCH54M25A895I</v>
      </c>
      <c r="O1265" s="3" t="s">
        <v>1394</v>
      </c>
      <c r="P1265" s="3" t="s">
        <v>36</v>
      </c>
      <c r="Q1265" s="3"/>
      <c r="R1265" s="4">
        <v>45996</v>
      </c>
      <c r="S1265" s="3" t="s">
        <v>37</v>
      </c>
      <c r="T1265" s="3" t="s">
        <v>38</v>
      </c>
      <c r="U1265" s="3" t="s">
        <v>39</v>
      </c>
      <c r="V1265" s="3">
        <v>947.17</v>
      </c>
      <c r="W1265" s="3">
        <v>402.55</v>
      </c>
      <c r="X1265" s="3">
        <v>381.24</v>
      </c>
      <c r="Y1265" s="3">
        <v>163.38</v>
      </c>
    </row>
    <row r="1266" spans="1:25" ht="72.75" x14ac:dyDescent="0.25">
      <c r="A1266" s="3" t="s">
        <v>26</v>
      </c>
      <c r="B1266" s="3" t="s">
        <v>27</v>
      </c>
      <c r="C1266" s="3" t="s">
        <v>28</v>
      </c>
      <c r="D1266" s="3" t="s">
        <v>50</v>
      </c>
      <c r="E1266" s="3" t="s">
        <v>60</v>
      </c>
      <c r="F1266" s="3" t="s">
        <v>52</v>
      </c>
      <c r="G1266" s="3" t="s">
        <v>60</v>
      </c>
      <c r="H1266" s="3" t="s">
        <v>45</v>
      </c>
      <c r="I1266" s="3">
        <v>2025</v>
      </c>
      <c r="J1266" s="3" t="str">
        <f>CONCATENATE("54820110275")</f>
        <v>54820110275</v>
      </c>
      <c r="K1266" s="3" t="s">
        <v>33</v>
      </c>
      <c r="L1266" s="3"/>
      <c r="M1266" s="3" t="s">
        <v>131</v>
      </c>
      <c r="N1266" s="3" t="str">
        <f>CONCATENATE("CRNGPP44A54A035H")</f>
        <v>CRNGPP44A54A035H</v>
      </c>
      <c r="O1266" s="3" t="s">
        <v>1395</v>
      </c>
      <c r="P1266" s="3" t="s">
        <v>36</v>
      </c>
      <c r="Q1266" s="3"/>
      <c r="R1266" s="4">
        <v>45996</v>
      </c>
      <c r="S1266" s="3" t="s">
        <v>37</v>
      </c>
      <c r="T1266" s="3" t="s">
        <v>38</v>
      </c>
      <c r="U1266" s="3" t="s">
        <v>39</v>
      </c>
      <c r="V1266" s="3">
        <v>48.35</v>
      </c>
      <c r="W1266" s="3">
        <v>20.55</v>
      </c>
      <c r="X1266" s="3">
        <v>19.46</v>
      </c>
      <c r="Y1266" s="3">
        <v>8.34</v>
      </c>
    </row>
    <row r="1267" spans="1:25" ht="36.75" x14ac:dyDescent="0.25">
      <c r="A1267" s="3" t="s">
        <v>26</v>
      </c>
      <c r="B1267" s="3" t="s">
        <v>27</v>
      </c>
      <c r="C1267" s="3" t="s">
        <v>28</v>
      </c>
      <c r="D1267" s="3" t="s">
        <v>40</v>
      </c>
      <c r="E1267" s="3" t="s">
        <v>41</v>
      </c>
      <c r="F1267" s="3" t="s">
        <v>42</v>
      </c>
      <c r="G1267" s="3" t="s">
        <v>41</v>
      </c>
      <c r="H1267" s="3" t="s">
        <v>32</v>
      </c>
      <c r="I1267" s="3">
        <v>2025</v>
      </c>
      <c r="J1267" s="3" t="str">
        <f>CONCATENATE("54820143870")</f>
        <v>54820143870</v>
      </c>
      <c r="K1267" s="3" t="s">
        <v>33</v>
      </c>
      <c r="L1267" s="3"/>
      <c r="M1267" s="3" t="s">
        <v>131</v>
      </c>
      <c r="N1267" s="3" t="str">
        <f>CONCATENATE("01475940431")</f>
        <v>01475940431</v>
      </c>
      <c r="O1267" s="3" t="s">
        <v>1396</v>
      </c>
      <c r="P1267" s="3" t="s">
        <v>36</v>
      </c>
      <c r="Q1267" s="3"/>
      <c r="R1267" s="4">
        <v>45996</v>
      </c>
      <c r="S1267" s="3" t="s">
        <v>37</v>
      </c>
      <c r="T1267" s="3" t="s">
        <v>38</v>
      </c>
      <c r="U1267" s="3" t="s">
        <v>39</v>
      </c>
      <c r="V1267" s="3">
        <v>730.65</v>
      </c>
      <c r="W1267" s="3">
        <v>310.52999999999997</v>
      </c>
      <c r="X1267" s="3">
        <v>294.08999999999997</v>
      </c>
      <c r="Y1267" s="3">
        <v>126.03</v>
      </c>
    </row>
    <row r="1268" spans="1:25" ht="72.75" x14ac:dyDescent="0.25">
      <c r="A1268" s="3" t="s">
        <v>26</v>
      </c>
      <c r="B1268" s="3" t="s">
        <v>27</v>
      </c>
      <c r="C1268" s="3" t="s">
        <v>28</v>
      </c>
      <c r="D1268" s="3" t="s">
        <v>29</v>
      </c>
      <c r="E1268" s="3" t="s">
        <v>56</v>
      </c>
      <c r="F1268" s="3" t="s">
        <v>31</v>
      </c>
      <c r="G1268" s="3" t="s">
        <v>56</v>
      </c>
      <c r="H1268" s="3" t="s">
        <v>32</v>
      </c>
      <c r="I1268" s="3">
        <v>2025</v>
      </c>
      <c r="J1268" s="3" t="str">
        <f>CONCATENATE("54820121801")</f>
        <v>54820121801</v>
      </c>
      <c r="K1268" s="3" t="s">
        <v>33</v>
      </c>
      <c r="L1268" s="3"/>
      <c r="M1268" s="3" t="s">
        <v>131</v>
      </c>
      <c r="N1268" s="3" t="str">
        <f>CONCATENATE("PZZGMR47B21B474G")</f>
        <v>PZZGMR47B21B474G</v>
      </c>
      <c r="O1268" s="3" t="s">
        <v>1397</v>
      </c>
      <c r="P1268" s="3" t="s">
        <v>36</v>
      </c>
      <c r="Q1268" s="3"/>
      <c r="R1268" s="4">
        <v>45996</v>
      </c>
      <c r="S1268" s="3" t="s">
        <v>37</v>
      </c>
      <c r="T1268" s="3" t="s">
        <v>38</v>
      </c>
      <c r="U1268" s="3" t="s">
        <v>39</v>
      </c>
      <c r="V1268" s="5">
        <v>1062.22</v>
      </c>
      <c r="W1268" s="3">
        <v>451.44</v>
      </c>
      <c r="X1268" s="3">
        <v>427.54</v>
      </c>
      <c r="Y1268" s="3">
        <v>183.24</v>
      </c>
    </row>
    <row r="1269" spans="1:25" ht="36.75" x14ac:dyDescent="0.25">
      <c r="A1269" s="3" t="s">
        <v>26</v>
      </c>
      <c r="B1269" s="3" t="s">
        <v>27</v>
      </c>
      <c r="C1269" s="3" t="s">
        <v>28</v>
      </c>
      <c r="D1269" s="3" t="s">
        <v>29</v>
      </c>
      <c r="E1269" s="3" t="s">
        <v>1398</v>
      </c>
      <c r="F1269" s="3" t="s">
        <v>31</v>
      </c>
      <c r="G1269" s="3" t="s">
        <v>1398</v>
      </c>
      <c r="H1269" s="3" t="s">
        <v>48</v>
      </c>
      <c r="I1269" s="3">
        <v>2025</v>
      </c>
      <c r="J1269" s="3" t="str">
        <f>CONCATENATE("54820197181")</f>
        <v>54820197181</v>
      </c>
      <c r="K1269" s="3" t="s">
        <v>33</v>
      </c>
      <c r="L1269" s="3"/>
      <c r="M1269" s="3" t="s">
        <v>131</v>
      </c>
      <c r="N1269" s="3" t="str">
        <f>CONCATENATE("01651450437")</f>
        <v>01651450437</v>
      </c>
      <c r="O1269" s="3" t="s">
        <v>1399</v>
      </c>
      <c r="P1269" s="3" t="s">
        <v>36</v>
      </c>
      <c r="Q1269" s="3"/>
      <c r="R1269" s="4">
        <v>45996</v>
      </c>
      <c r="S1269" s="3" t="s">
        <v>37</v>
      </c>
      <c r="T1269" s="3" t="s">
        <v>38</v>
      </c>
      <c r="U1269" s="3" t="s">
        <v>39</v>
      </c>
      <c r="V1269" s="3">
        <v>469.23</v>
      </c>
      <c r="W1269" s="3">
        <v>199.42</v>
      </c>
      <c r="X1269" s="3">
        <v>188.87</v>
      </c>
      <c r="Y1269" s="3">
        <v>80.94</v>
      </c>
    </row>
    <row r="1270" spans="1:25" ht="60.75" x14ac:dyDescent="0.25">
      <c r="A1270" s="3" t="s">
        <v>26</v>
      </c>
      <c r="B1270" s="3" t="s">
        <v>27</v>
      </c>
      <c r="C1270" s="3" t="s">
        <v>28</v>
      </c>
      <c r="D1270" s="3" t="s">
        <v>50</v>
      </c>
      <c r="E1270" s="3" t="s">
        <v>252</v>
      </c>
      <c r="F1270" s="3" t="s">
        <v>52</v>
      </c>
      <c r="G1270" s="3" t="s">
        <v>252</v>
      </c>
      <c r="H1270" s="3" t="s">
        <v>45</v>
      </c>
      <c r="I1270" s="3">
        <v>2025</v>
      </c>
      <c r="J1270" s="3" t="str">
        <f>CONCATENATE("54820212956")</f>
        <v>54820212956</v>
      </c>
      <c r="K1270" s="3" t="s">
        <v>33</v>
      </c>
      <c r="L1270" s="3"/>
      <c r="M1270" s="3" t="s">
        <v>131</v>
      </c>
      <c r="N1270" s="3" t="str">
        <f>CONCATENATE("SBTMRA54H41I344J")</f>
        <v>SBTMRA54H41I344J</v>
      </c>
      <c r="O1270" s="3" t="s">
        <v>1400</v>
      </c>
      <c r="P1270" s="3" t="s">
        <v>36</v>
      </c>
      <c r="Q1270" s="3"/>
      <c r="R1270" s="4">
        <v>45996</v>
      </c>
      <c r="S1270" s="3" t="s">
        <v>37</v>
      </c>
      <c r="T1270" s="3" t="s">
        <v>38</v>
      </c>
      <c r="U1270" s="3" t="s">
        <v>39</v>
      </c>
      <c r="V1270" s="3">
        <v>181.81</v>
      </c>
      <c r="W1270" s="3">
        <v>77.27</v>
      </c>
      <c r="X1270" s="3">
        <v>73.180000000000007</v>
      </c>
      <c r="Y1270" s="3">
        <v>31.36</v>
      </c>
    </row>
    <row r="1271" spans="1:25" ht="60.75" x14ac:dyDescent="0.25">
      <c r="A1271" s="3" t="s">
        <v>26</v>
      </c>
      <c r="B1271" s="3" t="s">
        <v>27</v>
      </c>
      <c r="C1271" s="3" t="s">
        <v>28</v>
      </c>
      <c r="D1271" s="3" t="s">
        <v>29</v>
      </c>
      <c r="E1271" s="3" t="s">
        <v>56</v>
      </c>
      <c r="F1271" s="3" t="s">
        <v>31</v>
      </c>
      <c r="G1271" s="3" t="s">
        <v>56</v>
      </c>
      <c r="H1271" s="3" t="s">
        <v>32</v>
      </c>
      <c r="I1271" s="3">
        <v>2025</v>
      </c>
      <c r="J1271" s="3" t="str">
        <f>CONCATENATE("54820187786")</f>
        <v>54820187786</v>
      </c>
      <c r="K1271" s="3" t="s">
        <v>33</v>
      </c>
      <c r="L1271" s="3"/>
      <c r="M1271" s="3" t="s">
        <v>131</v>
      </c>
      <c r="N1271" s="3" t="str">
        <f>CONCATENATE("BLLMTR54B52D451Y")</f>
        <v>BLLMTR54B52D451Y</v>
      </c>
      <c r="O1271" s="3" t="s">
        <v>1401</v>
      </c>
      <c r="P1271" s="3" t="s">
        <v>36</v>
      </c>
      <c r="Q1271" s="3"/>
      <c r="R1271" s="4">
        <v>45996</v>
      </c>
      <c r="S1271" s="3" t="s">
        <v>37</v>
      </c>
      <c r="T1271" s="3" t="s">
        <v>38</v>
      </c>
      <c r="U1271" s="3" t="s">
        <v>39</v>
      </c>
      <c r="V1271" s="3">
        <v>99.99</v>
      </c>
      <c r="W1271" s="3">
        <v>42.5</v>
      </c>
      <c r="X1271" s="3">
        <v>40.25</v>
      </c>
      <c r="Y1271" s="3">
        <v>17.239999999999998</v>
      </c>
    </row>
    <row r="1272" spans="1:25" ht="60.75" x14ac:dyDescent="0.25">
      <c r="A1272" s="3" t="s">
        <v>26</v>
      </c>
      <c r="B1272" s="3" t="s">
        <v>27</v>
      </c>
      <c r="C1272" s="3" t="s">
        <v>28</v>
      </c>
      <c r="D1272" s="3" t="s">
        <v>29</v>
      </c>
      <c r="E1272" s="3" t="s">
        <v>68</v>
      </c>
      <c r="F1272" s="3" t="s">
        <v>31</v>
      </c>
      <c r="G1272" s="3" t="s">
        <v>68</v>
      </c>
      <c r="H1272" s="3" t="s">
        <v>32</v>
      </c>
      <c r="I1272" s="3">
        <v>2025</v>
      </c>
      <c r="J1272" s="3" t="str">
        <f>CONCATENATE("54820110390")</f>
        <v>54820110390</v>
      </c>
      <c r="K1272" s="3" t="s">
        <v>33</v>
      </c>
      <c r="L1272" s="3"/>
      <c r="M1272" s="3" t="s">
        <v>131</v>
      </c>
      <c r="N1272" s="3" t="str">
        <f>CONCATENATE("PRFNTN59C16I436V")</f>
        <v>PRFNTN59C16I436V</v>
      </c>
      <c r="O1272" s="3" t="s">
        <v>1402</v>
      </c>
      <c r="P1272" s="3" t="s">
        <v>36</v>
      </c>
      <c r="Q1272" s="3"/>
      <c r="R1272" s="4">
        <v>45996</v>
      </c>
      <c r="S1272" s="3" t="s">
        <v>37</v>
      </c>
      <c r="T1272" s="3" t="s">
        <v>38</v>
      </c>
      <c r="U1272" s="3" t="s">
        <v>39</v>
      </c>
      <c r="V1272" s="3">
        <v>112.22</v>
      </c>
      <c r="W1272" s="3">
        <v>47.69</v>
      </c>
      <c r="X1272" s="3">
        <v>45.17</v>
      </c>
      <c r="Y1272" s="3">
        <v>19.36</v>
      </c>
    </row>
    <row r="1273" spans="1:25" ht="72.75" x14ac:dyDescent="0.25">
      <c r="A1273" s="3" t="s">
        <v>26</v>
      </c>
      <c r="B1273" s="3" t="s">
        <v>27</v>
      </c>
      <c r="C1273" s="3" t="s">
        <v>28</v>
      </c>
      <c r="D1273" s="3" t="s">
        <v>29</v>
      </c>
      <c r="E1273" s="3" t="s">
        <v>119</v>
      </c>
      <c r="F1273" s="3" t="s">
        <v>31</v>
      </c>
      <c r="G1273" s="3" t="s">
        <v>119</v>
      </c>
      <c r="H1273" s="3" t="s">
        <v>96</v>
      </c>
      <c r="I1273" s="3">
        <v>2025</v>
      </c>
      <c r="J1273" s="3" t="str">
        <f>CONCATENATE("54820033311")</f>
        <v>54820033311</v>
      </c>
      <c r="K1273" s="3" t="s">
        <v>33</v>
      </c>
      <c r="L1273" s="3"/>
      <c r="M1273" s="3" t="s">
        <v>131</v>
      </c>
      <c r="N1273" s="3" t="str">
        <f>CONCATENATE("MRNLRD39R15F493P")</f>
        <v>MRNLRD39R15F493P</v>
      </c>
      <c r="O1273" s="3" t="s">
        <v>1403</v>
      </c>
      <c r="P1273" s="3" t="s">
        <v>36</v>
      </c>
      <c r="Q1273" s="3"/>
      <c r="R1273" s="4">
        <v>45996</v>
      </c>
      <c r="S1273" s="3" t="s">
        <v>37</v>
      </c>
      <c r="T1273" s="3" t="s">
        <v>38</v>
      </c>
      <c r="U1273" s="3" t="s">
        <v>39</v>
      </c>
      <c r="V1273" s="3">
        <v>286.3</v>
      </c>
      <c r="W1273" s="3">
        <v>121.68</v>
      </c>
      <c r="X1273" s="3">
        <v>115.24</v>
      </c>
      <c r="Y1273" s="3">
        <v>49.38</v>
      </c>
    </row>
    <row r="1274" spans="1:25" ht="60.75" x14ac:dyDescent="0.25">
      <c r="A1274" s="3" t="s">
        <v>26</v>
      </c>
      <c r="B1274" s="3" t="s">
        <v>27</v>
      </c>
      <c r="C1274" s="3" t="s">
        <v>28</v>
      </c>
      <c r="D1274" s="3" t="s">
        <v>29</v>
      </c>
      <c r="E1274" s="3" t="s">
        <v>47</v>
      </c>
      <c r="F1274" s="3" t="s">
        <v>31</v>
      </c>
      <c r="G1274" s="3" t="s">
        <v>47</v>
      </c>
      <c r="H1274" s="3" t="s">
        <v>48</v>
      </c>
      <c r="I1274" s="3">
        <v>2025</v>
      </c>
      <c r="J1274" s="3" t="str">
        <f>CONCATENATE("54820034863")</f>
        <v>54820034863</v>
      </c>
      <c r="K1274" s="3" t="s">
        <v>33</v>
      </c>
      <c r="L1274" s="3"/>
      <c r="M1274" s="3" t="s">
        <v>131</v>
      </c>
      <c r="N1274" s="3" t="str">
        <f>CONCATENATE("CRSCDD86L59D786O")</f>
        <v>CRSCDD86L59D786O</v>
      </c>
      <c r="O1274" s="3" t="s">
        <v>1404</v>
      </c>
      <c r="P1274" s="3" t="s">
        <v>36</v>
      </c>
      <c r="Q1274" s="3"/>
      <c r="R1274" s="4">
        <v>45996</v>
      </c>
      <c r="S1274" s="3" t="s">
        <v>37</v>
      </c>
      <c r="T1274" s="3" t="s">
        <v>38</v>
      </c>
      <c r="U1274" s="3" t="s">
        <v>39</v>
      </c>
      <c r="V1274" s="3">
        <v>539.48</v>
      </c>
      <c r="W1274" s="3">
        <v>229.28</v>
      </c>
      <c r="X1274" s="3">
        <v>217.14</v>
      </c>
      <c r="Y1274" s="3">
        <v>93.06</v>
      </c>
    </row>
    <row r="1275" spans="1:25" ht="60.75" x14ac:dyDescent="0.25">
      <c r="A1275" s="3" t="s">
        <v>26</v>
      </c>
      <c r="B1275" s="3" t="s">
        <v>27</v>
      </c>
      <c r="C1275" s="3" t="s">
        <v>28</v>
      </c>
      <c r="D1275" s="3" t="s">
        <v>40</v>
      </c>
      <c r="E1275" s="3" t="s">
        <v>218</v>
      </c>
      <c r="F1275" s="3" t="s">
        <v>42</v>
      </c>
      <c r="G1275" s="3" t="s">
        <v>218</v>
      </c>
      <c r="H1275" s="3" t="s">
        <v>45</v>
      </c>
      <c r="I1275" s="3">
        <v>2025</v>
      </c>
      <c r="J1275" s="3" t="str">
        <f>CONCATENATE("54820026844")</f>
        <v>54820026844</v>
      </c>
      <c r="K1275" s="3" t="s">
        <v>33</v>
      </c>
      <c r="L1275" s="3"/>
      <c r="M1275" s="3" t="s">
        <v>131</v>
      </c>
      <c r="N1275" s="3" t="str">
        <f>CONCATENATE("VGNPGR41H05L500S")</f>
        <v>VGNPGR41H05L500S</v>
      </c>
      <c r="O1275" s="3" t="s">
        <v>1405</v>
      </c>
      <c r="P1275" s="3" t="s">
        <v>36</v>
      </c>
      <c r="Q1275" s="3"/>
      <c r="R1275" s="4">
        <v>45996</v>
      </c>
      <c r="S1275" s="3" t="s">
        <v>37</v>
      </c>
      <c r="T1275" s="3" t="s">
        <v>38</v>
      </c>
      <c r="U1275" s="3" t="s">
        <v>39</v>
      </c>
      <c r="V1275" s="3">
        <v>365.94</v>
      </c>
      <c r="W1275" s="3">
        <v>155.52000000000001</v>
      </c>
      <c r="X1275" s="3">
        <v>147.29</v>
      </c>
      <c r="Y1275" s="3">
        <v>63.13</v>
      </c>
    </row>
    <row r="1276" spans="1:25" ht="72.75" x14ac:dyDescent="0.25">
      <c r="A1276" s="3" t="s">
        <v>26</v>
      </c>
      <c r="B1276" s="3" t="s">
        <v>27</v>
      </c>
      <c r="C1276" s="3" t="s">
        <v>28</v>
      </c>
      <c r="D1276" s="3" t="s">
        <v>29</v>
      </c>
      <c r="E1276" s="3" t="s">
        <v>72</v>
      </c>
      <c r="F1276" s="3" t="s">
        <v>31</v>
      </c>
      <c r="G1276" s="3" t="s">
        <v>72</v>
      </c>
      <c r="H1276" s="3" t="s">
        <v>45</v>
      </c>
      <c r="I1276" s="3">
        <v>2025</v>
      </c>
      <c r="J1276" s="3" t="str">
        <f>CONCATENATE("54820042205")</f>
        <v>54820042205</v>
      </c>
      <c r="K1276" s="3" t="s">
        <v>33</v>
      </c>
      <c r="L1276" s="3"/>
      <c r="M1276" s="3" t="s">
        <v>131</v>
      </c>
      <c r="N1276" s="3" t="str">
        <f>CONCATENATE("DDMNLT73M68B352P")</f>
        <v>DDMNLT73M68B352P</v>
      </c>
      <c r="O1276" s="3" t="s">
        <v>1406</v>
      </c>
      <c r="P1276" s="3" t="s">
        <v>36</v>
      </c>
      <c r="Q1276" s="3"/>
      <c r="R1276" s="4">
        <v>45996</v>
      </c>
      <c r="S1276" s="3" t="s">
        <v>37</v>
      </c>
      <c r="T1276" s="3" t="s">
        <v>38</v>
      </c>
      <c r="U1276" s="3" t="s">
        <v>39</v>
      </c>
      <c r="V1276" s="3">
        <v>122.9</v>
      </c>
      <c r="W1276" s="3">
        <v>52.23</v>
      </c>
      <c r="X1276" s="3">
        <v>49.47</v>
      </c>
      <c r="Y1276" s="3">
        <v>21.2</v>
      </c>
    </row>
    <row r="1277" spans="1:25" ht="60.75" x14ac:dyDescent="0.25">
      <c r="A1277" s="3" t="s">
        <v>26</v>
      </c>
      <c r="B1277" s="3" t="s">
        <v>27</v>
      </c>
      <c r="C1277" s="3" t="s">
        <v>28</v>
      </c>
      <c r="D1277" s="3" t="s">
        <v>40</v>
      </c>
      <c r="E1277" s="3" t="s">
        <v>287</v>
      </c>
      <c r="F1277" s="3" t="s">
        <v>42</v>
      </c>
      <c r="G1277" s="3" t="s">
        <v>287</v>
      </c>
      <c r="H1277" s="3" t="s">
        <v>32</v>
      </c>
      <c r="I1277" s="3">
        <v>2025</v>
      </c>
      <c r="J1277" s="3" t="str">
        <f>CONCATENATE("54820015318")</f>
        <v>54820015318</v>
      </c>
      <c r="K1277" s="3" t="s">
        <v>33</v>
      </c>
      <c r="L1277" s="3"/>
      <c r="M1277" s="3" t="s">
        <v>131</v>
      </c>
      <c r="N1277" s="3" t="str">
        <f>CONCATENATE("CLSSRG52S17F051M")</f>
        <v>CLSSRG52S17F051M</v>
      </c>
      <c r="O1277" s="3" t="s">
        <v>1407</v>
      </c>
      <c r="P1277" s="3" t="s">
        <v>36</v>
      </c>
      <c r="Q1277" s="3"/>
      <c r="R1277" s="4">
        <v>45996</v>
      </c>
      <c r="S1277" s="3" t="s">
        <v>37</v>
      </c>
      <c r="T1277" s="3" t="s">
        <v>38</v>
      </c>
      <c r="U1277" s="3" t="s">
        <v>39</v>
      </c>
      <c r="V1277" s="3">
        <v>85.13</v>
      </c>
      <c r="W1277" s="3">
        <v>36.18</v>
      </c>
      <c r="X1277" s="3">
        <v>34.26</v>
      </c>
      <c r="Y1277" s="3">
        <v>14.69</v>
      </c>
    </row>
    <row r="1278" spans="1:25" ht="60.75" x14ac:dyDescent="0.25">
      <c r="A1278" s="3" t="s">
        <v>26</v>
      </c>
      <c r="B1278" s="3" t="s">
        <v>27</v>
      </c>
      <c r="C1278" s="3" t="s">
        <v>28</v>
      </c>
      <c r="D1278" s="3" t="s">
        <v>40</v>
      </c>
      <c r="E1278" s="3" t="s">
        <v>287</v>
      </c>
      <c r="F1278" s="3" t="s">
        <v>42</v>
      </c>
      <c r="G1278" s="3" t="s">
        <v>287</v>
      </c>
      <c r="H1278" s="3" t="s">
        <v>32</v>
      </c>
      <c r="I1278" s="3">
        <v>2025</v>
      </c>
      <c r="J1278" s="3" t="str">
        <f>CONCATENATE("54820016621")</f>
        <v>54820016621</v>
      </c>
      <c r="K1278" s="3" t="s">
        <v>33</v>
      </c>
      <c r="L1278" s="3"/>
      <c r="M1278" s="3" t="s">
        <v>131</v>
      </c>
      <c r="N1278" s="3" t="str">
        <f>CONCATENATE("PGGPNI61L21D628Y")</f>
        <v>PGGPNI61L21D628Y</v>
      </c>
      <c r="O1278" s="3" t="s">
        <v>1408</v>
      </c>
      <c r="P1278" s="3" t="s">
        <v>36</v>
      </c>
      <c r="Q1278" s="3"/>
      <c r="R1278" s="4">
        <v>45996</v>
      </c>
      <c r="S1278" s="3" t="s">
        <v>37</v>
      </c>
      <c r="T1278" s="3" t="s">
        <v>38</v>
      </c>
      <c r="U1278" s="3" t="s">
        <v>39</v>
      </c>
      <c r="V1278" s="3">
        <v>67.47</v>
      </c>
      <c r="W1278" s="3">
        <v>28.67</v>
      </c>
      <c r="X1278" s="3">
        <v>27.16</v>
      </c>
      <c r="Y1278" s="3">
        <v>11.64</v>
      </c>
    </row>
    <row r="1279" spans="1:25" ht="60.75" x14ac:dyDescent="0.25">
      <c r="A1279" s="3" t="s">
        <v>26</v>
      </c>
      <c r="B1279" s="3" t="s">
        <v>27</v>
      </c>
      <c r="C1279" s="3" t="s">
        <v>28</v>
      </c>
      <c r="D1279" s="3" t="s">
        <v>29</v>
      </c>
      <c r="E1279" s="3" t="s">
        <v>80</v>
      </c>
      <c r="F1279" s="3" t="s">
        <v>31</v>
      </c>
      <c r="G1279" s="3" t="s">
        <v>80</v>
      </c>
      <c r="H1279" s="3" t="s">
        <v>45</v>
      </c>
      <c r="I1279" s="3">
        <v>2025</v>
      </c>
      <c r="J1279" s="3" t="str">
        <f>CONCATENATE("54820024625")</f>
        <v>54820024625</v>
      </c>
      <c r="K1279" s="3" t="s">
        <v>33</v>
      </c>
      <c r="L1279" s="3"/>
      <c r="M1279" s="3" t="s">
        <v>131</v>
      </c>
      <c r="N1279" s="3" t="str">
        <f>CONCATENATE("NLFSLN39C58D809L")</f>
        <v>NLFSLN39C58D809L</v>
      </c>
      <c r="O1279" s="3" t="s">
        <v>1409</v>
      </c>
      <c r="P1279" s="3" t="s">
        <v>36</v>
      </c>
      <c r="Q1279" s="3"/>
      <c r="R1279" s="4">
        <v>45996</v>
      </c>
      <c r="S1279" s="3" t="s">
        <v>37</v>
      </c>
      <c r="T1279" s="3" t="s">
        <v>38</v>
      </c>
      <c r="U1279" s="3" t="s">
        <v>39</v>
      </c>
      <c r="V1279" s="3">
        <v>61.39</v>
      </c>
      <c r="W1279" s="3">
        <v>26.09</v>
      </c>
      <c r="X1279" s="3">
        <v>24.71</v>
      </c>
      <c r="Y1279" s="3">
        <v>10.59</v>
      </c>
    </row>
    <row r="1280" spans="1:25" ht="60.75" x14ac:dyDescent="0.25">
      <c r="A1280" s="3" t="s">
        <v>26</v>
      </c>
      <c r="B1280" s="3" t="s">
        <v>27</v>
      </c>
      <c r="C1280" s="3" t="s">
        <v>28</v>
      </c>
      <c r="D1280" s="3" t="s">
        <v>29</v>
      </c>
      <c r="E1280" s="3" t="s">
        <v>47</v>
      </c>
      <c r="F1280" s="3" t="s">
        <v>31</v>
      </c>
      <c r="G1280" s="3" t="s">
        <v>47</v>
      </c>
      <c r="H1280" s="3" t="s">
        <v>48</v>
      </c>
      <c r="I1280" s="3">
        <v>2025</v>
      </c>
      <c r="J1280" s="3" t="str">
        <f>CONCATENATE("54820030895")</f>
        <v>54820030895</v>
      </c>
      <c r="K1280" s="3" t="s">
        <v>33</v>
      </c>
      <c r="L1280" s="3"/>
      <c r="M1280" s="3" t="s">
        <v>131</v>
      </c>
      <c r="N1280" s="3" t="str">
        <f>CONCATENATE("PGTSST38H14D451B")</f>
        <v>PGTSST38H14D451B</v>
      </c>
      <c r="O1280" s="3" t="s">
        <v>1410</v>
      </c>
      <c r="P1280" s="3" t="s">
        <v>36</v>
      </c>
      <c r="Q1280" s="3"/>
      <c r="R1280" s="4">
        <v>45996</v>
      </c>
      <c r="S1280" s="3" t="s">
        <v>37</v>
      </c>
      <c r="T1280" s="3" t="s">
        <v>38</v>
      </c>
      <c r="U1280" s="3" t="s">
        <v>39</v>
      </c>
      <c r="V1280" s="3">
        <v>96.23</v>
      </c>
      <c r="W1280" s="3">
        <v>40.9</v>
      </c>
      <c r="X1280" s="3">
        <v>38.729999999999997</v>
      </c>
      <c r="Y1280" s="3">
        <v>16.600000000000001</v>
      </c>
    </row>
    <row r="1281" spans="1:25" ht="60.75" x14ac:dyDescent="0.25">
      <c r="A1281" s="3" t="s">
        <v>26</v>
      </c>
      <c r="B1281" s="3" t="s">
        <v>27</v>
      </c>
      <c r="C1281" s="3" t="s">
        <v>28</v>
      </c>
      <c r="D1281" s="3" t="s">
        <v>91</v>
      </c>
      <c r="E1281" s="3" t="s">
        <v>1411</v>
      </c>
      <c r="F1281" s="3" t="s">
        <v>93</v>
      </c>
      <c r="G1281" s="3" t="s">
        <v>1411</v>
      </c>
      <c r="H1281" s="3" t="s">
        <v>32</v>
      </c>
      <c r="I1281" s="3">
        <v>2025</v>
      </c>
      <c r="J1281" s="3" t="str">
        <f>CONCATENATE("54820009931")</f>
        <v>54820009931</v>
      </c>
      <c r="K1281" s="3" t="s">
        <v>33</v>
      </c>
      <c r="L1281" s="3"/>
      <c r="M1281" s="3" t="s">
        <v>131</v>
      </c>
      <c r="N1281" s="3" t="str">
        <f>CONCATENATE("BTTFLV83S02B948R")</f>
        <v>BTTFLV83S02B948R</v>
      </c>
      <c r="O1281" s="3" t="s">
        <v>1412</v>
      </c>
      <c r="P1281" s="3" t="s">
        <v>36</v>
      </c>
      <c r="Q1281" s="3"/>
      <c r="R1281" s="4">
        <v>45996</v>
      </c>
      <c r="S1281" s="3" t="s">
        <v>37</v>
      </c>
      <c r="T1281" s="3" t="s">
        <v>38</v>
      </c>
      <c r="U1281" s="3" t="s">
        <v>39</v>
      </c>
      <c r="V1281" s="3">
        <v>224.29</v>
      </c>
      <c r="W1281" s="3">
        <v>95.32</v>
      </c>
      <c r="X1281" s="3">
        <v>90.28</v>
      </c>
      <c r="Y1281" s="3">
        <v>38.69</v>
      </c>
    </row>
    <row r="1282" spans="1:25" ht="60.75" x14ac:dyDescent="0.25">
      <c r="A1282" s="3" t="s">
        <v>26</v>
      </c>
      <c r="B1282" s="3" t="s">
        <v>27</v>
      </c>
      <c r="C1282" s="3" t="s">
        <v>28</v>
      </c>
      <c r="D1282" s="3" t="s">
        <v>29</v>
      </c>
      <c r="E1282" s="3" t="s">
        <v>47</v>
      </c>
      <c r="F1282" s="3" t="s">
        <v>31</v>
      </c>
      <c r="G1282" s="3" t="s">
        <v>47</v>
      </c>
      <c r="H1282" s="3" t="s">
        <v>48</v>
      </c>
      <c r="I1282" s="3">
        <v>2025</v>
      </c>
      <c r="J1282" s="3" t="str">
        <f>CONCATENATE("54820038237")</f>
        <v>54820038237</v>
      </c>
      <c r="K1282" s="3" t="s">
        <v>33</v>
      </c>
      <c r="L1282" s="3"/>
      <c r="M1282" s="3" t="s">
        <v>131</v>
      </c>
      <c r="N1282" s="3" t="str">
        <f>CONCATENATE("TRTPTR45S03G131D")</f>
        <v>TRTPTR45S03G131D</v>
      </c>
      <c r="O1282" s="3" t="s">
        <v>1413</v>
      </c>
      <c r="P1282" s="3" t="s">
        <v>36</v>
      </c>
      <c r="Q1282" s="3"/>
      <c r="R1282" s="4">
        <v>45996</v>
      </c>
      <c r="S1282" s="3" t="s">
        <v>37</v>
      </c>
      <c r="T1282" s="3" t="s">
        <v>38</v>
      </c>
      <c r="U1282" s="3" t="s">
        <v>39</v>
      </c>
      <c r="V1282" s="3">
        <v>71.28</v>
      </c>
      <c r="W1282" s="3">
        <v>30.29</v>
      </c>
      <c r="X1282" s="3">
        <v>28.69</v>
      </c>
      <c r="Y1282" s="3">
        <v>12.3</v>
      </c>
    </row>
    <row r="1283" spans="1:25" ht="60.75" x14ac:dyDescent="0.25">
      <c r="A1283" s="3" t="s">
        <v>26</v>
      </c>
      <c r="B1283" s="3" t="s">
        <v>27</v>
      </c>
      <c r="C1283" s="3" t="s">
        <v>28</v>
      </c>
      <c r="D1283" s="3" t="s">
        <v>29</v>
      </c>
      <c r="E1283" s="3" t="s">
        <v>56</v>
      </c>
      <c r="F1283" s="3" t="s">
        <v>31</v>
      </c>
      <c r="G1283" s="3" t="s">
        <v>56</v>
      </c>
      <c r="H1283" s="3" t="s">
        <v>32</v>
      </c>
      <c r="I1283" s="3">
        <v>2025</v>
      </c>
      <c r="J1283" s="3" t="str">
        <f>CONCATENATE("54820018171")</f>
        <v>54820018171</v>
      </c>
      <c r="K1283" s="3" t="s">
        <v>33</v>
      </c>
      <c r="L1283" s="3"/>
      <c r="M1283" s="3" t="s">
        <v>131</v>
      </c>
      <c r="N1283" s="3" t="str">
        <f>CONCATENATE("SLVLCU75E25B474L")</f>
        <v>SLVLCU75E25B474L</v>
      </c>
      <c r="O1283" s="3" t="s">
        <v>1414</v>
      </c>
      <c r="P1283" s="3" t="s">
        <v>36</v>
      </c>
      <c r="Q1283" s="3"/>
      <c r="R1283" s="4">
        <v>45996</v>
      </c>
      <c r="S1283" s="3" t="s">
        <v>37</v>
      </c>
      <c r="T1283" s="3" t="s">
        <v>38</v>
      </c>
      <c r="U1283" s="3" t="s">
        <v>39</v>
      </c>
      <c r="V1283" s="3">
        <v>437.05</v>
      </c>
      <c r="W1283" s="3">
        <v>185.75</v>
      </c>
      <c r="X1283" s="3">
        <v>175.91</v>
      </c>
      <c r="Y1283" s="3">
        <v>75.39</v>
      </c>
    </row>
    <row r="1284" spans="1:25" ht="60.75" x14ac:dyDescent="0.25">
      <c r="A1284" s="3" t="s">
        <v>26</v>
      </c>
      <c r="B1284" s="3" t="s">
        <v>27</v>
      </c>
      <c r="C1284" s="3" t="s">
        <v>28</v>
      </c>
      <c r="D1284" s="3" t="s">
        <v>29</v>
      </c>
      <c r="E1284" s="3" t="s">
        <v>72</v>
      </c>
      <c r="F1284" s="3" t="s">
        <v>31</v>
      </c>
      <c r="G1284" s="3" t="s">
        <v>72</v>
      </c>
      <c r="H1284" s="3" t="s">
        <v>45</v>
      </c>
      <c r="I1284" s="3">
        <v>2025</v>
      </c>
      <c r="J1284" s="3" t="str">
        <f>CONCATENATE("54820009212")</f>
        <v>54820009212</v>
      </c>
      <c r="K1284" s="3" t="s">
        <v>33</v>
      </c>
      <c r="L1284" s="3"/>
      <c r="M1284" s="3" t="s">
        <v>131</v>
      </c>
      <c r="N1284" s="3" t="str">
        <f>CONCATENATE("RSSSCR63P19B352J")</f>
        <v>RSSSCR63P19B352J</v>
      </c>
      <c r="O1284" s="3" t="s">
        <v>1415</v>
      </c>
      <c r="P1284" s="3" t="s">
        <v>36</v>
      </c>
      <c r="Q1284" s="3"/>
      <c r="R1284" s="4">
        <v>45996</v>
      </c>
      <c r="S1284" s="3" t="s">
        <v>37</v>
      </c>
      <c r="T1284" s="3" t="s">
        <v>38</v>
      </c>
      <c r="U1284" s="3" t="s">
        <v>39</v>
      </c>
      <c r="V1284" s="3">
        <v>132.93</v>
      </c>
      <c r="W1284" s="3">
        <v>56.5</v>
      </c>
      <c r="X1284" s="3">
        <v>53.5</v>
      </c>
      <c r="Y1284" s="3">
        <v>22.93</v>
      </c>
    </row>
    <row r="1285" spans="1:25" ht="72.75" x14ac:dyDescent="0.25">
      <c r="A1285" s="3" t="s">
        <v>26</v>
      </c>
      <c r="B1285" s="3" t="s">
        <v>27</v>
      </c>
      <c r="C1285" s="3" t="s">
        <v>28</v>
      </c>
      <c r="D1285" s="3" t="s">
        <v>29</v>
      </c>
      <c r="E1285" s="3" t="s">
        <v>47</v>
      </c>
      <c r="F1285" s="3" t="s">
        <v>31</v>
      </c>
      <c r="G1285" s="3" t="s">
        <v>47</v>
      </c>
      <c r="H1285" s="3" t="s">
        <v>48</v>
      </c>
      <c r="I1285" s="3">
        <v>2025</v>
      </c>
      <c r="J1285" s="3" t="str">
        <f>CONCATENATE("54820028659")</f>
        <v>54820028659</v>
      </c>
      <c r="K1285" s="3" t="s">
        <v>33</v>
      </c>
      <c r="L1285" s="3"/>
      <c r="M1285" s="3" t="s">
        <v>131</v>
      </c>
      <c r="N1285" s="3" t="str">
        <f>CONCATENATE("BLDMRA48R15D451Q")</f>
        <v>BLDMRA48R15D451Q</v>
      </c>
      <c r="O1285" s="3" t="s">
        <v>1416</v>
      </c>
      <c r="P1285" s="3" t="s">
        <v>36</v>
      </c>
      <c r="Q1285" s="3"/>
      <c r="R1285" s="4">
        <v>45996</v>
      </c>
      <c r="S1285" s="3" t="s">
        <v>37</v>
      </c>
      <c r="T1285" s="3" t="s">
        <v>38</v>
      </c>
      <c r="U1285" s="3" t="s">
        <v>39</v>
      </c>
      <c r="V1285" s="3">
        <v>133.51</v>
      </c>
      <c r="W1285" s="3">
        <v>56.74</v>
      </c>
      <c r="X1285" s="3">
        <v>53.74</v>
      </c>
      <c r="Y1285" s="3">
        <v>23.03</v>
      </c>
    </row>
    <row r="1286" spans="1:25" ht="36.75" x14ac:dyDescent="0.25">
      <c r="A1286" s="3" t="s">
        <v>26</v>
      </c>
      <c r="B1286" s="3" t="s">
        <v>27</v>
      </c>
      <c r="C1286" s="3" t="s">
        <v>28</v>
      </c>
      <c r="D1286" s="3" t="s">
        <v>50</v>
      </c>
      <c r="E1286" s="3" t="s">
        <v>147</v>
      </c>
      <c r="F1286" s="3" t="s">
        <v>52</v>
      </c>
      <c r="G1286" s="3" t="s">
        <v>147</v>
      </c>
      <c r="H1286" s="3" t="s">
        <v>45</v>
      </c>
      <c r="I1286" s="3">
        <v>2025</v>
      </c>
      <c r="J1286" s="3" t="str">
        <f>CONCATENATE("54820198296")</f>
        <v>54820198296</v>
      </c>
      <c r="K1286" s="3" t="s">
        <v>33</v>
      </c>
      <c r="L1286" s="3"/>
      <c r="M1286" s="3" t="s">
        <v>131</v>
      </c>
      <c r="N1286" s="3" t="str">
        <f>CONCATENATE("01160920417")</f>
        <v>01160920417</v>
      </c>
      <c r="O1286" s="3" t="s">
        <v>1417</v>
      </c>
      <c r="P1286" s="3" t="s">
        <v>36</v>
      </c>
      <c r="Q1286" s="3"/>
      <c r="R1286" s="4">
        <v>45996</v>
      </c>
      <c r="S1286" s="3" t="s">
        <v>37</v>
      </c>
      <c r="T1286" s="3" t="s">
        <v>38</v>
      </c>
      <c r="U1286" s="3" t="s">
        <v>39</v>
      </c>
      <c r="V1286" s="5">
        <v>1239.96</v>
      </c>
      <c r="W1286" s="3">
        <v>526.98</v>
      </c>
      <c r="X1286" s="3">
        <v>499.08</v>
      </c>
      <c r="Y1286" s="3">
        <v>213.9</v>
      </c>
    </row>
    <row r="1287" spans="1:25" ht="36.75" x14ac:dyDescent="0.25">
      <c r="A1287" s="3" t="s">
        <v>26</v>
      </c>
      <c r="B1287" s="3" t="s">
        <v>27</v>
      </c>
      <c r="C1287" s="3" t="s">
        <v>28</v>
      </c>
      <c r="D1287" s="3" t="s">
        <v>29</v>
      </c>
      <c r="E1287" s="3" t="s">
        <v>119</v>
      </c>
      <c r="F1287" s="3" t="s">
        <v>31</v>
      </c>
      <c r="G1287" s="3" t="s">
        <v>119</v>
      </c>
      <c r="H1287" s="3" t="s">
        <v>96</v>
      </c>
      <c r="I1287" s="3">
        <v>2025</v>
      </c>
      <c r="J1287" s="3" t="str">
        <f>CONCATENATE("54820026380")</f>
        <v>54820026380</v>
      </c>
      <c r="K1287" s="3" t="s">
        <v>33</v>
      </c>
      <c r="L1287" s="3"/>
      <c r="M1287" s="3" t="s">
        <v>131</v>
      </c>
      <c r="N1287" s="3" t="str">
        <f>CONCATENATE("01141180446")</f>
        <v>01141180446</v>
      </c>
      <c r="O1287" s="3" t="s">
        <v>1418</v>
      </c>
      <c r="P1287" s="3" t="s">
        <v>36</v>
      </c>
      <c r="Q1287" s="3"/>
      <c r="R1287" s="4">
        <v>45996</v>
      </c>
      <c r="S1287" s="3" t="s">
        <v>37</v>
      </c>
      <c r="T1287" s="3" t="s">
        <v>38</v>
      </c>
      <c r="U1287" s="3" t="s">
        <v>39</v>
      </c>
      <c r="V1287" s="3">
        <v>465.91</v>
      </c>
      <c r="W1287" s="3">
        <v>198.01</v>
      </c>
      <c r="X1287" s="3">
        <v>187.53</v>
      </c>
      <c r="Y1287" s="3">
        <v>80.37</v>
      </c>
    </row>
    <row r="1288" spans="1:25" ht="72.75" x14ac:dyDescent="0.25">
      <c r="A1288" s="3" t="s">
        <v>26</v>
      </c>
      <c r="B1288" s="3" t="s">
        <v>27</v>
      </c>
      <c r="C1288" s="3" t="s">
        <v>28</v>
      </c>
      <c r="D1288" s="3" t="s">
        <v>40</v>
      </c>
      <c r="E1288" s="3" t="s">
        <v>287</v>
      </c>
      <c r="F1288" s="3" t="s">
        <v>42</v>
      </c>
      <c r="G1288" s="3" t="s">
        <v>287</v>
      </c>
      <c r="H1288" s="3" t="s">
        <v>32</v>
      </c>
      <c r="I1288" s="3">
        <v>2025</v>
      </c>
      <c r="J1288" s="3" t="str">
        <f>CONCATENATE("54820015433")</f>
        <v>54820015433</v>
      </c>
      <c r="K1288" s="3" t="s">
        <v>33</v>
      </c>
      <c r="L1288" s="3"/>
      <c r="M1288" s="3" t="s">
        <v>131</v>
      </c>
      <c r="N1288" s="3" t="str">
        <f>CONCATENATE("CRSDNI50B44D429W")</f>
        <v>CRSDNI50B44D429W</v>
      </c>
      <c r="O1288" s="3" t="s">
        <v>1419</v>
      </c>
      <c r="P1288" s="3" t="s">
        <v>36</v>
      </c>
      <c r="Q1288" s="3"/>
      <c r="R1288" s="4">
        <v>45996</v>
      </c>
      <c r="S1288" s="3" t="s">
        <v>37</v>
      </c>
      <c r="T1288" s="3" t="s">
        <v>38</v>
      </c>
      <c r="U1288" s="3" t="s">
        <v>39</v>
      </c>
      <c r="V1288" s="3">
        <v>71.430000000000007</v>
      </c>
      <c r="W1288" s="3">
        <v>30.36</v>
      </c>
      <c r="X1288" s="3">
        <v>28.75</v>
      </c>
      <c r="Y1288" s="3">
        <v>12.32</v>
      </c>
    </row>
    <row r="1289" spans="1:25" ht="72.75" x14ac:dyDescent="0.25">
      <c r="A1289" s="3" t="s">
        <v>26</v>
      </c>
      <c r="B1289" s="3" t="s">
        <v>27</v>
      </c>
      <c r="C1289" s="3" t="s">
        <v>28</v>
      </c>
      <c r="D1289" s="3" t="s">
        <v>29</v>
      </c>
      <c r="E1289" s="3" t="s">
        <v>56</v>
      </c>
      <c r="F1289" s="3" t="s">
        <v>31</v>
      </c>
      <c r="G1289" s="3" t="s">
        <v>56</v>
      </c>
      <c r="H1289" s="3" t="s">
        <v>32</v>
      </c>
      <c r="I1289" s="3">
        <v>2025</v>
      </c>
      <c r="J1289" s="3" t="str">
        <f>CONCATENATE("54820012208")</f>
        <v>54820012208</v>
      </c>
      <c r="K1289" s="3" t="s">
        <v>33</v>
      </c>
      <c r="L1289" s="3"/>
      <c r="M1289" s="3" t="s">
        <v>131</v>
      </c>
      <c r="N1289" s="3" t="str">
        <f>CONCATENATE("BRTMSM60D06B474A")</f>
        <v>BRTMSM60D06B474A</v>
      </c>
      <c r="O1289" s="3" t="s">
        <v>1420</v>
      </c>
      <c r="P1289" s="3" t="s">
        <v>36</v>
      </c>
      <c r="Q1289" s="3"/>
      <c r="R1289" s="4">
        <v>45996</v>
      </c>
      <c r="S1289" s="3" t="s">
        <v>37</v>
      </c>
      <c r="T1289" s="3" t="s">
        <v>38</v>
      </c>
      <c r="U1289" s="3" t="s">
        <v>39</v>
      </c>
      <c r="V1289" s="3">
        <v>144.99</v>
      </c>
      <c r="W1289" s="3">
        <v>61.62</v>
      </c>
      <c r="X1289" s="3">
        <v>58.36</v>
      </c>
      <c r="Y1289" s="3">
        <v>25.01</v>
      </c>
    </row>
    <row r="1290" spans="1:25" ht="36.75" x14ac:dyDescent="0.25">
      <c r="A1290" s="3" t="s">
        <v>26</v>
      </c>
      <c r="B1290" s="3" t="s">
        <v>27</v>
      </c>
      <c r="C1290" s="3" t="s">
        <v>28</v>
      </c>
      <c r="D1290" s="3" t="s">
        <v>50</v>
      </c>
      <c r="E1290" s="3" t="s">
        <v>51</v>
      </c>
      <c r="F1290" s="3" t="s">
        <v>52</v>
      </c>
      <c r="G1290" s="3" t="s">
        <v>51</v>
      </c>
      <c r="H1290" s="3" t="s">
        <v>48</v>
      </c>
      <c r="I1290" s="3">
        <v>2025</v>
      </c>
      <c r="J1290" s="3" t="str">
        <f>CONCATENATE("54820203781")</f>
        <v>54820203781</v>
      </c>
      <c r="K1290" s="3" t="s">
        <v>33</v>
      </c>
      <c r="L1290" s="3"/>
      <c r="M1290" s="3" t="s">
        <v>131</v>
      </c>
      <c r="N1290" s="3" t="str">
        <f>CONCATENATE("02829530423")</f>
        <v>02829530423</v>
      </c>
      <c r="O1290" s="3" t="s">
        <v>1421</v>
      </c>
      <c r="P1290" s="3" t="s">
        <v>36</v>
      </c>
      <c r="Q1290" s="3"/>
      <c r="R1290" s="4">
        <v>45996</v>
      </c>
      <c r="S1290" s="3" t="s">
        <v>37</v>
      </c>
      <c r="T1290" s="3" t="s">
        <v>38</v>
      </c>
      <c r="U1290" s="3" t="s">
        <v>39</v>
      </c>
      <c r="V1290" s="3">
        <v>339.08</v>
      </c>
      <c r="W1290" s="3">
        <v>144.11000000000001</v>
      </c>
      <c r="X1290" s="3">
        <v>136.47999999999999</v>
      </c>
      <c r="Y1290" s="3">
        <v>58.49</v>
      </c>
    </row>
    <row r="1291" spans="1:25" ht="36.75" x14ac:dyDescent="0.25">
      <c r="A1291" s="3" t="s">
        <v>26</v>
      </c>
      <c r="B1291" s="3" t="s">
        <v>27</v>
      </c>
      <c r="C1291" s="3" t="s">
        <v>28</v>
      </c>
      <c r="D1291" s="3" t="s">
        <v>40</v>
      </c>
      <c r="E1291" s="3" t="s">
        <v>218</v>
      </c>
      <c r="F1291" s="3" t="s">
        <v>42</v>
      </c>
      <c r="G1291" s="3" t="s">
        <v>218</v>
      </c>
      <c r="H1291" s="3" t="s">
        <v>45</v>
      </c>
      <c r="I1291" s="3">
        <v>2025</v>
      </c>
      <c r="J1291" s="3" t="str">
        <f>CONCATENATE("54820026471")</f>
        <v>54820026471</v>
      </c>
      <c r="K1291" s="3" t="s">
        <v>33</v>
      </c>
      <c r="L1291" s="3"/>
      <c r="M1291" s="3" t="s">
        <v>131</v>
      </c>
      <c r="N1291" s="3" t="str">
        <f>CONCATENATE("02383080419")</f>
        <v>02383080419</v>
      </c>
      <c r="O1291" s="3" t="s">
        <v>1422</v>
      </c>
      <c r="P1291" s="3" t="s">
        <v>36</v>
      </c>
      <c r="Q1291" s="3"/>
      <c r="R1291" s="4">
        <v>45996</v>
      </c>
      <c r="S1291" s="3" t="s">
        <v>37</v>
      </c>
      <c r="T1291" s="3" t="s">
        <v>38</v>
      </c>
      <c r="U1291" s="3" t="s">
        <v>39</v>
      </c>
      <c r="V1291" s="3">
        <v>78.7</v>
      </c>
      <c r="W1291" s="3">
        <v>33.450000000000003</v>
      </c>
      <c r="X1291" s="3">
        <v>31.68</v>
      </c>
      <c r="Y1291" s="3">
        <v>13.57</v>
      </c>
    </row>
    <row r="1292" spans="1:25" ht="60.75" x14ac:dyDescent="0.25">
      <c r="A1292" s="3" t="s">
        <v>26</v>
      </c>
      <c r="B1292" s="3" t="s">
        <v>27</v>
      </c>
      <c r="C1292" s="3" t="s">
        <v>28</v>
      </c>
      <c r="D1292" s="3" t="s">
        <v>104</v>
      </c>
      <c r="E1292" s="3" t="s">
        <v>268</v>
      </c>
      <c r="F1292" s="3" t="s">
        <v>104</v>
      </c>
      <c r="G1292" s="3" t="s">
        <v>268</v>
      </c>
      <c r="H1292" s="3" t="s">
        <v>32</v>
      </c>
      <c r="I1292" s="3">
        <v>2025</v>
      </c>
      <c r="J1292" s="3" t="str">
        <f>CONCATENATE("54820013586")</f>
        <v>54820013586</v>
      </c>
      <c r="K1292" s="3" t="s">
        <v>33</v>
      </c>
      <c r="L1292" s="3"/>
      <c r="M1292" s="3" t="s">
        <v>131</v>
      </c>
      <c r="N1292" s="3" t="str">
        <f>CONCATENATE("PTTVNI80B05E783X")</f>
        <v>PTTVNI80B05E783X</v>
      </c>
      <c r="O1292" s="3" t="s">
        <v>1423</v>
      </c>
      <c r="P1292" s="3" t="s">
        <v>36</v>
      </c>
      <c r="Q1292" s="3"/>
      <c r="R1292" s="4">
        <v>45996</v>
      </c>
      <c r="S1292" s="3" t="s">
        <v>37</v>
      </c>
      <c r="T1292" s="3" t="s">
        <v>38</v>
      </c>
      <c r="U1292" s="3" t="s">
        <v>39</v>
      </c>
      <c r="V1292" s="3">
        <v>87.84</v>
      </c>
      <c r="W1292" s="3">
        <v>37.33</v>
      </c>
      <c r="X1292" s="3">
        <v>35.36</v>
      </c>
      <c r="Y1292" s="3">
        <v>15.15</v>
      </c>
    </row>
    <row r="1293" spans="1:25" ht="60.75" x14ac:dyDescent="0.25">
      <c r="A1293" s="3" t="s">
        <v>26</v>
      </c>
      <c r="B1293" s="3" t="s">
        <v>27</v>
      </c>
      <c r="C1293" s="3" t="s">
        <v>28</v>
      </c>
      <c r="D1293" s="3" t="s">
        <v>29</v>
      </c>
      <c r="E1293" s="3" t="s">
        <v>136</v>
      </c>
      <c r="F1293" s="3" t="s">
        <v>31</v>
      </c>
      <c r="G1293" s="3" t="s">
        <v>136</v>
      </c>
      <c r="H1293" s="3" t="s">
        <v>48</v>
      </c>
      <c r="I1293" s="3">
        <v>2025</v>
      </c>
      <c r="J1293" s="3" t="str">
        <f>CONCATENATE("54820234497")</f>
        <v>54820234497</v>
      </c>
      <c r="K1293" s="3" t="s">
        <v>33</v>
      </c>
      <c r="L1293" s="3"/>
      <c r="M1293" s="3" t="s">
        <v>131</v>
      </c>
      <c r="N1293" s="3" t="str">
        <f>CONCATENATE("BRNCLD70R29I461N")</f>
        <v>BRNCLD70R29I461N</v>
      </c>
      <c r="O1293" s="3" t="s">
        <v>1424</v>
      </c>
      <c r="P1293" s="3" t="s">
        <v>36</v>
      </c>
      <c r="Q1293" s="3"/>
      <c r="R1293" s="4">
        <v>45996</v>
      </c>
      <c r="S1293" s="3" t="s">
        <v>37</v>
      </c>
      <c r="T1293" s="3" t="s">
        <v>38</v>
      </c>
      <c r="U1293" s="3" t="s">
        <v>39</v>
      </c>
      <c r="V1293" s="3">
        <v>117.85</v>
      </c>
      <c r="W1293" s="3">
        <v>50.09</v>
      </c>
      <c r="X1293" s="3">
        <v>47.43</v>
      </c>
      <c r="Y1293" s="3">
        <v>20.329999999999998</v>
      </c>
    </row>
    <row r="1294" spans="1:25" ht="72.75" x14ac:dyDescent="0.25">
      <c r="A1294" s="3" t="s">
        <v>26</v>
      </c>
      <c r="B1294" s="3" t="s">
        <v>27</v>
      </c>
      <c r="C1294" s="3" t="s">
        <v>28</v>
      </c>
      <c r="D1294" s="3" t="s">
        <v>50</v>
      </c>
      <c r="E1294" s="3" t="s">
        <v>51</v>
      </c>
      <c r="F1294" s="3" t="s">
        <v>52</v>
      </c>
      <c r="G1294" s="3" t="s">
        <v>51</v>
      </c>
      <c r="H1294" s="3" t="s">
        <v>48</v>
      </c>
      <c r="I1294" s="3">
        <v>2025</v>
      </c>
      <c r="J1294" s="3" t="str">
        <f>CONCATENATE("54820373600")</f>
        <v>54820373600</v>
      </c>
      <c r="K1294" s="3" t="s">
        <v>33</v>
      </c>
      <c r="L1294" s="3"/>
      <c r="M1294" s="3" t="s">
        <v>131</v>
      </c>
      <c r="N1294" s="3" t="str">
        <f>CONCATENATE("SNNGNN67M21A978R")</f>
        <v>SNNGNN67M21A978R</v>
      </c>
      <c r="O1294" s="3" t="s">
        <v>1425</v>
      </c>
      <c r="P1294" s="3" t="s">
        <v>36</v>
      </c>
      <c r="Q1294" s="3"/>
      <c r="R1294" s="4">
        <v>45996</v>
      </c>
      <c r="S1294" s="3" t="s">
        <v>37</v>
      </c>
      <c r="T1294" s="3" t="s">
        <v>38</v>
      </c>
      <c r="U1294" s="3" t="s">
        <v>39</v>
      </c>
      <c r="V1294" s="3">
        <v>369.02</v>
      </c>
      <c r="W1294" s="3">
        <v>156.83000000000001</v>
      </c>
      <c r="X1294" s="3">
        <v>148.53</v>
      </c>
      <c r="Y1294" s="3">
        <v>63.66</v>
      </c>
    </row>
    <row r="1295" spans="1:25" ht="60.75" x14ac:dyDescent="0.25">
      <c r="A1295" s="3" t="s">
        <v>26</v>
      </c>
      <c r="B1295" s="3" t="s">
        <v>27</v>
      </c>
      <c r="C1295" s="3" t="s">
        <v>28</v>
      </c>
      <c r="D1295" s="3" t="s">
        <v>50</v>
      </c>
      <c r="E1295" s="3" t="s">
        <v>51</v>
      </c>
      <c r="F1295" s="3" t="s">
        <v>52</v>
      </c>
      <c r="G1295" s="3" t="s">
        <v>51</v>
      </c>
      <c r="H1295" s="3" t="s">
        <v>48</v>
      </c>
      <c r="I1295" s="3">
        <v>2025</v>
      </c>
      <c r="J1295" s="3" t="str">
        <f>CONCATENATE("54820155197")</f>
        <v>54820155197</v>
      </c>
      <c r="K1295" s="3" t="s">
        <v>33</v>
      </c>
      <c r="L1295" s="3"/>
      <c r="M1295" s="3" t="s">
        <v>131</v>
      </c>
      <c r="N1295" s="3" t="str">
        <f>CONCATENATE("LGIMRZ66M19I461C")</f>
        <v>LGIMRZ66M19I461C</v>
      </c>
      <c r="O1295" s="3" t="s">
        <v>1426</v>
      </c>
      <c r="P1295" s="3" t="s">
        <v>36</v>
      </c>
      <c r="Q1295" s="3"/>
      <c r="R1295" s="4">
        <v>45996</v>
      </c>
      <c r="S1295" s="3" t="s">
        <v>37</v>
      </c>
      <c r="T1295" s="3" t="s">
        <v>38</v>
      </c>
      <c r="U1295" s="3" t="s">
        <v>39</v>
      </c>
      <c r="V1295" s="3">
        <v>159.16999999999999</v>
      </c>
      <c r="W1295" s="3">
        <v>67.650000000000006</v>
      </c>
      <c r="X1295" s="3">
        <v>64.069999999999993</v>
      </c>
      <c r="Y1295" s="3">
        <v>27.45</v>
      </c>
    </row>
    <row r="1296" spans="1:25" ht="60.75" x14ac:dyDescent="0.25">
      <c r="A1296" s="3" t="s">
        <v>26</v>
      </c>
      <c r="B1296" s="3" t="s">
        <v>27</v>
      </c>
      <c r="C1296" s="3" t="s">
        <v>28</v>
      </c>
      <c r="D1296" s="3" t="s">
        <v>29</v>
      </c>
      <c r="E1296" s="3" t="s">
        <v>68</v>
      </c>
      <c r="F1296" s="3" t="s">
        <v>31</v>
      </c>
      <c r="G1296" s="3" t="s">
        <v>68</v>
      </c>
      <c r="H1296" s="3" t="s">
        <v>32</v>
      </c>
      <c r="I1296" s="3">
        <v>2025</v>
      </c>
      <c r="J1296" s="3" t="str">
        <f>CONCATENATE("54820026596")</f>
        <v>54820026596</v>
      </c>
      <c r="K1296" s="3" t="s">
        <v>33</v>
      </c>
      <c r="L1296" s="3"/>
      <c r="M1296" s="3" t="s">
        <v>131</v>
      </c>
      <c r="N1296" s="3" t="str">
        <f>CONCATENATE("NSVLCU73D11B474I")</f>
        <v>NSVLCU73D11B474I</v>
      </c>
      <c r="O1296" s="3" t="s">
        <v>1427</v>
      </c>
      <c r="P1296" s="3" t="s">
        <v>36</v>
      </c>
      <c r="Q1296" s="3"/>
      <c r="R1296" s="4">
        <v>45996</v>
      </c>
      <c r="S1296" s="3" t="s">
        <v>37</v>
      </c>
      <c r="T1296" s="3" t="s">
        <v>38</v>
      </c>
      <c r="U1296" s="3" t="s">
        <v>39</v>
      </c>
      <c r="V1296" s="3">
        <v>750.97</v>
      </c>
      <c r="W1296" s="3">
        <v>319.16000000000003</v>
      </c>
      <c r="X1296" s="3">
        <v>302.27</v>
      </c>
      <c r="Y1296" s="3">
        <v>129.54</v>
      </c>
    </row>
    <row r="1297" spans="1:25" ht="36.75" x14ac:dyDescent="0.25">
      <c r="A1297" s="3" t="s">
        <v>26</v>
      </c>
      <c r="B1297" s="3" t="s">
        <v>27</v>
      </c>
      <c r="C1297" s="3" t="s">
        <v>28</v>
      </c>
      <c r="D1297" s="3" t="s">
        <v>50</v>
      </c>
      <c r="E1297" s="3" t="s">
        <v>173</v>
      </c>
      <c r="F1297" s="3" t="s">
        <v>52</v>
      </c>
      <c r="G1297" s="3" t="s">
        <v>173</v>
      </c>
      <c r="H1297" s="3" t="s">
        <v>45</v>
      </c>
      <c r="I1297" s="3">
        <v>2025</v>
      </c>
      <c r="J1297" s="3" t="str">
        <f>CONCATENATE("54820070503")</f>
        <v>54820070503</v>
      </c>
      <c r="K1297" s="3" t="s">
        <v>33</v>
      </c>
      <c r="L1297" s="3"/>
      <c r="M1297" s="3" t="s">
        <v>131</v>
      </c>
      <c r="N1297" s="3" t="str">
        <f>CONCATENATE("02828930418")</f>
        <v>02828930418</v>
      </c>
      <c r="O1297" s="3" t="s">
        <v>1428</v>
      </c>
      <c r="P1297" s="3" t="s">
        <v>36</v>
      </c>
      <c r="Q1297" s="3"/>
      <c r="R1297" s="4">
        <v>45996</v>
      </c>
      <c r="S1297" s="3" t="s">
        <v>37</v>
      </c>
      <c r="T1297" s="3" t="s">
        <v>38</v>
      </c>
      <c r="U1297" s="3" t="s">
        <v>39</v>
      </c>
      <c r="V1297" s="3">
        <v>723.57</v>
      </c>
      <c r="W1297" s="3">
        <v>307.52</v>
      </c>
      <c r="X1297" s="3">
        <v>291.24</v>
      </c>
      <c r="Y1297" s="3">
        <v>124.81</v>
      </c>
    </row>
    <row r="1298" spans="1:25" ht="60.75" x14ac:dyDescent="0.25">
      <c r="A1298" s="3" t="s">
        <v>26</v>
      </c>
      <c r="B1298" s="3" t="s">
        <v>27</v>
      </c>
      <c r="C1298" s="3" t="s">
        <v>28</v>
      </c>
      <c r="D1298" s="3" t="s">
        <v>50</v>
      </c>
      <c r="E1298" s="3" t="s">
        <v>252</v>
      </c>
      <c r="F1298" s="3" t="s">
        <v>52</v>
      </c>
      <c r="G1298" s="3" t="s">
        <v>252</v>
      </c>
      <c r="H1298" s="3" t="s">
        <v>45</v>
      </c>
      <c r="I1298" s="3">
        <v>2025</v>
      </c>
      <c r="J1298" s="3" t="str">
        <f>CONCATENATE("54820162243")</f>
        <v>54820162243</v>
      </c>
      <c r="K1298" s="3" t="s">
        <v>33</v>
      </c>
      <c r="L1298" s="3"/>
      <c r="M1298" s="3" t="s">
        <v>131</v>
      </c>
      <c r="N1298" s="3" t="str">
        <f>CONCATENATE("CNILRD66H13B352T")</f>
        <v>CNILRD66H13B352T</v>
      </c>
      <c r="O1298" s="3" t="s">
        <v>1429</v>
      </c>
      <c r="P1298" s="3" t="s">
        <v>36</v>
      </c>
      <c r="Q1298" s="3"/>
      <c r="R1298" s="4">
        <v>45996</v>
      </c>
      <c r="S1298" s="3" t="s">
        <v>37</v>
      </c>
      <c r="T1298" s="3" t="s">
        <v>38</v>
      </c>
      <c r="U1298" s="3" t="s">
        <v>39</v>
      </c>
      <c r="V1298" s="3">
        <v>116.76</v>
      </c>
      <c r="W1298" s="3">
        <v>49.62</v>
      </c>
      <c r="X1298" s="3">
        <v>47</v>
      </c>
      <c r="Y1298" s="3">
        <v>20.14</v>
      </c>
    </row>
    <row r="1299" spans="1:25" ht="60.75" x14ac:dyDescent="0.25">
      <c r="A1299" s="3" t="s">
        <v>26</v>
      </c>
      <c r="B1299" s="3" t="s">
        <v>27</v>
      </c>
      <c r="C1299" s="3" t="s">
        <v>28</v>
      </c>
      <c r="D1299" s="3" t="s">
        <v>312</v>
      </c>
      <c r="E1299" s="3" t="s">
        <v>313</v>
      </c>
      <c r="F1299" s="3" t="s">
        <v>314</v>
      </c>
      <c r="G1299" s="3" t="s">
        <v>313</v>
      </c>
      <c r="H1299" s="3" t="s">
        <v>96</v>
      </c>
      <c r="I1299" s="3">
        <v>2025</v>
      </c>
      <c r="J1299" s="3" t="str">
        <f>CONCATENATE("54820240833")</f>
        <v>54820240833</v>
      </c>
      <c r="K1299" s="3" t="s">
        <v>33</v>
      </c>
      <c r="L1299" s="3"/>
      <c r="M1299" s="3" t="s">
        <v>131</v>
      </c>
      <c r="N1299" s="3" t="str">
        <f>CONCATENATE("SCLCRL48T42H390Z")</f>
        <v>SCLCRL48T42H390Z</v>
      </c>
      <c r="O1299" s="3" t="s">
        <v>1430</v>
      </c>
      <c r="P1299" s="3" t="s">
        <v>36</v>
      </c>
      <c r="Q1299" s="3"/>
      <c r="R1299" s="4">
        <v>45996</v>
      </c>
      <c r="S1299" s="3" t="s">
        <v>37</v>
      </c>
      <c r="T1299" s="3" t="s">
        <v>38</v>
      </c>
      <c r="U1299" s="3" t="s">
        <v>39</v>
      </c>
      <c r="V1299" s="3">
        <v>69.66</v>
      </c>
      <c r="W1299" s="3">
        <v>29.61</v>
      </c>
      <c r="X1299" s="3">
        <v>28.04</v>
      </c>
      <c r="Y1299" s="3">
        <v>12.01</v>
      </c>
    </row>
    <row r="1300" spans="1:25" ht="60.75" x14ac:dyDescent="0.25">
      <c r="A1300" s="3" t="s">
        <v>26</v>
      </c>
      <c r="B1300" s="3" t="s">
        <v>27</v>
      </c>
      <c r="C1300" s="3" t="s">
        <v>28</v>
      </c>
      <c r="D1300" s="3" t="s">
        <v>91</v>
      </c>
      <c r="E1300" s="3" t="s">
        <v>151</v>
      </c>
      <c r="F1300" s="3" t="s">
        <v>93</v>
      </c>
      <c r="G1300" s="3" t="s">
        <v>151</v>
      </c>
      <c r="H1300" s="3" t="s">
        <v>45</v>
      </c>
      <c r="I1300" s="3">
        <v>2025</v>
      </c>
      <c r="J1300" s="3" t="str">
        <f>CONCATENATE("54820289079")</f>
        <v>54820289079</v>
      </c>
      <c r="K1300" s="3" t="s">
        <v>33</v>
      </c>
      <c r="L1300" s="3"/>
      <c r="M1300" s="3" t="s">
        <v>131</v>
      </c>
      <c r="N1300" s="3" t="str">
        <f>CONCATENATE("BTTSVR70D23D643K")</f>
        <v>BTTSVR70D23D643K</v>
      </c>
      <c r="O1300" s="3" t="s">
        <v>1431</v>
      </c>
      <c r="P1300" s="3" t="s">
        <v>36</v>
      </c>
      <c r="Q1300" s="3"/>
      <c r="R1300" s="4">
        <v>45996</v>
      </c>
      <c r="S1300" s="3" t="s">
        <v>37</v>
      </c>
      <c r="T1300" s="3" t="s">
        <v>38</v>
      </c>
      <c r="U1300" s="3" t="s">
        <v>39</v>
      </c>
      <c r="V1300" s="3">
        <v>414.06</v>
      </c>
      <c r="W1300" s="3">
        <v>175.98</v>
      </c>
      <c r="X1300" s="3">
        <v>166.66</v>
      </c>
      <c r="Y1300" s="3">
        <v>71.42</v>
      </c>
    </row>
    <row r="1301" spans="1:25" ht="72.75" x14ac:dyDescent="0.25">
      <c r="A1301" s="3" t="s">
        <v>26</v>
      </c>
      <c r="B1301" s="3" t="s">
        <v>27</v>
      </c>
      <c r="C1301" s="3" t="s">
        <v>28</v>
      </c>
      <c r="D1301" s="3" t="s">
        <v>464</v>
      </c>
      <c r="E1301" s="3" t="s">
        <v>465</v>
      </c>
      <c r="F1301" s="3" t="s">
        <v>466</v>
      </c>
      <c r="G1301" s="3" t="s">
        <v>465</v>
      </c>
      <c r="H1301" s="3" t="s">
        <v>96</v>
      </c>
      <c r="I1301" s="3">
        <v>2025</v>
      </c>
      <c r="J1301" s="3" t="str">
        <f>CONCATENATE("54820192190")</f>
        <v>54820192190</v>
      </c>
      <c r="K1301" s="3" t="s">
        <v>33</v>
      </c>
      <c r="L1301" s="3"/>
      <c r="M1301" s="3" t="s">
        <v>131</v>
      </c>
      <c r="N1301" s="3" t="str">
        <f>CONCATENATE("DMRFNC40H28L728U")</f>
        <v>DMRFNC40H28L728U</v>
      </c>
      <c r="O1301" s="3" t="s">
        <v>1432</v>
      </c>
      <c r="P1301" s="3" t="s">
        <v>36</v>
      </c>
      <c r="Q1301" s="3"/>
      <c r="R1301" s="4">
        <v>45996</v>
      </c>
      <c r="S1301" s="3" t="s">
        <v>37</v>
      </c>
      <c r="T1301" s="3" t="s">
        <v>38</v>
      </c>
      <c r="U1301" s="3" t="s">
        <v>39</v>
      </c>
      <c r="V1301" s="3">
        <v>167.5</v>
      </c>
      <c r="W1301" s="3">
        <v>71.19</v>
      </c>
      <c r="X1301" s="3">
        <v>67.42</v>
      </c>
      <c r="Y1301" s="3">
        <v>28.89</v>
      </c>
    </row>
    <row r="1302" spans="1:25" ht="72.75" x14ac:dyDescent="0.25">
      <c r="A1302" s="3" t="s">
        <v>26</v>
      </c>
      <c r="B1302" s="3" t="s">
        <v>27</v>
      </c>
      <c r="C1302" s="3" t="s">
        <v>28</v>
      </c>
      <c r="D1302" s="3" t="s">
        <v>50</v>
      </c>
      <c r="E1302" s="3" t="s">
        <v>60</v>
      </c>
      <c r="F1302" s="3" t="s">
        <v>52</v>
      </c>
      <c r="G1302" s="3" t="s">
        <v>60</v>
      </c>
      <c r="H1302" s="3" t="s">
        <v>48</v>
      </c>
      <c r="I1302" s="3">
        <v>2025</v>
      </c>
      <c r="J1302" s="3" t="str">
        <f>CONCATENATE("54820189824")</f>
        <v>54820189824</v>
      </c>
      <c r="K1302" s="3" t="s">
        <v>33</v>
      </c>
      <c r="L1302" s="3"/>
      <c r="M1302" s="3" t="s">
        <v>131</v>
      </c>
      <c r="N1302" s="3" t="str">
        <f>CONCATENATE("FRLMRN78P06Z126W")</f>
        <v>FRLMRN78P06Z126W</v>
      </c>
      <c r="O1302" s="3" t="s">
        <v>1433</v>
      </c>
      <c r="P1302" s="3" t="s">
        <v>36</v>
      </c>
      <c r="Q1302" s="3"/>
      <c r="R1302" s="4">
        <v>45996</v>
      </c>
      <c r="S1302" s="3" t="s">
        <v>37</v>
      </c>
      <c r="T1302" s="3" t="s">
        <v>38</v>
      </c>
      <c r="U1302" s="3" t="s">
        <v>39</v>
      </c>
      <c r="V1302" s="3">
        <v>76.23</v>
      </c>
      <c r="W1302" s="3">
        <v>32.4</v>
      </c>
      <c r="X1302" s="3">
        <v>30.68</v>
      </c>
      <c r="Y1302" s="3">
        <v>13.15</v>
      </c>
    </row>
    <row r="1303" spans="1:25" ht="72.75" x14ac:dyDescent="0.25">
      <c r="A1303" s="3" t="s">
        <v>26</v>
      </c>
      <c r="B1303" s="3" t="s">
        <v>27</v>
      </c>
      <c r="C1303" s="3" t="s">
        <v>28</v>
      </c>
      <c r="D1303" s="3" t="s">
        <v>29</v>
      </c>
      <c r="E1303" s="3" t="s">
        <v>47</v>
      </c>
      <c r="F1303" s="3" t="s">
        <v>31</v>
      </c>
      <c r="G1303" s="3" t="s">
        <v>47</v>
      </c>
      <c r="H1303" s="3" t="s">
        <v>48</v>
      </c>
      <c r="I1303" s="3">
        <v>2025</v>
      </c>
      <c r="J1303" s="3" t="str">
        <f>CONCATENATE("54820189162")</f>
        <v>54820189162</v>
      </c>
      <c r="K1303" s="3" t="s">
        <v>33</v>
      </c>
      <c r="L1303" s="3"/>
      <c r="M1303" s="3" t="s">
        <v>131</v>
      </c>
      <c r="N1303" s="3" t="str">
        <f>CONCATENATE("BSCPRN57H02D965O")</f>
        <v>BSCPRN57H02D965O</v>
      </c>
      <c r="O1303" s="3" t="s">
        <v>1434</v>
      </c>
      <c r="P1303" s="3" t="s">
        <v>36</v>
      </c>
      <c r="Q1303" s="3"/>
      <c r="R1303" s="4">
        <v>45996</v>
      </c>
      <c r="S1303" s="3" t="s">
        <v>37</v>
      </c>
      <c r="T1303" s="3" t="s">
        <v>38</v>
      </c>
      <c r="U1303" s="3" t="s">
        <v>39</v>
      </c>
      <c r="V1303" s="3">
        <v>425.11</v>
      </c>
      <c r="W1303" s="3">
        <v>180.67</v>
      </c>
      <c r="X1303" s="3">
        <v>171.11</v>
      </c>
      <c r="Y1303" s="3">
        <v>73.33</v>
      </c>
    </row>
    <row r="1304" spans="1:25" ht="72.75" x14ac:dyDescent="0.25">
      <c r="A1304" s="3" t="s">
        <v>26</v>
      </c>
      <c r="B1304" s="3" t="s">
        <v>27</v>
      </c>
      <c r="C1304" s="3" t="s">
        <v>28</v>
      </c>
      <c r="D1304" s="3" t="s">
        <v>29</v>
      </c>
      <c r="E1304" s="3" t="s">
        <v>56</v>
      </c>
      <c r="F1304" s="3" t="s">
        <v>31</v>
      </c>
      <c r="G1304" s="3" t="s">
        <v>56</v>
      </c>
      <c r="H1304" s="3" t="s">
        <v>32</v>
      </c>
      <c r="I1304" s="3">
        <v>2025</v>
      </c>
      <c r="J1304" s="3" t="str">
        <f>CONCATENATE("54820260203")</f>
        <v>54820260203</v>
      </c>
      <c r="K1304" s="3" t="s">
        <v>33</v>
      </c>
      <c r="L1304" s="3"/>
      <c r="M1304" s="3" t="s">
        <v>131</v>
      </c>
      <c r="N1304" s="3" t="str">
        <f>CONCATENATE("NGLSFN67A15B474H")</f>
        <v>NGLSFN67A15B474H</v>
      </c>
      <c r="O1304" s="3" t="s">
        <v>1435</v>
      </c>
      <c r="P1304" s="3" t="s">
        <v>36</v>
      </c>
      <c r="Q1304" s="3"/>
      <c r="R1304" s="4">
        <v>45996</v>
      </c>
      <c r="S1304" s="3" t="s">
        <v>37</v>
      </c>
      <c r="T1304" s="3" t="s">
        <v>38</v>
      </c>
      <c r="U1304" s="3" t="s">
        <v>39</v>
      </c>
      <c r="V1304" s="5">
        <v>1068.58</v>
      </c>
      <c r="W1304" s="3">
        <v>454.15</v>
      </c>
      <c r="X1304" s="3">
        <v>430.1</v>
      </c>
      <c r="Y1304" s="3">
        <v>184.33</v>
      </c>
    </row>
    <row r="1305" spans="1:25" ht="60.75" x14ac:dyDescent="0.25">
      <c r="A1305" s="3" t="s">
        <v>26</v>
      </c>
      <c r="B1305" s="3" t="s">
        <v>27</v>
      </c>
      <c r="C1305" s="3" t="s">
        <v>28</v>
      </c>
      <c r="D1305" s="3" t="s">
        <v>104</v>
      </c>
      <c r="E1305" s="3" t="s">
        <v>141</v>
      </c>
      <c r="F1305" s="3" t="s">
        <v>104</v>
      </c>
      <c r="G1305" s="3" t="s">
        <v>141</v>
      </c>
      <c r="H1305" s="3" t="s">
        <v>96</v>
      </c>
      <c r="I1305" s="3">
        <v>2025</v>
      </c>
      <c r="J1305" s="3" t="str">
        <f>CONCATENATE("54820281712")</f>
        <v>54820281712</v>
      </c>
      <c r="K1305" s="3" t="s">
        <v>33</v>
      </c>
      <c r="L1305" s="3"/>
      <c r="M1305" s="3" t="s">
        <v>131</v>
      </c>
      <c r="N1305" s="3" t="str">
        <f>CONCATENATE("DCSDNL79C19A252T")</f>
        <v>DCSDNL79C19A252T</v>
      </c>
      <c r="O1305" s="3" t="s">
        <v>1436</v>
      </c>
      <c r="P1305" s="3" t="s">
        <v>36</v>
      </c>
      <c r="Q1305" s="3"/>
      <c r="R1305" s="4">
        <v>45996</v>
      </c>
      <c r="S1305" s="3" t="s">
        <v>37</v>
      </c>
      <c r="T1305" s="3" t="s">
        <v>38</v>
      </c>
      <c r="U1305" s="3" t="s">
        <v>39</v>
      </c>
      <c r="V1305" s="3">
        <v>60.52</v>
      </c>
      <c r="W1305" s="3">
        <v>25.72</v>
      </c>
      <c r="X1305" s="3">
        <v>24.36</v>
      </c>
      <c r="Y1305" s="3">
        <v>10.44</v>
      </c>
    </row>
    <row r="1306" spans="1:25" ht="60.75" x14ac:dyDescent="0.25">
      <c r="A1306" s="3" t="s">
        <v>26</v>
      </c>
      <c r="B1306" s="3" t="s">
        <v>27</v>
      </c>
      <c r="C1306" s="3" t="s">
        <v>28</v>
      </c>
      <c r="D1306" s="3" t="s">
        <v>29</v>
      </c>
      <c r="E1306" s="3" t="s">
        <v>56</v>
      </c>
      <c r="F1306" s="3" t="s">
        <v>31</v>
      </c>
      <c r="G1306" s="3" t="s">
        <v>56</v>
      </c>
      <c r="H1306" s="3" t="s">
        <v>32</v>
      </c>
      <c r="I1306" s="3">
        <v>2025</v>
      </c>
      <c r="J1306" s="3" t="str">
        <f>CONCATENATE("54820190491")</f>
        <v>54820190491</v>
      </c>
      <c r="K1306" s="3" t="s">
        <v>33</v>
      </c>
      <c r="L1306" s="3"/>
      <c r="M1306" s="3" t="s">
        <v>131</v>
      </c>
      <c r="N1306" s="3" t="str">
        <f>CONCATENATE("BSBMRA50H04B474Z")</f>
        <v>BSBMRA50H04B474Z</v>
      </c>
      <c r="O1306" s="3" t="s">
        <v>1437</v>
      </c>
      <c r="P1306" s="3" t="s">
        <v>36</v>
      </c>
      <c r="Q1306" s="3"/>
      <c r="R1306" s="4">
        <v>45996</v>
      </c>
      <c r="S1306" s="3" t="s">
        <v>37</v>
      </c>
      <c r="T1306" s="3" t="s">
        <v>38</v>
      </c>
      <c r="U1306" s="3" t="s">
        <v>39</v>
      </c>
      <c r="V1306" s="3">
        <v>318.89999999999998</v>
      </c>
      <c r="W1306" s="3">
        <v>135.53</v>
      </c>
      <c r="X1306" s="3">
        <v>128.36000000000001</v>
      </c>
      <c r="Y1306" s="3">
        <v>55.01</v>
      </c>
    </row>
    <row r="1307" spans="1:25" ht="60.75" x14ac:dyDescent="0.25">
      <c r="A1307" s="3" t="s">
        <v>26</v>
      </c>
      <c r="B1307" s="3" t="s">
        <v>27</v>
      </c>
      <c r="C1307" s="3" t="s">
        <v>28</v>
      </c>
      <c r="D1307" s="3" t="s">
        <v>29</v>
      </c>
      <c r="E1307" s="3" t="s">
        <v>136</v>
      </c>
      <c r="F1307" s="3" t="s">
        <v>31</v>
      </c>
      <c r="G1307" s="3" t="s">
        <v>136</v>
      </c>
      <c r="H1307" s="3" t="s">
        <v>48</v>
      </c>
      <c r="I1307" s="3">
        <v>2025</v>
      </c>
      <c r="J1307" s="3" t="str">
        <f>CONCATENATE("54820196431")</f>
        <v>54820196431</v>
      </c>
      <c r="K1307" s="3" t="s">
        <v>33</v>
      </c>
      <c r="L1307" s="3"/>
      <c r="M1307" s="3" t="s">
        <v>131</v>
      </c>
      <c r="N1307" s="3" t="str">
        <f>CONCATENATE("SNSDNC51E13G453Q")</f>
        <v>SNSDNC51E13G453Q</v>
      </c>
      <c r="O1307" s="3" t="s">
        <v>1438</v>
      </c>
      <c r="P1307" s="3" t="s">
        <v>36</v>
      </c>
      <c r="Q1307" s="3"/>
      <c r="R1307" s="4">
        <v>45996</v>
      </c>
      <c r="S1307" s="3" t="s">
        <v>37</v>
      </c>
      <c r="T1307" s="3" t="s">
        <v>38</v>
      </c>
      <c r="U1307" s="3" t="s">
        <v>39</v>
      </c>
      <c r="V1307" s="3">
        <v>178.05</v>
      </c>
      <c r="W1307" s="3">
        <v>75.67</v>
      </c>
      <c r="X1307" s="3">
        <v>71.67</v>
      </c>
      <c r="Y1307" s="3">
        <v>30.71</v>
      </c>
    </row>
    <row r="1308" spans="1:25" ht="60.75" x14ac:dyDescent="0.25">
      <c r="A1308" s="3" t="s">
        <v>26</v>
      </c>
      <c r="B1308" s="3" t="s">
        <v>27</v>
      </c>
      <c r="C1308" s="3" t="s">
        <v>28</v>
      </c>
      <c r="D1308" s="3" t="s">
        <v>50</v>
      </c>
      <c r="E1308" s="3" t="s">
        <v>60</v>
      </c>
      <c r="F1308" s="3" t="s">
        <v>52</v>
      </c>
      <c r="G1308" s="3" t="s">
        <v>60</v>
      </c>
      <c r="H1308" s="3" t="s">
        <v>45</v>
      </c>
      <c r="I1308" s="3">
        <v>2025</v>
      </c>
      <c r="J1308" s="3" t="str">
        <f>CONCATENATE("54820237789")</f>
        <v>54820237789</v>
      </c>
      <c r="K1308" s="3" t="s">
        <v>33</v>
      </c>
      <c r="L1308" s="3"/>
      <c r="M1308" s="3" t="s">
        <v>131</v>
      </c>
      <c r="N1308" s="3" t="str">
        <f>CONCATENATE("DPELGU52D27E441F")</f>
        <v>DPELGU52D27E441F</v>
      </c>
      <c r="O1308" s="3" t="s">
        <v>1439</v>
      </c>
      <c r="P1308" s="3" t="s">
        <v>36</v>
      </c>
      <c r="Q1308" s="3"/>
      <c r="R1308" s="4">
        <v>45996</v>
      </c>
      <c r="S1308" s="3" t="s">
        <v>37</v>
      </c>
      <c r="T1308" s="3" t="s">
        <v>38</v>
      </c>
      <c r="U1308" s="3" t="s">
        <v>39</v>
      </c>
      <c r="V1308" s="3">
        <v>954.87</v>
      </c>
      <c r="W1308" s="3">
        <v>405.82</v>
      </c>
      <c r="X1308" s="3">
        <v>384.34</v>
      </c>
      <c r="Y1308" s="3">
        <v>164.71</v>
      </c>
    </row>
    <row r="1309" spans="1:25" ht="60.75" x14ac:dyDescent="0.25">
      <c r="A1309" s="3" t="s">
        <v>26</v>
      </c>
      <c r="B1309" s="3" t="s">
        <v>27</v>
      </c>
      <c r="C1309" s="3" t="s">
        <v>28</v>
      </c>
      <c r="D1309" s="3" t="s">
        <v>50</v>
      </c>
      <c r="E1309" s="3" t="s">
        <v>147</v>
      </c>
      <c r="F1309" s="3" t="s">
        <v>52</v>
      </c>
      <c r="G1309" s="3" t="s">
        <v>147</v>
      </c>
      <c r="H1309" s="3" t="s">
        <v>45</v>
      </c>
      <c r="I1309" s="3">
        <v>2025</v>
      </c>
      <c r="J1309" s="3" t="str">
        <f>CONCATENATE("54820161690")</f>
        <v>54820161690</v>
      </c>
      <c r="K1309" s="3" t="s">
        <v>33</v>
      </c>
      <c r="L1309" s="3"/>
      <c r="M1309" s="3" t="s">
        <v>131</v>
      </c>
      <c r="N1309" s="3" t="str">
        <f>CONCATENATE("PRSRME56T16F497E")</f>
        <v>PRSRME56T16F497E</v>
      </c>
      <c r="O1309" s="3" t="s">
        <v>1440</v>
      </c>
      <c r="P1309" s="3" t="s">
        <v>36</v>
      </c>
      <c r="Q1309" s="3"/>
      <c r="R1309" s="4">
        <v>45996</v>
      </c>
      <c r="S1309" s="3" t="s">
        <v>37</v>
      </c>
      <c r="T1309" s="3" t="s">
        <v>38</v>
      </c>
      <c r="U1309" s="3" t="s">
        <v>39</v>
      </c>
      <c r="V1309" s="3">
        <v>780.31</v>
      </c>
      <c r="W1309" s="3">
        <v>331.63</v>
      </c>
      <c r="X1309" s="3">
        <v>314.07</v>
      </c>
      <c r="Y1309" s="3">
        <v>134.61000000000001</v>
      </c>
    </row>
    <row r="1310" spans="1:25" ht="60.75" x14ac:dyDescent="0.25">
      <c r="A1310" s="3" t="s">
        <v>26</v>
      </c>
      <c r="B1310" s="3" t="s">
        <v>27</v>
      </c>
      <c r="C1310" s="3" t="s">
        <v>28</v>
      </c>
      <c r="D1310" s="3" t="s">
        <v>91</v>
      </c>
      <c r="E1310" s="3" t="s">
        <v>95</v>
      </c>
      <c r="F1310" s="3" t="s">
        <v>93</v>
      </c>
      <c r="G1310" s="3" t="s">
        <v>95</v>
      </c>
      <c r="H1310" s="3" t="s">
        <v>96</v>
      </c>
      <c r="I1310" s="3">
        <v>2025</v>
      </c>
      <c r="J1310" s="3" t="str">
        <f>CONCATENATE("54820234968")</f>
        <v>54820234968</v>
      </c>
      <c r="K1310" s="3" t="s">
        <v>33</v>
      </c>
      <c r="L1310" s="3"/>
      <c r="M1310" s="3" t="s">
        <v>131</v>
      </c>
      <c r="N1310" s="3" t="str">
        <f>CONCATENATE("PCATZN70P58A437E")</f>
        <v>PCATZN70P58A437E</v>
      </c>
      <c r="O1310" s="3" t="s">
        <v>1441</v>
      </c>
      <c r="P1310" s="3" t="s">
        <v>36</v>
      </c>
      <c r="Q1310" s="3"/>
      <c r="R1310" s="4">
        <v>45996</v>
      </c>
      <c r="S1310" s="3" t="s">
        <v>37</v>
      </c>
      <c r="T1310" s="3" t="s">
        <v>38</v>
      </c>
      <c r="U1310" s="3" t="s">
        <v>39</v>
      </c>
      <c r="V1310" s="3">
        <v>227.76</v>
      </c>
      <c r="W1310" s="3">
        <v>96.8</v>
      </c>
      <c r="X1310" s="3">
        <v>91.67</v>
      </c>
      <c r="Y1310" s="3">
        <v>39.29</v>
      </c>
    </row>
    <row r="1311" spans="1:25" ht="60.75" x14ac:dyDescent="0.25">
      <c r="A1311" s="3" t="s">
        <v>26</v>
      </c>
      <c r="B1311" s="3" t="s">
        <v>27</v>
      </c>
      <c r="C1311" s="3" t="s">
        <v>28</v>
      </c>
      <c r="D1311" s="3" t="s">
        <v>50</v>
      </c>
      <c r="E1311" s="3" t="s">
        <v>212</v>
      </c>
      <c r="F1311" s="3" t="s">
        <v>52</v>
      </c>
      <c r="G1311" s="3" t="s">
        <v>212</v>
      </c>
      <c r="H1311" s="3" t="s">
        <v>32</v>
      </c>
      <c r="I1311" s="3">
        <v>2025</v>
      </c>
      <c r="J1311" s="3" t="str">
        <f>CONCATENATE("54820069869")</f>
        <v>54820069869</v>
      </c>
      <c r="K1311" s="3" t="s">
        <v>33</v>
      </c>
      <c r="L1311" s="3"/>
      <c r="M1311" s="3" t="s">
        <v>131</v>
      </c>
      <c r="N1311" s="3" t="str">
        <f>CONCATENATE("PLCGFR64B12B474C")</f>
        <v>PLCGFR64B12B474C</v>
      </c>
      <c r="O1311" s="3" t="s">
        <v>1442</v>
      </c>
      <c r="P1311" s="3" t="s">
        <v>36</v>
      </c>
      <c r="Q1311" s="3"/>
      <c r="R1311" s="4">
        <v>45996</v>
      </c>
      <c r="S1311" s="3" t="s">
        <v>37</v>
      </c>
      <c r="T1311" s="3" t="s">
        <v>38</v>
      </c>
      <c r="U1311" s="3" t="s">
        <v>39</v>
      </c>
      <c r="V1311" s="3">
        <v>127.66</v>
      </c>
      <c r="W1311" s="3">
        <v>54.26</v>
      </c>
      <c r="X1311" s="3">
        <v>51.38</v>
      </c>
      <c r="Y1311" s="3">
        <v>22.02</v>
      </c>
    </row>
    <row r="1312" spans="1:25" ht="60.75" x14ac:dyDescent="0.25">
      <c r="A1312" s="3" t="s">
        <v>26</v>
      </c>
      <c r="B1312" s="3" t="s">
        <v>27</v>
      </c>
      <c r="C1312" s="3" t="s">
        <v>28</v>
      </c>
      <c r="D1312" s="3" t="s">
        <v>29</v>
      </c>
      <c r="E1312" s="3" t="s">
        <v>186</v>
      </c>
      <c r="F1312" s="3" t="s">
        <v>31</v>
      </c>
      <c r="G1312" s="3" t="s">
        <v>186</v>
      </c>
      <c r="H1312" s="3" t="s">
        <v>45</v>
      </c>
      <c r="I1312" s="3">
        <v>2025</v>
      </c>
      <c r="J1312" s="3" t="str">
        <f>CONCATENATE("54820031836")</f>
        <v>54820031836</v>
      </c>
      <c r="K1312" s="3" t="s">
        <v>33</v>
      </c>
      <c r="L1312" s="3"/>
      <c r="M1312" s="3" t="s">
        <v>131</v>
      </c>
      <c r="N1312" s="3" t="str">
        <f>CONCATENATE("MZZDNL68M27I459V")</f>
        <v>MZZDNL68M27I459V</v>
      </c>
      <c r="O1312" s="3" t="s">
        <v>1443</v>
      </c>
      <c r="P1312" s="3" t="s">
        <v>36</v>
      </c>
      <c r="Q1312" s="3"/>
      <c r="R1312" s="4">
        <v>45996</v>
      </c>
      <c r="S1312" s="3" t="s">
        <v>37</v>
      </c>
      <c r="T1312" s="3" t="s">
        <v>38</v>
      </c>
      <c r="U1312" s="3" t="s">
        <v>39</v>
      </c>
      <c r="V1312" s="3">
        <v>734.2</v>
      </c>
      <c r="W1312" s="3">
        <v>312.04000000000002</v>
      </c>
      <c r="X1312" s="3">
        <v>295.52</v>
      </c>
      <c r="Y1312" s="3">
        <v>126.64</v>
      </c>
    </row>
    <row r="1313" spans="1:25" ht="36.75" x14ac:dyDescent="0.25">
      <c r="A1313" s="3" t="s">
        <v>26</v>
      </c>
      <c r="B1313" s="3" t="s">
        <v>27</v>
      </c>
      <c r="C1313" s="3" t="s">
        <v>28</v>
      </c>
      <c r="D1313" s="3" t="s">
        <v>29</v>
      </c>
      <c r="E1313" s="3" t="s">
        <v>72</v>
      </c>
      <c r="F1313" s="3" t="s">
        <v>31</v>
      </c>
      <c r="G1313" s="3" t="s">
        <v>72</v>
      </c>
      <c r="H1313" s="3" t="s">
        <v>45</v>
      </c>
      <c r="I1313" s="3">
        <v>2025</v>
      </c>
      <c r="J1313" s="3" t="str">
        <f>CONCATENATE("54820241559")</f>
        <v>54820241559</v>
      </c>
      <c r="K1313" s="3" t="s">
        <v>33</v>
      </c>
      <c r="L1313" s="3"/>
      <c r="M1313" s="3" t="s">
        <v>131</v>
      </c>
      <c r="N1313" s="3" t="str">
        <f>CONCATENATE("01407050416")</f>
        <v>01407050416</v>
      </c>
      <c r="O1313" s="3" t="s">
        <v>1444</v>
      </c>
      <c r="P1313" s="3" t="s">
        <v>36</v>
      </c>
      <c r="Q1313" s="3"/>
      <c r="R1313" s="4">
        <v>45996</v>
      </c>
      <c r="S1313" s="3" t="s">
        <v>37</v>
      </c>
      <c r="T1313" s="3" t="s">
        <v>38</v>
      </c>
      <c r="U1313" s="3" t="s">
        <v>39</v>
      </c>
      <c r="V1313" s="5">
        <v>1299.68</v>
      </c>
      <c r="W1313" s="3">
        <v>552.36</v>
      </c>
      <c r="X1313" s="3">
        <v>523.12</v>
      </c>
      <c r="Y1313" s="3">
        <v>224.2</v>
      </c>
    </row>
    <row r="1314" spans="1:25" ht="60.75" x14ac:dyDescent="0.25">
      <c r="A1314" s="3" t="s">
        <v>26</v>
      </c>
      <c r="B1314" s="3" t="s">
        <v>27</v>
      </c>
      <c r="C1314" s="3" t="s">
        <v>28</v>
      </c>
      <c r="D1314" s="3" t="s">
        <v>29</v>
      </c>
      <c r="E1314" s="3" t="s">
        <v>182</v>
      </c>
      <c r="F1314" s="3" t="s">
        <v>31</v>
      </c>
      <c r="G1314" s="3" t="s">
        <v>182</v>
      </c>
      <c r="H1314" s="3" t="s">
        <v>45</v>
      </c>
      <c r="I1314" s="3">
        <v>2025</v>
      </c>
      <c r="J1314" s="3" t="str">
        <f>CONCATENATE("54820138995")</f>
        <v>54820138995</v>
      </c>
      <c r="K1314" s="3" t="s">
        <v>33</v>
      </c>
      <c r="L1314" s="3"/>
      <c r="M1314" s="3" t="s">
        <v>131</v>
      </c>
      <c r="N1314" s="3" t="str">
        <f>CONCATENATE("GSPSVT68T20L500S")</f>
        <v>GSPSVT68T20L500S</v>
      </c>
      <c r="O1314" s="3" t="s">
        <v>1445</v>
      </c>
      <c r="P1314" s="3" t="s">
        <v>36</v>
      </c>
      <c r="Q1314" s="3"/>
      <c r="R1314" s="4">
        <v>45996</v>
      </c>
      <c r="S1314" s="3" t="s">
        <v>37</v>
      </c>
      <c r="T1314" s="3" t="s">
        <v>38</v>
      </c>
      <c r="U1314" s="3" t="s">
        <v>39</v>
      </c>
      <c r="V1314" s="3">
        <v>244.13</v>
      </c>
      <c r="W1314" s="3">
        <v>103.76</v>
      </c>
      <c r="X1314" s="3">
        <v>98.26</v>
      </c>
      <c r="Y1314" s="3">
        <v>42.11</v>
      </c>
    </row>
    <row r="1315" spans="1:25" ht="60.75" x14ac:dyDescent="0.25">
      <c r="A1315" s="3" t="s">
        <v>26</v>
      </c>
      <c r="B1315" s="3" t="s">
        <v>27</v>
      </c>
      <c r="C1315" s="3" t="s">
        <v>28</v>
      </c>
      <c r="D1315" s="3" t="s">
        <v>50</v>
      </c>
      <c r="E1315" s="3" t="s">
        <v>149</v>
      </c>
      <c r="F1315" s="3" t="s">
        <v>52</v>
      </c>
      <c r="G1315" s="3" t="s">
        <v>149</v>
      </c>
      <c r="H1315" s="3" t="s">
        <v>96</v>
      </c>
      <c r="I1315" s="3">
        <v>2025</v>
      </c>
      <c r="J1315" s="3" t="str">
        <f>CONCATENATE("54820158761")</f>
        <v>54820158761</v>
      </c>
      <c r="K1315" s="3" t="s">
        <v>33</v>
      </c>
      <c r="L1315" s="3"/>
      <c r="M1315" s="3" t="s">
        <v>131</v>
      </c>
      <c r="N1315" s="3" t="str">
        <f>CONCATENATE("RTLSDR67B17H588E")</f>
        <v>RTLSDR67B17H588E</v>
      </c>
      <c r="O1315" s="3" t="s">
        <v>1446</v>
      </c>
      <c r="P1315" s="3" t="s">
        <v>36</v>
      </c>
      <c r="Q1315" s="3"/>
      <c r="R1315" s="4">
        <v>45996</v>
      </c>
      <c r="S1315" s="3" t="s">
        <v>37</v>
      </c>
      <c r="T1315" s="3" t="s">
        <v>38</v>
      </c>
      <c r="U1315" s="3" t="s">
        <v>39</v>
      </c>
      <c r="V1315" s="3">
        <v>388.5</v>
      </c>
      <c r="W1315" s="3">
        <v>165.11</v>
      </c>
      <c r="X1315" s="3">
        <v>156.37</v>
      </c>
      <c r="Y1315" s="3">
        <v>67.02</v>
      </c>
    </row>
    <row r="1316" spans="1:25" ht="60.75" x14ac:dyDescent="0.25">
      <c r="A1316" s="3" t="s">
        <v>26</v>
      </c>
      <c r="B1316" s="3" t="s">
        <v>27</v>
      </c>
      <c r="C1316" s="3" t="s">
        <v>28</v>
      </c>
      <c r="D1316" s="3" t="s">
        <v>29</v>
      </c>
      <c r="E1316" s="3" t="s">
        <v>476</v>
      </c>
      <c r="F1316" s="3" t="s">
        <v>31</v>
      </c>
      <c r="G1316" s="3" t="s">
        <v>476</v>
      </c>
      <c r="H1316" s="3" t="s">
        <v>48</v>
      </c>
      <c r="I1316" s="3">
        <v>2025</v>
      </c>
      <c r="J1316" s="3" t="str">
        <f>CONCATENATE("54820209697")</f>
        <v>54820209697</v>
      </c>
      <c r="K1316" s="3" t="s">
        <v>33</v>
      </c>
      <c r="L1316" s="3"/>
      <c r="M1316" s="3" t="s">
        <v>131</v>
      </c>
      <c r="N1316" s="3" t="str">
        <f>CONCATENATE("CPCGCM82S08H501Q")</f>
        <v>CPCGCM82S08H501Q</v>
      </c>
      <c r="O1316" s="3" t="s">
        <v>1447</v>
      </c>
      <c r="P1316" s="3" t="s">
        <v>36</v>
      </c>
      <c r="Q1316" s="3"/>
      <c r="R1316" s="4">
        <v>45996</v>
      </c>
      <c r="S1316" s="3" t="s">
        <v>37</v>
      </c>
      <c r="T1316" s="3" t="s">
        <v>38</v>
      </c>
      <c r="U1316" s="3" t="s">
        <v>39</v>
      </c>
      <c r="V1316" s="3">
        <v>184.29</v>
      </c>
      <c r="W1316" s="3">
        <v>78.319999999999993</v>
      </c>
      <c r="X1316" s="3">
        <v>74.180000000000007</v>
      </c>
      <c r="Y1316" s="3">
        <v>31.79</v>
      </c>
    </row>
    <row r="1317" spans="1:25" ht="60.75" x14ac:dyDescent="0.25">
      <c r="A1317" s="3" t="s">
        <v>26</v>
      </c>
      <c r="B1317" s="3" t="s">
        <v>27</v>
      </c>
      <c r="C1317" s="3" t="s">
        <v>28</v>
      </c>
      <c r="D1317" s="3" t="s">
        <v>104</v>
      </c>
      <c r="E1317" s="3" t="s">
        <v>141</v>
      </c>
      <c r="F1317" s="3" t="s">
        <v>104</v>
      </c>
      <c r="G1317" s="3" t="s">
        <v>141</v>
      </c>
      <c r="H1317" s="3" t="s">
        <v>96</v>
      </c>
      <c r="I1317" s="3">
        <v>2025</v>
      </c>
      <c r="J1317" s="3" t="str">
        <f>CONCATENATE("54820137393")</f>
        <v>54820137393</v>
      </c>
      <c r="K1317" s="3" t="s">
        <v>33</v>
      </c>
      <c r="L1317" s="3"/>
      <c r="M1317" s="3" t="s">
        <v>131</v>
      </c>
      <c r="N1317" s="3" t="str">
        <f>CONCATENATE("GRZLNI88M66A252T")</f>
        <v>GRZLNI88M66A252T</v>
      </c>
      <c r="O1317" s="3" t="s">
        <v>1448</v>
      </c>
      <c r="P1317" s="3" t="s">
        <v>36</v>
      </c>
      <c r="Q1317" s="3"/>
      <c r="R1317" s="4">
        <v>45996</v>
      </c>
      <c r="S1317" s="3" t="s">
        <v>37</v>
      </c>
      <c r="T1317" s="3" t="s">
        <v>38</v>
      </c>
      <c r="U1317" s="3" t="s">
        <v>39</v>
      </c>
      <c r="V1317" s="3">
        <v>200.36</v>
      </c>
      <c r="W1317" s="3">
        <v>85.15</v>
      </c>
      <c r="X1317" s="3">
        <v>80.64</v>
      </c>
      <c r="Y1317" s="3">
        <v>34.57</v>
      </c>
    </row>
    <row r="1318" spans="1:25" ht="72.75" x14ac:dyDescent="0.25">
      <c r="A1318" s="3" t="s">
        <v>26</v>
      </c>
      <c r="B1318" s="3" t="s">
        <v>27</v>
      </c>
      <c r="C1318" s="3" t="s">
        <v>28</v>
      </c>
      <c r="D1318" s="3" t="s">
        <v>29</v>
      </c>
      <c r="E1318" s="3" t="s">
        <v>56</v>
      </c>
      <c r="F1318" s="3" t="s">
        <v>31</v>
      </c>
      <c r="G1318" s="3" t="s">
        <v>56</v>
      </c>
      <c r="H1318" s="3" t="s">
        <v>32</v>
      </c>
      <c r="I1318" s="3">
        <v>2025</v>
      </c>
      <c r="J1318" s="3" t="str">
        <f>CONCATENATE("54820148937")</f>
        <v>54820148937</v>
      </c>
      <c r="K1318" s="3" t="s">
        <v>33</v>
      </c>
      <c r="L1318" s="3"/>
      <c r="M1318" s="3" t="s">
        <v>131</v>
      </c>
      <c r="N1318" s="3" t="str">
        <f>CONCATENATE("SPRMRA51M02B474O")</f>
        <v>SPRMRA51M02B474O</v>
      </c>
      <c r="O1318" s="3" t="s">
        <v>1449</v>
      </c>
      <c r="P1318" s="3" t="s">
        <v>36</v>
      </c>
      <c r="Q1318" s="3"/>
      <c r="R1318" s="4">
        <v>45996</v>
      </c>
      <c r="S1318" s="3" t="s">
        <v>37</v>
      </c>
      <c r="T1318" s="3" t="s">
        <v>38</v>
      </c>
      <c r="U1318" s="3" t="s">
        <v>39</v>
      </c>
      <c r="V1318" s="3">
        <v>134.88</v>
      </c>
      <c r="W1318" s="3">
        <v>57.32</v>
      </c>
      <c r="X1318" s="3">
        <v>54.29</v>
      </c>
      <c r="Y1318" s="3">
        <v>23.27</v>
      </c>
    </row>
    <row r="1319" spans="1:25" ht="60.75" x14ac:dyDescent="0.25">
      <c r="A1319" s="3" t="s">
        <v>26</v>
      </c>
      <c r="B1319" s="3" t="s">
        <v>27</v>
      </c>
      <c r="C1319" s="3" t="s">
        <v>28</v>
      </c>
      <c r="D1319" s="3" t="s">
        <v>91</v>
      </c>
      <c r="E1319" s="3" t="s">
        <v>151</v>
      </c>
      <c r="F1319" s="3" t="s">
        <v>93</v>
      </c>
      <c r="G1319" s="3" t="s">
        <v>151</v>
      </c>
      <c r="H1319" s="3" t="s">
        <v>45</v>
      </c>
      <c r="I1319" s="3">
        <v>2025</v>
      </c>
      <c r="J1319" s="3" t="str">
        <f>CONCATENATE("54820212360")</f>
        <v>54820212360</v>
      </c>
      <c r="K1319" s="3" t="s">
        <v>33</v>
      </c>
      <c r="L1319" s="3"/>
      <c r="M1319" s="3" t="s">
        <v>131</v>
      </c>
      <c r="N1319" s="3" t="str">
        <f>CONCATENATE("CSTLVI52A13G453N")</f>
        <v>CSTLVI52A13G453N</v>
      </c>
      <c r="O1319" s="3" t="s">
        <v>1450</v>
      </c>
      <c r="P1319" s="3" t="s">
        <v>36</v>
      </c>
      <c r="Q1319" s="3"/>
      <c r="R1319" s="4">
        <v>45996</v>
      </c>
      <c r="S1319" s="3" t="s">
        <v>37</v>
      </c>
      <c r="T1319" s="3" t="s">
        <v>38</v>
      </c>
      <c r="U1319" s="3" t="s">
        <v>39</v>
      </c>
      <c r="V1319" s="3">
        <v>695.42</v>
      </c>
      <c r="W1319" s="3">
        <v>295.55</v>
      </c>
      <c r="X1319" s="3">
        <v>279.91000000000003</v>
      </c>
      <c r="Y1319" s="3">
        <v>119.96</v>
      </c>
    </row>
    <row r="1320" spans="1:25" ht="36.75" x14ac:dyDescent="0.25">
      <c r="A1320" s="3" t="s">
        <v>26</v>
      </c>
      <c r="B1320" s="3" t="s">
        <v>27</v>
      </c>
      <c r="C1320" s="3" t="s">
        <v>28</v>
      </c>
      <c r="D1320" s="3" t="s">
        <v>29</v>
      </c>
      <c r="E1320" s="3" t="s">
        <v>56</v>
      </c>
      <c r="F1320" s="3" t="s">
        <v>31</v>
      </c>
      <c r="G1320" s="3" t="s">
        <v>56</v>
      </c>
      <c r="H1320" s="3" t="s">
        <v>32</v>
      </c>
      <c r="I1320" s="3">
        <v>2025</v>
      </c>
      <c r="J1320" s="3" t="str">
        <f>CONCATENATE("54820288220")</f>
        <v>54820288220</v>
      </c>
      <c r="K1320" s="3" t="s">
        <v>33</v>
      </c>
      <c r="L1320" s="3"/>
      <c r="M1320" s="3" t="s">
        <v>131</v>
      </c>
      <c r="N1320" s="3" t="str">
        <f>CONCATENATE("01860160439")</f>
        <v>01860160439</v>
      </c>
      <c r="O1320" s="3" t="s">
        <v>1451</v>
      </c>
      <c r="P1320" s="3" t="s">
        <v>36</v>
      </c>
      <c r="Q1320" s="3"/>
      <c r="R1320" s="4">
        <v>45996</v>
      </c>
      <c r="S1320" s="3" t="s">
        <v>37</v>
      </c>
      <c r="T1320" s="3" t="s">
        <v>38</v>
      </c>
      <c r="U1320" s="3" t="s">
        <v>39</v>
      </c>
      <c r="V1320" s="3">
        <v>233.59</v>
      </c>
      <c r="W1320" s="3">
        <v>99.28</v>
      </c>
      <c r="X1320" s="3">
        <v>94.02</v>
      </c>
      <c r="Y1320" s="3">
        <v>40.29</v>
      </c>
    </row>
    <row r="1321" spans="1:25" ht="36.75" x14ac:dyDescent="0.25">
      <c r="A1321" s="3" t="s">
        <v>26</v>
      </c>
      <c r="B1321" s="3" t="s">
        <v>27</v>
      </c>
      <c r="C1321" s="3" t="s">
        <v>28</v>
      </c>
      <c r="D1321" s="3" t="s">
        <v>50</v>
      </c>
      <c r="E1321" s="3" t="s">
        <v>147</v>
      </c>
      <c r="F1321" s="3" t="s">
        <v>52</v>
      </c>
      <c r="G1321" s="3" t="s">
        <v>147</v>
      </c>
      <c r="H1321" s="3" t="s">
        <v>45</v>
      </c>
      <c r="I1321" s="3">
        <v>2025</v>
      </c>
      <c r="J1321" s="3" t="str">
        <f>CONCATENATE("54820182225")</f>
        <v>54820182225</v>
      </c>
      <c r="K1321" s="3" t="s">
        <v>33</v>
      </c>
      <c r="L1321" s="3"/>
      <c r="M1321" s="3" t="s">
        <v>131</v>
      </c>
      <c r="N1321" s="3" t="str">
        <f>CONCATENATE("02841220417")</f>
        <v>02841220417</v>
      </c>
      <c r="O1321" s="3" t="s">
        <v>1452</v>
      </c>
      <c r="P1321" s="3" t="s">
        <v>36</v>
      </c>
      <c r="Q1321" s="3"/>
      <c r="R1321" s="4">
        <v>45996</v>
      </c>
      <c r="S1321" s="3" t="s">
        <v>37</v>
      </c>
      <c r="T1321" s="3" t="s">
        <v>38</v>
      </c>
      <c r="U1321" s="3" t="s">
        <v>39</v>
      </c>
      <c r="V1321" s="3">
        <v>266.67</v>
      </c>
      <c r="W1321" s="3">
        <v>113.33</v>
      </c>
      <c r="X1321" s="3">
        <v>107.33</v>
      </c>
      <c r="Y1321" s="3">
        <v>46.01</v>
      </c>
    </row>
    <row r="1322" spans="1:25" ht="60.75" x14ac:dyDescent="0.25">
      <c r="A1322" s="3" t="s">
        <v>26</v>
      </c>
      <c r="B1322" s="3" t="s">
        <v>27</v>
      </c>
      <c r="C1322" s="3" t="s">
        <v>28</v>
      </c>
      <c r="D1322" s="3" t="s">
        <v>29</v>
      </c>
      <c r="E1322" s="3" t="s">
        <v>136</v>
      </c>
      <c r="F1322" s="3" t="s">
        <v>31</v>
      </c>
      <c r="G1322" s="3" t="s">
        <v>136</v>
      </c>
      <c r="H1322" s="3" t="s">
        <v>48</v>
      </c>
      <c r="I1322" s="3">
        <v>2025</v>
      </c>
      <c r="J1322" s="3" t="str">
        <f>CONCATENATE("54820232798")</f>
        <v>54820232798</v>
      </c>
      <c r="K1322" s="3" t="s">
        <v>33</v>
      </c>
      <c r="L1322" s="3"/>
      <c r="M1322" s="3" t="s">
        <v>131</v>
      </c>
      <c r="N1322" s="3" t="str">
        <f>CONCATENATE("SNTVCN63T14I461N")</f>
        <v>SNTVCN63T14I461N</v>
      </c>
      <c r="O1322" s="3" t="s">
        <v>1453</v>
      </c>
      <c r="P1322" s="3" t="s">
        <v>36</v>
      </c>
      <c r="Q1322" s="3"/>
      <c r="R1322" s="4">
        <v>45996</v>
      </c>
      <c r="S1322" s="3" t="s">
        <v>37</v>
      </c>
      <c r="T1322" s="3" t="s">
        <v>38</v>
      </c>
      <c r="U1322" s="3" t="s">
        <v>39</v>
      </c>
      <c r="V1322" s="3">
        <v>506.77</v>
      </c>
      <c r="W1322" s="3">
        <v>215.38</v>
      </c>
      <c r="X1322" s="3">
        <v>203.97</v>
      </c>
      <c r="Y1322" s="3">
        <v>87.42</v>
      </c>
    </row>
    <row r="1323" spans="1:25" ht="60.75" x14ac:dyDescent="0.25">
      <c r="A1323" s="3" t="s">
        <v>26</v>
      </c>
      <c r="B1323" s="3" t="s">
        <v>27</v>
      </c>
      <c r="C1323" s="3" t="s">
        <v>28</v>
      </c>
      <c r="D1323" s="3" t="s">
        <v>29</v>
      </c>
      <c r="E1323" s="3" t="s">
        <v>182</v>
      </c>
      <c r="F1323" s="3" t="s">
        <v>31</v>
      </c>
      <c r="G1323" s="3" t="s">
        <v>182</v>
      </c>
      <c r="H1323" s="3" t="s">
        <v>45</v>
      </c>
      <c r="I1323" s="3">
        <v>2025</v>
      </c>
      <c r="J1323" s="3" t="str">
        <f>CONCATENATE("54820159454")</f>
        <v>54820159454</v>
      </c>
      <c r="K1323" s="3" t="s">
        <v>33</v>
      </c>
      <c r="L1323" s="3"/>
      <c r="M1323" s="3" t="s">
        <v>131</v>
      </c>
      <c r="N1323" s="3" t="str">
        <f>CONCATENATE("SBTMRC79T07L500B")</f>
        <v>SBTMRC79T07L500B</v>
      </c>
      <c r="O1323" s="3" t="s">
        <v>1454</v>
      </c>
      <c r="P1323" s="3" t="s">
        <v>36</v>
      </c>
      <c r="Q1323" s="3"/>
      <c r="R1323" s="4">
        <v>45996</v>
      </c>
      <c r="S1323" s="3" t="s">
        <v>37</v>
      </c>
      <c r="T1323" s="3" t="s">
        <v>38</v>
      </c>
      <c r="U1323" s="3" t="s">
        <v>39</v>
      </c>
      <c r="V1323" s="3">
        <v>144.29</v>
      </c>
      <c r="W1323" s="3">
        <v>61.32</v>
      </c>
      <c r="X1323" s="3">
        <v>58.08</v>
      </c>
      <c r="Y1323" s="3">
        <v>24.89</v>
      </c>
    </row>
    <row r="1324" spans="1:25" ht="60.75" x14ac:dyDescent="0.25">
      <c r="A1324" s="3" t="s">
        <v>26</v>
      </c>
      <c r="B1324" s="3" t="s">
        <v>27</v>
      </c>
      <c r="C1324" s="3" t="s">
        <v>28</v>
      </c>
      <c r="D1324" s="3" t="s">
        <v>50</v>
      </c>
      <c r="E1324" s="3" t="s">
        <v>147</v>
      </c>
      <c r="F1324" s="3" t="s">
        <v>52</v>
      </c>
      <c r="G1324" s="3" t="s">
        <v>147</v>
      </c>
      <c r="H1324" s="3" t="s">
        <v>45</v>
      </c>
      <c r="I1324" s="3">
        <v>2025</v>
      </c>
      <c r="J1324" s="3" t="str">
        <f>CONCATENATE("54820071287")</f>
        <v>54820071287</v>
      </c>
      <c r="K1324" s="3" t="s">
        <v>33</v>
      </c>
      <c r="L1324" s="3"/>
      <c r="M1324" s="3" t="s">
        <v>131</v>
      </c>
      <c r="N1324" s="3" t="str">
        <f>CONCATENATE("CLCLVR65T07D488T")</f>
        <v>CLCLVR65T07D488T</v>
      </c>
      <c r="O1324" s="3" t="s">
        <v>1455</v>
      </c>
      <c r="P1324" s="3" t="s">
        <v>36</v>
      </c>
      <c r="Q1324" s="3"/>
      <c r="R1324" s="4">
        <v>45996</v>
      </c>
      <c r="S1324" s="3" t="s">
        <v>37</v>
      </c>
      <c r="T1324" s="3" t="s">
        <v>38</v>
      </c>
      <c r="U1324" s="3" t="s">
        <v>39</v>
      </c>
      <c r="V1324" s="3">
        <v>107.04</v>
      </c>
      <c r="W1324" s="3">
        <v>45.49</v>
      </c>
      <c r="X1324" s="3">
        <v>43.08</v>
      </c>
      <c r="Y1324" s="3">
        <v>18.47</v>
      </c>
    </row>
    <row r="1325" spans="1:25" ht="60.75" x14ac:dyDescent="0.25">
      <c r="A1325" s="3" t="s">
        <v>26</v>
      </c>
      <c r="B1325" s="3" t="s">
        <v>27</v>
      </c>
      <c r="C1325" s="3" t="s">
        <v>28</v>
      </c>
      <c r="D1325" s="3" t="s">
        <v>29</v>
      </c>
      <c r="E1325" s="3" t="s">
        <v>56</v>
      </c>
      <c r="F1325" s="3" t="s">
        <v>31</v>
      </c>
      <c r="G1325" s="3" t="s">
        <v>56</v>
      </c>
      <c r="H1325" s="3" t="s">
        <v>32</v>
      </c>
      <c r="I1325" s="3">
        <v>2025</v>
      </c>
      <c r="J1325" s="3" t="str">
        <f>CONCATENATE("54820149968")</f>
        <v>54820149968</v>
      </c>
      <c r="K1325" s="3" t="s">
        <v>33</v>
      </c>
      <c r="L1325" s="3"/>
      <c r="M1325" s="3" t="s">
        <v>131</v>
      </c>
      <c r="N1325" s="3" t="str">
        <f>CONCATENATE("TDNMRT43A24D429F")</f>
        <v>TDNMRT43A24D429F</v>
      </c>
      <c r="O1325" s="3" t="s">
        <v>1456</v>
      </c>
      <c r="P1325" s="3" t="s">
        <v>36</v>
      </c>
      <c r="Q1325" s="3"/>
      <c r="R1325" s="4">
        <v>45996</v>
      </c>
      <c r="S1325" s="3" t="s">
        <v>37</v>
      </c>
      <c r="T1325" s="3" t="s">
        <v>38</v>
      </c>
      <c r="U1325" s="3" t="s">
        <v>39</v>
      </c>
      <c r="V1325" s="3">
        <v>51.42</v>
      </c>
      <c r="W1325" s="3">
        <v>21.85</v>
      </c>
      <c r="X1325" s="3">
        <v>20.7</v>
      </c>
      <c r="Y1325" s="3">
        <v>8.8699999999999992</v>
      </c>
    </row>
    <row r="1326" spans="1:25" ht="60.75" x14ac:dyDescent="0.25">
      <c r="A1326" s="3" t="s">
        <v>26</v>
      </c>
      <c r="B1326" s="3" t="s">
        <v>27</v>
      </c>
      <c r="C1326" s="3" t="s">
        <v>28</v>
      </c>
      <c r="D1326" s="3" t="s">
        <v>104</v>
      </c>
      <c r="E1326" s="3" t="s">
        <v>691</v>
      </c>
      <c r="F1326" s="3" t="s">
        <v>104</v>
      </c>
      <c r="G1326" s="3" t="s">
        <v>691</v>
      </c>
      <c r="H1326" s="3" t="s">
        <v>48</v>
      </c>
      <c r="I1326" s="3">
        <v>2025</v>
      </c>
      <c r="J1326" s="3" t="str">
        <f>CONCATENATE("54820180872")</f>
        <v>54820180872</v>
      </c>
      <c r="K1326" s="3" t="s">
        <v>33</v>
      </c>
      <c r="L1326" s="3"/>
      <c r="M1326" s="3" t="s">
        <v>131</v>
      </c>
      <c r="N1326" s="3" t="str">
        <f>CONCATENATE("PRSSRA78A13I653X")</f>
        <v>PRSSRA78A13I653X</v>
      </c>
      <c r="O1326" s="3" t="s">
        <v>1457</v>
      </c>
      <c r="P1326" s="3" t="s">
        <v>36</v>
      </c>
      <c r="Q1326" s="3"/>
      <c r="R1326" s="4">
        <v>45996</v>
      </c>
      <c r="S1326" s="3" t="s">
        <v>37</v>
      </c>
      <c r="T1326" s="3" t="s">
        <v>38</v>
      </c>
      <c r="U1326" s="3" t="s">
        <v>39</v>
      </c>
      <c r="V1326" s="3">
        <v>723.56</v>
      </c>
      <c r="W1326" s="3">
        <v>307.51</v>
      </c>
      <c r="X1326" s="3">
        <v>291.23</v>
      </c>
      <c r="Y1326" s="3">
        <v>124.82</v>
      </c>
    </row>
    <row r="1327" spans="1:25" ht="60.75" x14ac:dyDescent="0.25">
      <c r="A1327" s="3" t="s">
        <v>26</v>
      </c>
      <c r="B1327" s="3" t="s">
        <v>27</v>
      </c>
      <c r="C1327" s="3" t="s">
        <v>28</v>
      </c>
      <c r="D1327" s="3" t="s">
        <v>29</v>
      </c>
      <c r="E1327" s="3" t="s">
        <v>56</v>
      </c>
      <c r="F1327" s="3" t="s">
        <v>31</v>
      </c>
      <c r="G1327" s="3" t="s">
        <v>56</v>
      </c>
      <c r="H1327" s="3" t="s">
        <v>32</v>
      </c>
      <c r="I1327" s="3">
        <v>2025</v>
      </c>
      <c r="J1327" s="3" t="str">
        <f>CONCATENATE("54820234018")</f>
        <v>54820234018</v>
      </c>
      <c r="K1327" s="3" t="s">
        <v>33</v>
      </c>
      <c r="L1327" s="3"/>
      <c r="M1327" s="3" t="s">
        <v>131</v>
      </c>
      <c r="N1327" s="3" t="str">
        <f>CONCATENATE("GVNLNI55C67M078Y")</f>
        <v>GVNLNI55C67M078Y</v>
      </c>
      <c r="O1327" s="3" t="s">
        <v>1458</v>
      </c>
      <c r="P1327" s="3" t="s">
        <v>36</v>
      </c>
      <c r="Q1327" s="3"/>
      <c r="R1327" s="4">
        <v>45996</v>
      </c>
      <c r="S1327" s="3" t="s">
        <v>37</v>
      </c>
      <c r="T1327" s="3" t="s">
        <v>38</v>
      </c>
      <c r="U1327" s="3" t="s">
        <v>39</v>
      </c>
      <c r="V1327" s="5">
        <v>1089.74</v>
      </c>
      <c r="W1327" s="3">
        <v>463.14</v>
      </c>
      <c r="X1327" s="3">
        <v>438.62</v>
      </c>
      <c r="Y1327" s="3">
        <v>187.98</v>
      </c>
    </row>
    <row r="1328" spans="1:25" ht="36.75" x14ac:dyDescent="0.25">
      <c r="A1328" s="3" t="s">
        <v>26</v>
      </c>
      <c r="B1328" s="3" t="s">
        <v>27</v>
      </c>
      <c r="C1328" s="3" t="s">
        <v>28</v>
      </c>
      <c r="D1328" s="3" t="s">
        <v>29</v>
      </c>
      <c r="E1328" s="3" t="s">
        <v>101</v>
      </c>
      <c r="F1328" s="3" t="s">
        <v>31</v>
      </c>
      <c r="G1328" s="3" t="s">
        <v>101</v>
      </c>
      <c r="H1328" s="3" t="s">
        <v>32</v>
      </c>
      <c r="I1328" s="3">
        <v>2025</v>
      </c>
      <c r="J1328" s="3" t="str">
        <f>CONCATENATE("54820236609")</f>
        <v>54820236609</v>
      </c>
      <c r="K1328" s="3" t="s">
        <v>33</v>
      </c>
      <c r="L1328" s="3"/>
      <c r="M1328" s="3" t="s">
        <v>131</v>
      </c>
      <c r="N1328" s="3" t="str">
        <f>CONCATENATE("01593570433")</f>
        <v>01593570433</v>
      </c>
      <c r="O1328" s="3" t="s">
        <v>1459</v>
      </c>
      <c r="P1328" s="3" t="s">
        <v>36</v>
      </c>
      <c r="Q1328" s="3"/>
      <c r="R1328" s="4">
        <v>45996</v>
      </c>
      <c r="S1328" s="3" t="s">
        <v>37</v>
      </c>
      <c r="T1328" s="3" t="s">
        <v>38</v>
      </c>
      <c r="U1328" s="3" t="s">
        <v>39</v>
      </c>
      <c r="V1328" s="3">
        <v>388.11</v>
      </c>
      <c r="W1328" s="3">
        <v>164.95</v>
      </c>
      <c r="X1328" s="3">
        <v>156.21</v>
      </c>
      <c r="Y1328" s="3">
        <v>66.95</v>
      </c>
    </row>
    <row r="1329" spans="1:25" ht="60.75" x14ac:dyDescent="0.25">
      <c r="A1329" s="3" t="s">
        <v>26</v>
      </c>
      <c r="B1329" s="3" t="s">
        <v>27</v>
      </c>
      <c r="C1329" s="3" t="s">
        <v>28</v>
      </c>
      <c r="D1329" s="3" t="s">
        <v>50</v>
      </c>
      <c r="E1329" s="3" t="s">
        <v>60</v>
      </c>
      <c r="F1329" s="3" t="s">
        <v>52</v>
      </c>
      <c r="G1329" s="3" t="s">
        <v>60</v>
      </c>
      <c r="H1329" s="3" t="s">
        <v>45</v>
      </c>
      <c r="I1329" s="3">
        <v>2025</v>
      </c>
      <c r="J1329" s="3" t="str">
        <f>CONCATENATE("54820070206")</f>
        <v>54820070206</v>
      </c>
      <c r="K1329" s="3" t="s">
        <v>33</v>
      </c>
      <c r="L1329" s="3"/>
      <c r="M1329" s="3" t="s">
        <v>131</v>
      </c>
      <c r="N1329" s="3" t="str">
        <f>CONCATENATE("MSCNDR82R24E256R")</f>
        <v>MSCNDR82R24E256R</v>
      </c>
      <c r="O1329" s="3" t="s">
        <v>1460</v>
      </c>
      <c r="P1329" s="3" t="s">
        <v>36</v>
      </c>
      <c r="Q1329" s="3"/>
      <c r="R1329" s="4">
        <v>45996</v>
      </c>
      <c r="S1329" s="3" t="s">
        <v>37</v>
      </c>
      <c r="T1329" s="3" t="s">
        <v>38</v>
      </c>
      <c r="U1329" s="3" t="s">
        <v>39</v>
      </c>
      <c r="V1329" s="3">
        <v>742.98</v>
      </c>
      <c r="W1329" s="3">
        <v>315.77</v>
      </c>
      <c r="X1329" s="3">
        <v>299.05</v>
      </c>
      <c r="Y1329" s="3">
        <v>128.16</v>
      </c>
    </row>
    <row r="1330" spans="1:25" ht="60.75" x14ac:dyDescent="0.25">
      <c r="A1330" s="3" t="s">
        <v>26</v>
      </c>
      <c r="B1330" s="3" t="s">
        <v>27</v>
      </c>
      <c r="C1330" s="3" t="s">
        <v>28</v>
      </c>
      <c r="D1330" s="3" t="s">
        <v>29</v>
      </c>
      <c r="E1330" s="3" t="s">
        <v>47</v>
      </c>
      <c r="F1330" s="3" t="s">
        <v>31</v>
      </c>
      <c r="G1330" s="3" t="s">
        <v>47</v>
      </c>
      <c r="H1330" s="3" t="s">
        <v>48</v>
      </c>
      <c r="I1330" s="3">
        <v>2025</v>
      </c>
      <c r="J1330" s="3" t="str">
        <f>CONCATENATE("54820186507")</f>
        <v>54820186507</v>
      </c>
      <c r="K1330" s="3" t="s">
        <v>33</v>
      </c>
      <c r="L1330" s="3"/>
      <c r="M1330" s="3" t="s">
        <v>131</v>
      </c>
      <c r="N1330" s="3" t="str">
        <f>CONCATENATE("NGLPLA74S17D451N")</f>
        <v>NGLPLA74S17D451N</v>
      </c>
      <c r="O1330" s="3" t="s">
        <v>1461</v>
      </c>
      <c r="P1330" s="3" t="s">
        <v>36</v>
      </c>
      <c r="Q1330" s="3"/>
      <c r="R1330" s="4">
        <v>45996</v>
      </c>
      <c r="S1330" s="3" t="s">
        <v>37</v>
      </c>
      <c r="T1330" s="3" t="s">
        <v>38</v>
      </c>
      <c r="U1330" s="3" t="s">
        <v>39</v>
      </c>
      <c r="V1330" s="3">
        <v>241.83</v>
      </c>
      <c r="W1330" s="3">
        <v>102.78</v>
      </c>
      <c r="X1330" s="3">
        <v>97.34</v>
      </c>
      <c r="Y1330" s="3">
        <v>41.71</v>
      </c>
    </row>
    <row r="1331" spans="1:25" ht="60.75" x14ac:dyDescent="0.25">
      <c r="A1331" s="3" t="s">
        <v>26</v>
      </c>
      <c r="B1331" s="3" t="s">
        <v>27</v>
      </c>
      <c r="C1331" s="3" t="s">
        <v>28</v>
      </c>
      <c r="D1331" s="3" t="s">
        <v>50</v>
      </c>
      <c r="E1331" s="3" t="s">
        <v>60</v>
      </c>
      <c r="F1331" s="3" t="s">
        <v>52</v>
      </c>
      <c r="G1331" s="3" t="s">
        <v>60</v>
      </c>
      <c r="H1331" s="3" t="s">
        <v>45</v>
      </c>
      <c r="I1331" s="3">
        <v>2025</v>
      </c>
      <c r="J1331" s="3" t="str">
        <f>CONCATENATE("54820176581")</f>
        <v>54820176581</v>
      </c>
      <c r="K1331" s="3" t="s">
        <v>33</v>
      </c>
      <c r="L1331" s="3"/>
      <c r="M1331" s="3" t="s">
        <v>131</v>
      </c>
      <c r="N1331" s="3" t="str">
        <f>CONCATENATE("VLTNNA47L43D791Y")</f>
        <v>VLTNNA47L43D791Y</v>
      </c>
      <c r="O1331" s="3" t="s">
        <v>1462</v>
      </c>
      <c r="P1331" s="3" t="s">
        <v>36</v>
      </c>
      <c r="Q1331" s="3"/>
      <c r="R1331" s="4">
        <v>45996</v>
      </c>
      <c r="S1331" s="3" t="s">
        <v>37</v>
      </c>
      <c r="T1331" s="3" t="s">
        <v>38</v>
      </c>
      <c r="U1331" s="3" t="s">
        <v>39</v>
      </c>
      <c r="V1331" s="3">
        <v>77.37</v>
      </c>
      <c r="W1331" s="3">
        <v>32.880000000000003</v>
      </c>
      <c r="X1331" s="3">
        <v>31.14</v>
      </c>
      <c r="Y1331" s="3">
        <v>13.35</v>
      </c>
    </row>
    <row r="1332" spans="1:25" ht="36.75" x14ac:dyDescent="0.25">
      <c r="A1332" s="3" t="s">
        <v>26</v>
      </c>
      <c r="B1332" s="3" t="s">
        <v>27</v>
      </c>
      <c r="C1332" s="3" t="s">
        <v>28</v>
      </c>
      <c r="D1332" s="3" t="s">
        <v>29</v>
      </c>
      <c r="E1332" s="3" t="s">
        <v>233</v>
      </c>
      <c r="F1332" s="3" t="s">
        <v>31</v>
      </c>
      <c r="G1332" s="3" t="s">
        <v>233</v>
      </c>
      <c r="H1332" s="3" t="s">
        <v>96</v>
      </c>
      <c r="I1332" s="3">
        <v>2025</v>
      </c>
      <c r="J1332" s="3" t="str">
        <f>CONCATENATE("54820066782")</f>
        <v>54820066782</v>
      </c>
      <c r="K1332" s="3" t="s">
        <v>33</v>
      </c>
      <c r="L1332" s="3"/>
      <c r="M1332" s="3" t="s">
        <v>131</v>
      </c>
      <c r="N1332" s="3" t="str">
        <f>CONCATENATE("02286200445")</f>
        <v>02286200445</v>
      </c>
      <c r="O1332" s="3" t="s">
        <v>1463</v>
      </c>
      <c r="P1332" s="3" t="s">
        <v>36</v>
      </c>
      <c r="Q1332" s="3"/>
      <c r="R1332" s="4">
        <v>45996</v>
      </c>
      <c r="S1332" s="3" t="s">
        <v>37</v>
      </c>
      <c r="T1332" s="3" t="s">
        <v>38</v>
      </c>
      <c r="U1332" s="3" t="s">
        <v>39</v>
      </c>
      <c r="V1332" s="3">
        <v>142.22999999999999</v>
      </c>
      <c r="W1332" s="3">
        <v>60.45</v>
      </c>
      <c r="X1332" s="3">
        <v>57.25</v>
      </c>
      <c r="Y1332" s="3">
        <v>24.53</v>
      </c>
    </row>
    <row r="1333" spans="1:25" ht="72.75" x14ac:dyDescent="0.25">
      <c r="A1333" s="3" t="s">
        <v>26</v>
      </c>
      <c r="B1333" s="3" t="s">
        <v>27</v>
      </c>
      <c r="C1333" s="3" t="s">
        <v>28</v>
      </c>
      <c r="D1333" s="3" t="s">
        <v>29</v>
      </c>
      <c r="E1333" s="3" t="s">
        <v>72</v>
      </c>
      <c r="F1333" s="3" t="s">
        <v>31</v>
      </c>
      <c r="G1333" s="3" t="s">
        <v>72</v>
      </c>
      <c r="H1333" s="3" t="s">
        <v>45</v>
      </c>
      <c r="I1333" s="3">
        <v>2025</v>
      </c>
      <c r="J1333" s="3" t="str">
        <f>CONCATENATE("54820075817")</f>
        <v>54820075817</v>
      </c>
      <c r="K1333" s="3" t="s">
        <v>33</v>
      </c>
      <c r="L1333" s="3"/>
      <c r="M1333" s="3" t="s">
        <v>131</v>
      </c>
      <c r="N1333" s="3" t="str">
        <f>CONCATENATE("BLDMGR50D50A327K")</f>
        <v>BLDMGR50D50A327K</v>
      </c>
      <c r="O1333" s="3" t="s">
        <v>1464</v>
      </c>
      <c r="P1333" s="3" t="s">
        <v>36</v>
      </c>
      <c r="Q1333" s="3"/>
      <c r="R1333" s="4">
        <v>45996</v>
      </c>
      <c r="S1333" s="3" t="s">
        <v>37</v>
      </c>
      <c r="T1333" s="3" t="s">
        <v>38</v>
      </c>
      <c r="U1333" s="3" t="s">
        <v>39</v>
      </c>
      <c r="V1333" s="3">
        <v>130.94999999999999</v>
      </c>
      <c r="W1333" s="3">
        <v>55.65</v>
      </c>
      <c r="X1333" s="3">
        <v>52.71</v>
      </c>
      <c r="Y1333" s="3">
        <v>22.59</v>
      </c>
    </row>
    <row r="1334" spans="1:25" ht="60.75" x14ac:dyDescent="0.25">
      <c r="A1334" s="3" t="s">
        <v>26</v>
      </c>
      <c r="B1334" s="3" t="s">
        <v>27</v>
      </c>
      <c r="C1334" s="3" t="s">
        <v>28</v>
      </c>
      <c r="D1334" s="3" t="s">
        <v>29</v>
      </c>
      <c r="E1334" s="3" t="s">
        <v>182</v>
      </c>
      <c r="F1334" s="3" t="s">
        <v>31</v>
      </c>
      <c r="G1334" s="3" t="s">
        <v>182</v>
      </c>
      <c r="H1334" s="3" t="s">
        <v>45</v>
      </c>
      <c r="I1334" s="3">
        <v>2025</v>
      </c>
      <c r="J1334" s="3" t="str">
        <f>CONCATENATE("54820147210")</f>
        <v>54820147210</v>
      </c>
      <c r="K1334" s="3" t="s">
        <v>33</v>
      </c>
      <c r="L1334" s="3"/>
      <c r="M1334" s="3" t="s">
        <v>131</v>
      </c>
      <c r="N1334" s="3" t="str">
        <f>CONCATENATE("LVRLSN67E02H501V")</f>
        <v>LVRLSN67E02H501V</v>
      </c>
      <c r="O1334" s="3" t="s">
        <v>1465</v>
      </c>
      <c r="P1334" s="3" t="s">
        <v>36</v>
      </c>
      <c r="Q1334" s="3"/>
      <c r="R1334" s="4">
        <v>45996</v>
      </c>
      <c r="S1334" s="3" t="s">
        <v>37</v>
      </c>
      <c r="T1334" s="3" t="s">
        <v>38</v>
      </c>
      <c r="U1334" s="3" t="s">
        <v>39</v>
      </c>
      <c r="V1334" s="3">
        <v>112.2</v>
      </c>
      <c r="W1334" s="3">
        <v>47.69</v>
      </c>
      <c r="X1334" s="3">
        <v>45.16</v>
      </c>
      <c r="Y1334" s="3">
        <v>19.350000000000001</v>
      </c>
    </row>
    <row r="1335" spans="1:25" ht="60.75" x14ac:dyDescent="0.25">
      <c r="A1335" s="3" t="s">
        <v>26</v>
      </c>
      <c r="B1335" s="3" t="s">
        <v>27</v>
      </c>
      <c r="C1335" s="3" t="s">
        <v>28</v>
      </c>
      <c r="D1335" s="3" t="s">
        <v>29</v>
      </c>
      <c r="E1335" s="3" t="s">
        <v>182</v>
      </c>
      <c r="F1335" s="3" t="s">
        <v>31</v>
      </c>
      <c r="G1335" s="3" t="s">
        <v>182</v>
      </c>
      <c r="H1335" s="3" t="s">
        <v>45</v>
      </c>
      <c r="I1335" s="3">
        <v>2025</v>
      </c>
      <c r="J1335" s="3" t="str">
        <f>CONCATENATE("54820139563")</f>
        <v>54820139563</v>
      </c>
      <c r="K1335" s="3" t="s">
        <v>33</v>
      </c>
      <c r="L1335" s="3"/>
      <c r="M1335" s="3" t="s">
        <v>131</v>
      </c>
      <c r="N1335" s="3" t="str">
        <f>CONCATENATE("GRNMCL50B05L081W")</f>
        <v>GRNMCL50B05L081W</v>
      </c>
      <c r="O1335" s="3" t="s">
        <v>1466</v>
      </c>
      <c r="P1335" s="3" t="s">
        <v>36</v>
      </c>
      <c r="Q1335" s="3"/>
      <c r="R1335" s="4">
        <v>45996</v>
      </c>
      <c r="S1335" s="3" t="s">
        <v>37</v>
      </c>
      <c r="T1335" s="3" t="s">
        <v>38</v>
      </c>
      <c r="U1335" s="3" t="s">
        <v>39</v>
      </c>
      <c r="V1335" s="3">
        <v>223.31</v>
      </c>
      <c r="W1335" s="3">
        <v>94.91</v>
      </c>
      <c r="X1335" s="3">
        <v>89.88</v>
      </c>
      <c r="Y1335" s="3">
        <v>38.520000000000003</v>
      </c>
    </row>
    <row r="1336" spans="1:25" ht="60.75" x14ac:dyDescent="0.25">
      <c r="A1336" s="3" t="s">
        <v>26</v>
      </c>
      <c r="B1336" s="3" t="s">
        <v>27</v>
      </c>
      <c r="C1336" s="3" t="s">
        <v>28</v>
      </c>
      <c r="D1336" s="3" t="s">
        <v>29</v>
      </c>
      <c r="E1336" s="3" t="s">
        <v>80</v>
      </c>
      <c r="F1336" s="3" t="s">
        <v>31</v>
      </c>
      <c r="G1336" s="3" t="s">
        <v>80</v>
      </c>
      <c r="H1336" s="3" t="s">
        <v>45</v>
      </c>
      <c r="I1336" s="3">
        <v>2025</v>
      </c>
      <c r="J1336" s="3" t="str">
        <f>CONCATENATE("54820111687")</f>
        <v>54820111687</v>
      </c>
      <c r="K1336" s="3" t="s">
        <v>33</v>
      </c>
      <c r="L1336" s="3"/>
      <c r="M1336" s="3" t="s">
        <v>131</v>
      </c>
      <c r="N1336" s="3" t="str">
        <f>CONCATENATE("MSCNNA33L47D809W")</f>
        <v>MSCNNA33L47D809W</v>
      </c>
      <c r="O1336" s="3" t="s">
        <v>1467</v>
      </c>
      <c r="P1336" s="3" t="s">
        <v>36</v>
      </c>
      <c r="Q1336" s="3"/>
      <c r="R1336" s="4">
        <v>45996</v>
      </c>
      <c r="S1336" s="3" t="s">
        <v>37</v>
      </c>
      <c r="T1336" s="3" t="s">
        <v>38</v>
      </c>
      <c r="U1336" s="3" t="s">
        <v>39</v>
      </c>
      <c r="V1336" s="3">
        <v>172.2</v>
      </c>
      <c r="W1336" s="3">
        <v>73.19</v>
      </c>
      <c r="X1336" s="3">
        <v>69.31</v>
      </c>
      <c r="Y1336" s="3">
        <v>29.7</v>
      </c>
    </row>
    <row r="1337" spans="1:25" ht="60.75" x14ac:dyDescent="0.25">
      <c r="A1337" s="3" t="s">
        <v>26</v>
      </c>
      <c r="B1337" s="3" t="s">
        <v>27</v>
      </c>
      <c r="C1337" s="3" t="s">
        <v>28</v>
      </c>
      <c r="D1337" s="3" t="s">
        <v>29</v>
      </c>
      <c r="E1337" s="3" t="s">
        <v>47</v>
      </c>
      <c r="F1337" s="3" t="s">
        <v>31</v>
      </c>
      <c r="G1337" s="3" t="s">
        <v>47</v>
      </c>
      <c r="H1337" s="3" t="s">
        <v>48</v>
      </c>
      <c r="I1337" s="3">
        <v>2025</v>
      </c>
      <c r="J1337" s="3" t="str">
        <f>CONCATENATE("54820031067")</f>
        <v>54820031067</v>
      </c>
      <c r="K1337" s="3" t="s">
        <v>33</v>
      </c>
      <c r="L1337" s="3"/>
      <c r="M1337" s="3" t="s">
        <v>131</v>
      </c>
      <c r="N1337" s="3" t="str">
        <f>CONCATENATE("SNTNRR94D13D451E")</f>
        <v>SNTNRR94D13D451E</v>
      </c>
      <c r="O1337" s="3" t="s">
        <v>1468</v>
      </c>
      <c r="P1337" s="3" t="s">
        <v>36</v>
      </c>
      <c r="Q1337" s="3"/>
      <c r="R1337" s="4">
        <v>45996</v>
      </c>
      <c r="S1337" s="3" t="s">
        <v>37</v>
      </c>
      <c r="T1337" s="3" t="s">
        <v>38</v>
      </c>
      <c r="U1337" s="3" t="s">
        <v>39</v>
      </c>
      <c r="V1337" s="3">
        <v>152.21</v>
      </c>
      <c r="W1337" s="3">
        <v>64.69</v>
      </c>
      <c r="X1337" s="3">
        <v>61.26</v>
      </c>
      <c r="Y1337" s="3">
        <v>26.26</v>
      </c>
    </row>
    <row r="1338" spans="1:25" ht="72.75" x14ac:dyDescent="0.25">
      <c r="A1338" s="3" t="s">
        <v>26</v>
      </c>
      <c r="B1338" s="3" t="s">
        <v>27</v>
      </c>
      <c r="C1338" s="3" t="s">
        <v>28</v>
      </c>
      <c r="D1338" s="3" t="s">
        <v>29</v>
      </c>
      <c r="E1338" s="3" t="s">
        <v>119</v>
      </c>
      <c r="F1338" s="3" t="s">
        <v>31</v>
      </c>
      <c r="G1338" s="3" t="s">
        <v>119</v>
      </c>
      <c r="H1338" s="3" t="s">
        <v>96</v>
      </c>
      <c r="I1338" s="3">
        <v>2025</v>
      </c>
      <c r="J1338" s="3" t="str">
        <f>CONCATENATE("54820061031")</f>
        <v>54820061031</v>
      </c>
      <c r="K1338" s="3" t="s">
        <v>33</v>
      </c>
      <c r="L1338" s="3"/>
      <c r="M1338" s="3" t="s">
        <v>131</v>
      </c>
      <c r="N1338" s="3" t="str">
        <f>CONCATENATE("FNNGPP68R25D691N")</f>
        <v>FNNGPP68R25D691N</v>
      </c>
      <c r="O1338" s="3" t="s">
        <v>1469</v>
      </c>
      <c r="P1338" s="3" t="s">
        <v>36</v>
      </c>
      <c r="Q1338" s="3"/>
      <c r="R1338" s="4">
        <v>45996</v>
      </c>
      <c r="S1338" s="3" t="s">
        <v>37</v>
      </c>
      <c r="T1338" s="3" t="s">
        <v>38</v>
      </c>
      <c r="U1338" s="3" t="s">
        <v>39</v>
      </c>
      <c r="V1338" s="3">
        <v>48.99</v>
      </c>
      <c r="W1338" s="3">
        <v>20.82</v>
      </c>
      <c r="X1338" s="3">
        <v>19.72</v>
      </c>
      <c r="Y1338" s="3">
        <v>8.4499999999999993</v>
      </c>
    </row>
    <row r="1339" spans="1:25" ht="60.75" x14ac:dyDescent="0.25">
      <c r="A1339" s="3" t="s">
        <v>26</v>
      </c>
      <c r="B1339" s="3" t="s">
        <v>27</v>
      </c>
      <c r="C1339" s="3" t="s">
        <v>28</v>
      </c>
      <c r="D1339" s="3" t="s">
        <v>50</v>
      </c>
      <c r="E1339" s="3" t="s">
        <v>173</v>
      </c>
      <c r="F1339" s="3" t="s">
        <v>52</v>
      </c>
      <c r="G1339" s="3" t="s">
        <v>173</v>
      </c>
      <c r="H1339" s="3" t="s">
        <v>45</v>
      </c>
      <c r="I1339" s="3">
        <v>2025</v>
      </c>
      <c r="J1339" s="3" t="str">
        <f>CONCATENATE("54820035944")</f>
        <v>54820035944</v>
      </c>
      <c r="K1339" s="3" t="s">
        <v>33</v>
      </c>
      <c r="L1339" s="3"/>
      <c r="M1339" s="3" t="s">
        <v>131</v>
      </c>
      <c r="N1339" s="3" t="str">
        <f>CONCATENATE("DNGGLL56S57F478T")</f>
        <v>DNGGLL56S57F478T</v>
      </c>
      <c r="O1339" s="3" t="s">
        <v>1470</v>
      </c>
      <c r="P1339" s="3" t="s">
        <v>36</v>
      </c>
      <c r="Q1339" s="3"/>
      <c r="R1339" s="4">
        <v>45996</v>
      </c>
      <c r="S1339" s="3" t="s">
        <v>37</v>
      </c>
      <c r="T1339" s="3" t="s">
        <v>38</v>
      </c>
      <c r="U1339" s="3" t="s">
        <v>39</v>
      </c>
      <c r="V1339" s="3">
        <v>511.52</v>
      </c>
      <c r="W1339" s="3">
        <v>217.4</v>
      </c>
      <c r="X1339" s="3">
        <v>205.89</v>
      </c>
      <c r="Y1339" s="3">
        <v>88.23</v>
      </c>
    </row>
    <row r="1340" spans="1:25" ht="60.75" x14ac:dyDescent="0.25">
      <c r="A1340" s="3" t="s">
        <v>26</v>
      </c>
      <c r="B1340" s="3" t="s">
        <v>27</v>
      </c>
      <c r="C1340" s="3" t="s">
        <v>28</v>
      </c>
      <c r="D1340" s="3" t="s">
        <v>50</v>
      </c>
      <c r="E1340" s="3" t="s">
        <v>147</v>
      </c>
      <c r="F1340" s="3" t="s">
        <v>52</v>
      </c>
      <c r="G1340" s="3" t="s">
        <v>147</v>
      </c>
      <c r="H1340" s="3" t="s">
        <v>45</v>
      </c>
      <c r="I1340" s="3">
        <v>2025</v>
      </c>
      <c r="J1340" s="3" t="str">
        <f>CONCATENATE("54820073457")</f>
        <v>54820073457</v>
      </c>
      <c r="K1340" s="3" t="s">
        <v>33</v>
      </c>
      <c r="L1340" s="3"/>
      <c r="M1340" s="3" t="s">
        <v>131</v>
      </c>
      <c r="N1340" s="3" t="str">
        <f>CONCATENATE("PLGNCL92A09L500Y")</f>
        <v>PLGNCL92A09L500Y</v>
      </c>
      <c r="O1340" s="3" t="s">
        <v>1471</v>
      </c>
      <c r="P1340" s="3" t="s">
        <v>36</v>
      </c>
      <c r="Q1340" s="3"/>
      <c r="R1340" s="4">
        <v>45996</v>
      </c>
      <c r="S1340" s="3" t="s">
        <v>37</v>
      </c>
      <c r="T1340" s="3" t="s">
        <v>38</v>
      </c>
      <c r="U1340" s="3" t="s">
        <v>39</v>
      </c>
      <c r="V1340" s="3">
        <v>60.61</v>
      </c>
      <c r="W1340" s="3">
        <v>25.76</v>
      </c>
      <c r="X1340" s="3">
        <v>24.4</v>
      </c>
      <c r="Y1340" s="3">
        <v>10.45</v>
      </c>
    </row>
    <row r="1341" spans="1:25" ht="60.75" x14ac:dyDescent="0.25">
      <c r="A1341" s="3" t="s">
        <v>26</v>
      </c>
      <c r="B1341" s="3" t="s">
        <v>27</v>
      </c>
      <c r="C1341" s="3" t="s">
        <v>28</v>
      </c>
      <c r="D1341" s="3" t="s">
        <v>29</v>
      </c>
      <c r="E1341" s="3" t="s">
        <v>56</v>
      </c>
      <c r="F1341" s="3" t="s">
        <v>31</v>
      </c>
      <c r="G1341" s="3" t="s">
        <v>56</v>
      </c>
      <c r="H1341" s="3" t="s">
        <v>32</v>
      </c>
      <c r="I1341" s="3">
        <v>2025</v>
      </c>
      <c r="J1341" s="3" t="str">
        <f>CONCATENATE("54820017942")</f>
        <v>54820017942</v>
      </c>
      <c r="K1341" s="3" t="s">
        <v>33</v>
      </c>
      <c r="L1341" s="3"/>
      <c r="M1341" s="3" t="s">
        <v>131</v>
      </c>
      <c r="N1341" s="3" t="str">
        <f>CONCATENATE("NDRGRG50E02D429J")</f>
        <v>NDRGRG50E02D429J</v>
      </c>
      <c r="O1341" s="3" t="s">
        <v>1472</v>
      </c>
      <c r="P1341" s="3" t="s">
        <v>36</v>
      </c>
      <c r="Q1341" s="3"/>
      <c r="R1341" s="4">
        <v>45996</v>
      </c>
      <c r="S1341" s="3" t="s">
        <v>37</v>
      </c>
      <c r="T1341" s="3" t="s">
        <v>38</v>
      </c>
      <c r="U1341" s="3" t="s">
        <v>39</v>
      </c>
      <c r="V1341" s="3">
        <v>159.57</v>
      </c>
      <c r="W1341" s="3">
        <v>67.819999999999993</v>
      </c>
      <c r="X1341" s="3">
        <v>64.23</v>
      </c>
      <c r="Y1341" s="3">
        <v>27.52</v>
      </c>
    </row>
    <row r="1342" spans="1:25" ht="60.75" x14ac:dyDescent="0.25">
      <c r="A1342" s="3" t="s">
        <v>26</v>
      </c>
      <c r="B1342" s="3" t="s">
        <v>27</v>
      </c>
      <c r="C1342" s="3" t="s">
        <v>28</v>
      </c>
      <c r="D1342" s="3" t="s">
        <v>50</v>
      </c>
      <c r="E1342" s="3" t="s">
        <v>60</v>
      </c>
      <c r="F1342" s="3" t="s">
        <v>52</v>
      </c>
      <c r="G1342" s="3" t="s">
        <v>60</v>
      </c>
      <c r="H1342" s="3" t="s">
        <v>45</v>
      </c>
      <c r="I1342" s="3">
        <v>2025</v>
      </c>
      <c r="J1342" s="3" t="str">
        <f>CONCATENATE("54820082755")</f>
        <v>54820082755</v>
      </c>
      <c r="K1342" s="3" t="s">
        <v>33</v>
      </c>
      <c r="L1342" s="3"/>
      <c r="M1342" s="3" t="s">
        <v>131</v>
      </c>
      <c r="N1342" s="3" t="str">
        <f>CONCATENATE("CRBGNN49H28I654Y")</f>
        <v>CRBGNN49H28I654Y</v>
      </c>
      <c r="O1342" s="3" t="s">
        <v>1473</v>
      </c>
      <c r="P1342" s="3" t="s">
        <v>36</v>
      </c>
      <c r="Q1342" s="3"/>
      <c r="R1342" s="4">
        <v>45996</v>
      </c>
      <c r="S1342" s="3" t="s">
        <v>37</v>
      </c>
      <c r="T1342" s="3" t="s">
        <v>38</v>
      </c>
      <c r="U1342" s="3" t="s">
        <v>39</v>
      </c>
      <c r="V1342" s="3">
        <v>89.02</v>
      </c>
      <c r="W1342" s="3">
        <v>37.83</v>
      </c>
      <c r="X1342" s="3">
        <v>35.83</v>
      </c>
      <c r="Y1342" s="3">
        <v>15.36</v>
      </c>
    </row>
    <row r="1343" spans="1:25" ht="60.75" x14ac:dyDescent="0.25">
      <c r="A1343" s="3" t="s">
        <v>26</v>
      </c>
      <c r="B1343" s="3" t="s">
        <v>27</v>
      </c>
      <c r="C1343" s="3" t="s">
        <v>28</v>
      </c>
      <c r="D1343" s="3" t="s">
        <v>50</v>
      </c>
      <c r="E1343" s="3" t="s">
        <v>51</v>
      </c>
      <c r="F1343" s="3" t="s">
        <v>52</v>
      </c>
      <c r="G1343" s="3" t="s">
        <v>51</v>
      </c>
      <c r="H1343" s="3" t="s">
        <v>48</v>
      </c>
      <c r="I1343" s="3">
        <v>2025</v>
      </c>
      <c r="J1343" s="3" t="str">
        <f>CONCATENATE("54820110986")</f>
        <v>54820110986</v>
      </c>
      <c r="K1343" s="3" t="s">
        <v>33</v>
      </c>
      <c r="L1343" s="3"/>
      <c r="M1343" s="3" t="s">
        <v>131</v>
      </c>
      <c r="N1343" s="3" t="str">
        <f>CONCATENATE("SCLDRA49L16A329T")</f>
        <v>SCLDRA49L16A329T</v>
      </c>
      <c r="O1343" s="3" t="s">
        <v>1474</v>
      </c>
      <c r="P1343" s="3" t="s">
        <v>36</v>
      </c>
      <c r="Q1343" s="3"/>
      <c r="R1343" s="4">
        <v>45996</v>
      </c>
      <c r="S1343" s="3" t="s">
        <v>37</v>
      </c>
      <c r="T1343" s="3" t="s">
        <v>38</v>
      </c>
      <c r="U1343" s="3" t="s">
        <v>39</v>
      </c>
      <c r="V1343" s="3">
        <v>49.25</v>
      </c>
      <c r="W1343" s="3">
        <v>20.93</v>
      </c>
      <c r="X1343" s="3">
        <v>19.82</v>
      </c>
      <c r="Y1343" s="3">
        <v>8.5</v>
      </c>
    </row>
    <row r="1344" spans="1:25" ht="60.75" x14ac:dyDescent="0.25">
      <c r="A1344" s="3" t="s">
        <v>26</v>
      </c>
      <c r="B1344" s="3" t="s">
        <v>27</v>
      </c>
      <c r="C1344" s="3" t="s">
        <v>28</v>
      </c>
      <c r="D1344" s="3" t="s">
        <v>29</v>
      </c>
      <c r="E1344" s="3" t="s">
        <v>476</v>
      </c>
      <c r="F1344" s="3" t="s">
        <v>31</v>
      </c>
      <c r="G1344" s="3" t="s">
        <v>476</v>
      </c>
      <c r="H1344" s="3" t="s">
        <v>48</v>
      </c>
      <c r="I1344" s="3">
        <v>2025</v>
      </c>
      <c r="J1344" s="3" t="str">
        <f>CONCATENATE("54820041835")</f>
        <v>54820041835</v>
      </c>
      <c r="K1344" s="3" t="s">
        <v>33</v>
      </c>
      <c r="L1344" s="3"/>
      <c r="M1344" s="3" t="s">
        <v>131</v>
      </c>
      <c r="N1344" s="3" t="str">
        <f>CONCATENATE("CCCMRA35P65D451F")</f>
        <v>CCCMRA35P65D451F</v>
      </c>
      <c r="O1344" s="3" t="s">
        <v>1475</v>
      </c>
      <c r="P1344" s="3" t="s">
        <v>36</v>
      </c>
      <c r="Q1344" s="3"/>
      <c r="R1344" s="4">
        <v>45996</v>
      </c>
      <c r="S1344" s="3" t="s">
        <v>37</v>
      </c>
      <c r="T1344" s="3" t="s">
        <v>38</v>
      </c>
      <c r="U1344" s="3" t="s">
        <v>39</v>
      </c>
      <c r="V1344" s="3">
        <v>204.4</v>
      </c>
      <c r="W1344" s="3">
        <v>86.87</v>
      </c>
      <c r="X1344" s="3">
        <v>82.27</v>
      </c>
      <c r="Y1344" s="3">
        <v>35.26</v>
      </c>
    </row>
    <row r="1345" spans="1:25" ht="60.75" x14ac:dyDescent="0.25">
      <c r="A1345" s="3" t="s">
        <v>26</v>
      </c>
      <c r="B1345" s="3" t="s">
        <v>27</v>
      </c>
      <c r="C1345" s="3" t="s">
        <v>28</v>
      </c>
      <c r="D1345" s="3" t="s">
        <v>29</v>
      </c>
      <c r="E1345" s="3" t="s">
        <v>72</v>
      </c>
      <c r="F1345" s="3" t="s">
        <v>31</v>
      </c>
      <c r="G1345" s="3" t="s">
        <v>72</v>
      </c>
      <c r="H1345" s="3" t="s">
        <v>45</v>
      </c>
      <c r="I1345" s="3">
        <v>2025</v>
      </c>
      <c r="J1345" s="3" t="str">
        <f>CONCATENATE("54820073903")</f>
        <v>54820073903</v>
      </c>
      <c r="K1345" s="3" t="s">
        <v>33</v>
      </c>
      <c r="L1345" s="3"/>
      <c r="M1345" s="3" t="s">
        <v>131</v>
      </c>
      <c r="N1345" s="3" t="str">
        <f>CONCATENATE("SMCSVN65P27Z133R")</f>
        <v>SMCSVN65P27Z133R</v>
      </c>
      <c r="O1345" s="3" t="s">
        <v>1476</v>
      </c>
      <c r="P1345" s="3" t="s">
        <v>36</v>
      </c>
      <c r="Q1345" s="3"/>
      <c r="R1345" s="4">
        <v>45996</v>
      </c>
      <c r="S1345" s="3" t="s">
        <v>37</v>
      </c>
      <c r="T1345" s="3" t="s">
        <v>38</v>
      </c>
      <c r="U1345" s="3" t="s">
        <v>39</v>
      </c>
      <c r="V1345" s="3">
        <v>99.84</v>
      </c>
      <c r="W1345" s="3">
        <v>42.43</v>
      </c>
      <c r="X1345" s="3">
        <v>40.19</v>
      </c>
      <c r="Y1345" s="3">
        <v>17.22</v>
      </c>
    </row>
    <row r="1346" spans="1:25" ht="60.75" x14ac:dyDescent="0.25">
      <c r="A1346" s="3" t="s">
        <v>26</v>
      </c>
      <c r="B1346" s="3" t="s">
        <v>27</v>
      </c>
      <c r="C1346" s="3" t="s">
        <v>28</v>
      </c>
      <c r="D1346" s="3" t="s">
        <v>29</v>
      </c>
      <c r="E1346" s="3" t="s">
        <v>136</v>
      </c>
      <c r="F1346" s="3" t="s">
        <v>31</v>
      </c>
      <c r="G1346" s="3" t="s">
        <v>136</v>
      </c>
      <c r="H1346" s="3" t="s">
        <v>48</v>
      </c>
      <c r="I1346" s="3">
        <v>2025</v>
      </c>
      <c r="J1346" s="3" t="str">
        <f>CONCATENATE("54820078597")</f>
        <v>54820078597</v>
      </c>
      <c r="K1346" s="3" t="s">
        <v>33</v>
      </c>
      <c r="L1346" s="3"/>
      <c r="M1346" s="3" t="s">
        <v>131</v>
      </c>
      <c r="N1346" s="3" t="str">
        <f>CONCATENATE("BRNGPP51L28I461T")</f>
        <v>BRNGPP51L28I461T</v>
      </c>
      <c r="O1346" s="3" t="s">
        <v>1477</v>
      </c>
      <c r="P1346" s="3" t="s">
        <v>36</v>
      </c>
      <c r="Q1346" s="3"/>
      <c r="R1346" s="4">
        <v>45996</v>
      </c>
      <c r="S1346" s="3" t="s">
        <v>37</v>
      </c>
      <c r="T1346" s="3" t="s">
        <v>38</v>
      </c>
      <c r="U1346" s="3" t="s">
        <v>39</v>
      </c>
      <c r="V1346" s="3">
        <v>427.15</v>
      </c>
      <c r="W1346" s="3">
        <v>181.54</v>
      </c>
      <c r="X1346" s="3">
        <v>171.93</v>
      </c>
      <c r="Y1346" s="3">
        <v>73.680000000000007</v>
      </c>
    </row>
    <row r="1347" spans="1:25" ht="36.75" x14ac:dyDescent="0.25">
      <c r="A1347" s="3" t="s">
        <v>26</v>
      </c>
      <c r="B1347" s="3" t="s">
        <v>27</v>
      </c>
      <c r="C1347" s="3" t="s">
        <v>28</v>
      </c>
      <c r="D1347" s="3" t="s">
        <v>29</v>
      </c>
      <c r="E1347" s="3" t="s">
        <v>228</v>
      </c>
      <c r="F1347" s="3" t="s">
        <v>31</v>
      </c>
      <c r="G1347" s="3" t="s">
        <v>228</v>
      </c>
      <c r="H1347" s="3" t="s">
        <v>45</v>
      </c>
      <c r="I1347" s="3">
        <v>2025</v>
      </c>
      <c r="J1347" s="3" t="str">
        <f>CONCATENATE("54820050901")</f>
        <v>54820050901</v>
      </c>
      <c r="K1347" s="3" t="s">
        <v>33</v>
      </c>
      <c r="L1347" s="3"/>
      <c r="M1347" s="3" t="s">
        <v>131</v>
      </c>
      <c r="N1347" s="3" t="str">
        <f>CONCATENATE("02414200416")</f>
        <v>02414200416</v>
      </c>
      <c r="O1347" s="3" t="s">
        <v>1478</v>
      </c>
      <c r="P1347" s="3" t="s">
        <v>36</v>
      </c>
      <c r="Q1347" s="3"/>
      <c r="R1347" s="4">
        <v>45996</v>
      </c>
      <c r="S1347" s="3" t="s">
        <v>37</v>
      </c>
      <c r="T1347" s="3" t="s">
        <v>38</v>
      </c>
      <c r="U1347" s="3" t="s">
        <v>39</v>
      </c>
      <c r="V1347" s="3">
        <v>797.36</v>
      </c>
      <c r="W1347" s="3">
        <v>338.88</v>
      </c>
      <c r="X1347" s="3">
        <v>320.94</v>
      </c>
      <c r="Y1347" s="3">
        <v>137.54</v>
      </c>
    </row>
    <row r="1348" spans="1:25" ht="72.75" x14ac:dyDescent="0.25">
      <c r="A1348" s="3" t="s">
        <v>26</v>
      </c>
      <c r="B1348" s="3" t="s">
        <v>27</v>
      </c>
      <c r="C1348" s="3" t="s">
        <v>28</v>
      </c>
      <c r="D1348" s="3" t="s">
        <v>29</v>
      </c>
      <c r="E1348" s="3" t="s">
        <v>56</v>
      </c>
      <c r="F1348" s="3" t="s">
        <v>31</v>
      </c>
      <c r="G1348" s="3" t="s">
        <v>56</v>
      </c>
      <c r="H1348" s="3" t="s">
        <v>32</v>
      </c>
      <c r="I1348" s="3">
        <v>2025</v>
      </c>
      <c r="J1348" s="3" t="str">
        <f>CONCATENATE("54820192422")</f>
        <v>54820192422</v>
      </c>
      <c r="K1348" s="3" t="s">
        <v>33</v>
      </c>
      <c r="L1348" s="3"/>
      <c r="M1348" s="3" t="s">
        <v>131</v>
      </c>
      <c r="N1348" s="3" t="str">
        <f>CONCATENATE("MTTGFR41R06G690V")</f>
        <v>MTTGFR41R06G690V</v>
      </c>
      <c r="O1348" s="3" t="s">
        <v>1479</v>
      </c>
      <c r="P1348" s="3" t="s">
        <v>36</v>
      </c>
      <c r="Q1348" s="3"/>
      <c r="R1348" s="4">
        <v>45996</v>
      </c>
      <c r="S1348" s="3" t="s">
        <v>37</v>
      </c>
      <c r="T1348" s="3" t="s">
        <v>38</v>
      </c>
      <c r="U1348" s="3" t="s">
        <v>39</v>
      </c>
      <c r="V1348" s="3">
        <v>51.27</v>
      </c>
      <c r="W1348" s="3">
        <v>21.79</v>
      </c>
      <c r="X1348" s="3">
        <v>20.64</v>
      </c>
      <c r="Y1348" s="3">
        <v>8.84</v>
      </c>
    </row>
    <row r="1349" spans="1:25" ht="72.75" x14ac:dyDescent="0.25">
      <c r="A1349" s="3" t="s">
        <v>26</v>
      </c>
      <c r="B1349" s="3" t="s">
        <v>27</v>
      </c>
      <c r="C1349" s="3" t="s">
        <v>28</v>
      </c>
      <c r="D1349" s="3" t="s">
        <v>50</v>
      </c>
      <c r="E1349" s="3" t="s">
        <v>173</v>
      </c>
      <c r="F1349" s="3" t="s">
        <v>52</v>
      </c>
      <c r="G1349" s="3" t="s">
        <v>173</v>
      </c>
      <c r="H1349" s="3" t="s">
        <v>45</v>
      </c>
      <c r="I1349" s="3">
        <v>2025</v>
      </c>
      <c r="J1349" s="3" t="str">
        <f>CONCATENATE("54820079132")</f>
        <v>54820079132</v>
      </c>
      <c r="K1349" s="3" t="s">
        <v>33</v>
      </c>
      <c r="L1349" s="3"/>
      <c r="M1349" s="3" t="s">
        <v>131</v>
      </c>
      <c r="N1349" s="3" t="str">
        <f>CONCATENATE("RNCTZN56R44B816B")</f>
        <v>RNCTZN56R44B816B</v>
      </c>
      <c r="O1349" s="3" t="s">
        <v>1480</v>
      </c>
      <c r="P1349" s="3" t="s">
        <v>36</v>
      </c>
      <c r="Q1349" s="3"/>
      <c r="R1349" s="4">
        <v>45996</v>
      </c>
      <c r="S1349" s="3" t="s">
        <v>37</v>
      </c>
      <c r="T1349" s="3" t="s">
        <v>38</v>
      </c>
      <c r="U1349" s="3" t="s">
        <v>39</v>
      </c>
      <c r="V1349" s="3">
        <v>847.6</v>
      </c>
      <c r="W1349" s="3">
        <v>360.23</v>
      </c>
      <c r="X1349" s="3">
        <v>341.16</v>
      </c>
      <c r="Y1349" s="3">
        <v>146.21</v>
      </c>
    </row>
    <row r="1350" spans="1:25" ht="60.75" x14ac:dyDescent="0.25">
      <c r="A1350" s="3" t="s">
        <v>26</v>
      </c>
      <c r="B1350" s="3" t="s">
        <v>27</v>
      </c>
      <c r="C1350" s="3" t="s">
        <v>28</v>
      </c>
      <c r="D1350" s="3" t="s">
        <v>29</v>
      </c>
      <c r="E1350" s="3" t="s">
        <v>47</v>
      </c>
      <c r="F1350" s="3" t="s">
        <v>31</v>
      </c>
      <c r="G1350" s="3" t="s">
        <v>47</v>
      </c>
      <c r="H1350" s="3" t="s">
        <v>48</v>
      </c>
      <c r="I1350" s="3">
        <v>2025</v>
      </c>
      <c r="J1350" s="3" t="str">
        <f>CONCATENATE("54820074653")</f>
        <v>54820074653</v>
      </c>
      <c r="K1350" s="3" t="s">
        <v>33</v>
      </c>
      <c r="L1350" s="3"/>
      <c r="M1350" s="3" t="s">
        <v>131</v>
      </c>
      <c r="N1350" s="3" t="str">
        <f>CONCATENATE("RGNPRZ62L62A271W")</f>
        <v>RGNPRZ62L62A271W</v>
      </c>
      <c r="O1350" s="3" t="s">
        <v>1481</v>
      </c>
      <c r="P1350" s="3" t="s">
        <v>36</v>
      </c>
      <c r="Q1350" s="3"/>
      <c r="R1350" s="4">
        <v>45996</v>
      </c>
      <c r="S1350" s="3" t="s">
        <v>37</v>
      </c>
      <c r="T1350" s="3" t="s">
        <v>38</v>
      </c>
      <c r="U1350" s="3" t="s">
        <v>39</v>
      </c>
      <c r="V1350" s="3">
        <v>67.89</v>
      </c>
      <c r="W1350" s="3">
        <v>28.85</v>
      </c>
      <c r="X1350" s="3">
        <v>27.33</v>
      </c>
      <c r="Y1350" s="3">
        <v>11.71</v>
      </c>
    </row>
    <row r="1351" spans="1:25" ht="72.75" x14ac:dyDescent="0.25">
      <c r="A1351" s="3" t="s">
        <v>26</v>
      </c>
      <c r="B1351" s="3" t="s">
        <v>27</v>
      </c>
      <c r="C1351" s="3" t="s">
        <v>28</v>
      </c>
      <c r="D1351" s="3" t="s">
        <v>91</v>
      </c>
      <c r="E1351" s="3" t="s">
        <v>95</v>
      </c>
      <c r="F1351" s="3" t="s">
        <v>93</v>
      </c>
      <c r="G1351" s="3" t="s">
        <v>95</v>
      </c>
      <c r="H1351" s="3" t="s">
        <v>96</v>
      </c>
      <c r="I1351" s="3">
        <v>2025</v>
      </c>
      <c r="J1351" s="3" t="str">
        <f>CONCATENATE("54820085899")</f>
        <v>54820085899</v>
      </c>
      <c r="K1351" s="3" t="s">
        <v>33</v>
      </c>
      <c r="L1351" s="3"/>
      <c r="M1351" s="3" t="s">
        <v>131</v>
      </c>
      <c r="N1351" s="3" t="str">
        <f>CONCATENATE("MRNYRU88B16A462O")</f>
        <v>MRNYRU88B16A462O</v>
      </c>
      <c r="O1351" s="3" t="s">
        <v>1482</v>
      </c>
      <c r="P1351" s="3" t="s">
        <v>36</v>
      </c>
      <c r="Q1351" s="3"/>
      <c r="R1351" s="4">
        <v>45996</v>
      </c>
      <c r="S1351" s="3" t="s">
        <v>37</v>
      </c>
      <c r="T1351" s="3" t="s">
        <v>38</v>
      </c>
      <c r="U1351" s="3" t="s">
        <v>39</v>
      </c>
      <c r="V1351" s="3">
        <v>252.89</v>
      </c>
      <c r="W1351" s="3">
        <v>107.48</v>
      </c>
      <c r="X1351" s="3">
        <v>101.79</v>
      </c>
      <c r="Y1351" s="3">
        <v>43.62</v>
      </c>
    </row>
    <row r="1352" spans="1:25" ht="72.75" x14ac:dyDescent="0.25">
      <c r="A1352" s="3" t="s">
        <v>26</v>
      </c>
      <c r="B1352" s="3" t="s">
        <v>27</v>
      </c>
      <c r="C1352" s="3" t="s">
        <v>28</v>
      </c>
      <c r="D1352" s="3" t="s">
        <v>29</v>
      </c>
      <c r="E1352" s="3" t="s">
        <v>101</v>
      </c>
      <c r="F1352" s="3" t="s">
        <v>31</v>
      </c>
      <c r="G1352" s="3" t="s">
        <v>101</v>
      </c>
      <c r="H1352" s="3" t="s">
        <v>32</v>
      </c>
      <c r="I1352" s="3">
        <v>2025</v>
      </c>
      <c r="J1352" s="3" t="str">
        <f>CONCATENATE("54820171434")</f>
        <v>54820171434</v>
      </c>
      <c r="K1352" s="3" t="s">
        <v>33</v>
      </c>
      <c r="L1352" s="3"/>
      <c r="M1352" s="3" t="s">
        <v>131</v>
      </c>
      <c r="N1352" s="3" t="str">
        <f>CONCATENATE("FBBFRZ60B53B474B")</f>
        <v>FBBFRZ60B53B474B</v>
      </c>
      <c r="O1352" s="3" t="s">
        <v>1483</v>
      </c>
      <c r="P1352" s="3" t="s">
        <v>36</v>
      </c>
      <c r="Q1352" s="3"/>
      <c r="R1352" s="4">
        <v>45996</v>
      </c>
      <c r="S1352" s="3" t="s">
        <v>37</v>
      </c>
      <c r="T1352" s="3" t="s">
        <v>38</v>
      </c>
      <c r="U1352" s="3" t="s">
        <v>39</v>
      </c>
      <c r="V1352" s="3">
        <v>76.77</v>
      </c>
      <c r="W1352" s="3">
        <v>32.630000000000003</v>
      </c>
      <c r="X1352" s="3">
        <v>30.9</v>
      </c>
      <c r="Y1352" s="3">
        <v>13.24</v>
      </c>
    </row>
    <row r="1353" spans="1:25" ht="60.75" x14ac:dyDescent="0.25">
      <c r="A1353" s="3" t="s">
        <v>26</v>
      </c>
      <c r="B1353" s="3" t="s">
        <v>27</v>
      </c>
      <c r="C1353" s="3" t="s">
        <v>28</v>
      </c>
      <c r="D1353" s="3" t="s">
        <v>104</v>
      </c>
      <c r="E1353" s="3" t="s">
        <v>141</v>
      </c>
      <c r="F1353" s="3" t="s">
        <v>104</v>
      </c>
      <c r="G1353" s="3" t="s">
        <v>141</v>
      </c>
      <c r="H1353" s="3" t="s">
        <v>96</v>
      </c>
      <c r="I1353" s="3">
        <v>2025</v>
      </c>
      <c r="J1353" s="3" t="str">
        <f>CONCATENATE("54820144944")</f>
        <v>54820144944</v>
      </c>
      <c r="K1353" s="3" t="s">
        <v>33</v>
      </c>
      <c r="L1353" s="3"/>
      <c r="M1353" s="3" t="s">
        <v>131</v>
      </c>
      <c r="N1353" s="3" t="str">
        <f>CONCATENATE("VRGTMS56D28C935B")</f>
        <v>VRGTMS56D28C935B</v>
      </c>
      <c r="O1353" s="3" t="s">
        <v>1484</v>
      </c>
      <c r="P1353" s="3" t="s">
        <v>36</v>
      </c>
      <c r="Q1353" s="3"/>
      <c r="R1353" s="4">
        <v>45996</v>
      </c>
      <c r="S1353" s="3" t="s">
        <v>37</v>
      </c>
      <c r="T1353" s="3" t="s">
        <v>38</v>
      </c>
      <c r="U1353" s="3" t="s">
        <v>39</v>
      </c>
      <c r="V1353" s="3">
        <v>296.77999999999997</v>
      </c>
      <c r="W1353" s="3">
        <v>126.13</v>
      </c>
      <c r="X1353" s="3">
        <v>119.45</v>
      </c>
      <c r="Y1353" s="3">
        <v>51.2</v>
      </c>
    </row>
    <row r="1354" spans="1:25" ht="72.75" x14ac:dyDescent="0.25">
      <c r="A1354" s="3" t="s">
        <v>26</v>
      </c>
      <c r="B1354" s="3" t="s">
        <v>27</v>
      </c>
      <c r="C1354" s="3" t="s">
        <v>28</v>
      </c>
      <c r="D1354" s="3" t="s">
        <v>50</v>
      </c>
      <c r="E1354" s="3" t="s">
        <v>60</v>
      </c>
      <c r="F1354" s="3" t="s">
        <v>52</v>
      </c>
      <c r="G1354" s="3" t="s">
        <v>60</v>
      </c>
      <c r="H1354" s="3" t="s">
        <v>45</v>
      </c>
      <c r="I1354" s="3">
        <v>2025</v>
      </c>
      <c r="J1354" s="3" t="str">
        <f>CONCATENATE("54820101969")</f>
        <v>54820101969</v>
      </c>
      <c r="K1354" s="3" t="s">
        <v>33</v>
      </c>
      <c r="L1354" s="3"/>
      <c r="M1354" s="3" t="s">
        <v>131</v>
      </c>
      <c r="N1354" s="3" t="str">
        <f>CONCATENATE("MGADVD72D03B352O")</f>
        <v>MGADVD72D03B352O</v>
      </c>
      <c r="O1354" s="3" t="s">
        <v>1485</v>
      </c>
      <c r="P1354" s="3" t="s">
        <v>36</v>
      </c>
      <c r="Q1354" s="3"/>
      <c r="R1354" s="4">
        <v>45996</v>
      </c>
      <c r="S1354" s="3" t="s">
        <v>37</v>
      </c>
      <c r="T1354" s="3" t="s">
        <v>38</v>
      </c>
      <c r="U1354" s="3" t="s">
        <v>39</v>
      </c>
      <c r="V1354" s="3">
        <v>118.07</v>
      </c>
      <c r="W1354" s="3">
        <v>50.18</v>
      </c>
      <c r="X1354" s="3">
        <v>47.52</v>
      </c>
      <c r="Y1354" s="3">
        <v>20.37</v>
      </c>
    </row>
    <row r="1355" spans="1:25" ht="60.75" x14ac:dyDescent="0.25">
      <c r="A1355" s="3" t="s">
        <v>26</v>
      </c>
      <c r="B1355" s="3" t="s">
        <v>27</v>
      </c>
      <c r="C1355" s="3" t="s">
        <v>28</v>
      </c>
      <c r="D1355" s="3" t="s">
        <v>29</v>
      </c>
      <c r="E1355" s="3" t="s">
        <v>80</v>
      </c>
      <c r="F1355" s="3" t="s">
        <v>31</v>
      </c>
      <c r="G1355" s="3" t="s">
        <v>80</v>
      </c>
      <c r="H1355" s="3" t="s">
        <v>45</v>
      </c>
      <c r="I1355" s="3">
        <v>2025</v>
      </c>
      <c r="J1355" s="3" t="str">
        <f>CONCATENATE("54820068143")</f>
        <v>54820068143</v>
      </c>
      <c r="K1355" s="3" t="s">
        <v>33</v>
      </c>
      <c r="L1355" s="3"/>
      <c r="M1355" s="3" t="s">
        <v>131</v>
      </c>
      <c r="N1355" s="3" t="str">
        <f>CONCATENATE("TGNLLD34T02D809B")</f>
        <v>TGNLLD34T02D809B</v>
      </c>
      <c r="O1355" s="3" t="s">
        <v>1486</v>
      </c>
      <c r="P1355" s="3" t="s">
        <v>36</v>
      </c>
      <c r="Q1355" s="3"/>
      <c r="R1355" s="4">
        <v>45996</v>
      </c>
      <c r="S1355" s="3" t="s">
        <v>37</v>
      </c>
      <c r="T1355" s="3" t="s">
        <v>38</v>
      </c>
      <c r="U1355" s="3" t="s">
        <v>39</v>
      </c>
      <c r="V1355" s="3">
        <v>76.89</v>
      </c>
      <c r="W1355" s="3">
        <v>32.68</v>
      </c>
      <c r="X1355" s="3">
        <v>30.95</v>
      </c>
      <c r="Y1355" s="3">
        <v>13.26</v>
      </c>
    </row>
    <row r="1356" spans="1:25" ht="60.75" x14ac:dyDescent="0.25">
      <c r="A1356" s="3" t="s">
        <v>26</v>
      </c>
      <c r="B1356" s="3" t="s">
        <v>27</v>
      </c>
      <c r="C1356" s="3" t="s">
        <v>28</v>
      </c>
      <c r="D1356" s="3" t="s">
        <v>50</v>
      </c>
      <c r="E1356" s="3" t="s">
        <v>173</v>
      </c>
      <c r="F1356" s="3" t="s">
        <v>52</v>
      </c>
      <c r="G1356" s="3" t="s">
        <v>173</v>
      </c>
      <c r="H1356" s="3" t="s">
        <v>45</v>
      </c>
      <c r="I1356" s="3">
        <v>2025</v>
      </c>
      <c r="J1356" s="3" t="str">
        <f>CONCATENATE("54820091327")</f>
        <v>54820091327</v>
      </c>
      <c r="K1356" s="3" t="s">
        <v>33</v>
      </c>
      <c r="L1356" s="3"/>
      <c r="M1356" s="3" t="s">
        <v>131</v>
      </c>
      <c r="N1356" s="3" t="str">
        <f>CONCATENATE("CCCGZN72C20E785T")</f>
        <v>CCCGZN72C20E785T</v>
      </c>
      <c r="O1356" s="3" t="s">
        <v>1487</v>
      </c>
      <c r="P1356" s="3" t="s">
        <v>36</v>
      </c>
      <c r="Q1356" s="3"/>
      <c r="R1356" s="4">
        <v>45996</v>
      </c>
      <c r="S1356" s="3" t="s">
        <v>37</v>
      </c>
      <c r="T1356" s="3" t="s">
        <v>38</v>
      </c>
      <c r="U1356" s="3" t="s">
        <v>39</v>
      </c>
      <c r="V1356" s="3">
        <v>677.21</v>
      </c>
      <c r="W1356" s="3">
        <v>287.81</v>
      </c>
      <c r="X1356" s="3">
        <v>272.58</v>
      </c>
      <c r="Y1356" s="3">
        <v>116.82</v>
      </c>
    </row>
    <row r="1357" spans="1:25" ht="72.75" x14ac:dyDescent="0.25">
      <c r="A1357" s="3" t="s">
        <v>26</v>
      </c>
      <c r="B1357" s="3" t="s">
        <v>27</v>
      </c>
      <c r="C1357" s="3" t="s">
        <v>28</v>
      </c>
      <c r="D1357" s="3" t="s">
        <v>29</v>
      </c>
      <c r="E1357" s="3" t="s">
        <v>80</v>
      </c>
      <c r="F1357" s="3" t="s">
        <v>31</v>
      </c>
      <c r="G1357" s="3" t="s">
        <v>80</v>
      </c>
      <c r="H1357" s="3" t="s">
        <v>45</v>
      </c>
      <c r="I1357" s="3">
        <v>2025</v>
      </c>
      <c r="J1357" s="3" t="str">
        <f>CONCATENATE("54820083936")</f>
        <v>54820083936</v>
      </c>
      <c r="K1357" s="3" t="s">
        <v>33</v>
      </c>
      <c r="L1357" s="3"/>
      <c r="M1357" s="3" t="s">
        <v>131</v>
      </c>
      <c r="N1357" s="3" t="str">
        <f>CONCATENATE("VTLGNN66M13A271B")</f>
        <v>VTLGNN66M13A271B</v>
      </c>
      <c r="O1357" s="3" t="s">
        <v>1488</v>
      </c>
      <c r="P1357" s="3" t="s">
        <v>36</v>
      </c>
      <c r="Q1357" s="3"/>
      <c r="R1357" s="4">
        <v>45996</v>
      </c>
      <c r="S1357" s="3" t="s">
        <v>37</v>
      </c>
      <c r="T1357" s="3" t="s">
        <v>38</v>
      </c>
      <c r="U1357" s="3" t="s">
        <v>39</v>
      </c>
      <c r="V1357" s="3">
        <v>230.96</v>
      </c>
      <c r="W1357" s="3">
        <v>98.16</v>
      </c>
      <c r="X1357" s="3">
        <v>92.96</v>
      </c>
      <c r="Y1357" s="3">
        <v>39.840000000000003</v>
      </c>
    </row>
    <row r="1358" spans="1:25" ht="60.75" x14ac:dyDescent="0.25">
      <c r="A1358" s="3" t="s">
        <v>26</v>
      </c>
      <c r="B1358" s="3" t="s">
        <v>27</v>
      </c>
      <c r="C1358" s="3" t="s">
        <v>28</v>
      </c>
      <c r="D1358" s="3" t="s">
        <v>29</v>
      </c>
      <c r="E1358" s="3" t="s">
        <v>56</v>
      </c>
      <c r="F1358" s="3" t="s">
        <v>31</v>
      </c>
      <c r="G1358" s="3" t="s">
        <v>56</v>
      </c>
      <c r="H1358" s="3" t="s">
        <v>32</v>
      </c>
      <c r="I1358" s="3">
        <v>2025</v>
      </c>
      <c r="J1358" s="3" t="str">
        <f>CONCATENATE("54820099668")</f>
        <v>54820099668</v>
      </c>
      <c r="K1358" s="3" t="s">
        <v>33</v>
      </c>
      <c r="L1358" s="3"/>
      <c r="M1358" s="3" t="s">
        <v>131</v>
      </c>
      <c r="N1358" s="3" t="str">
        <f>CONCATENATE("MCCMTT90T11L191W")</f>
        <v>MCCMTT90T11L191W</v>
      </c>
      <c r="O1358" s="3" t="s">
        <v>1489</v>
      </c>
      <c r="P1358" s="3" t="s">
        <v>36</v>
      </c>
      <c r="Q1358" s="3"/>
      <c r="R1358" s="4">
        <v>45996</v>
      </c>
      <c r="S1358" s="3" t="s">
        <v>37</v>
      </c>
      <c r="T1358" s="3" t="s">
        <v>38</v>
      </c>
      <c r="U1358" s="3" t="s">
        <v>39</v>
      </c>
      <c r="V1358" s="3">
        <v>157.22999999999999</v>
      </c>
      <c r="W1358" s="3">
        <v>66.819999999999993</v>
      </c>
      <c r="X1358" s="3">
        <v>63.29</v>
      </c>
      <c r="Y1358" s="3">
        <v>27.12</v>
      </c>
    </row>
    <row r="1359" spans="1:25" ht="36.75" x14ac:dyDescent="0.25">
      <c r="A1359" s="3" t="s">
        <v>26</v>
      </c>
      <c r="B1359" s="3" t="s">
        <v>27</v>
      </c>
      <c r="C1359" s="3" t="s">
        <v>28</v>
      </c>
      <c r="D1359" s="3" t="s">
        <v>29</v>
      </c>
      <c r="E1359" s="3" t="s">
        <v>80</v>
      </c>
      <c r="F1359" s="3" t="s">
        <v>31</v>
      </c>
      <c r="G1359" s="3" t="s">
        <v>80</v>
      </c>
      <c r="H1359" s="3" t="s">
        <v>45</v>
      </c>
      <c r="I1359" s="3">
        <v>2025</v>
      </c>
      <c r="J1359" s="3" t="str">
        <f>CONCATENATE("54820166467")</f>
        <v>54820166467</v>
      </c>
      <c r="K1359" s="3" t="s">
        <v>33</v>
      </c>
      <c r="L1359" s="3"/>
      <c r="M1359" s="3" t="s">
        <v>131</v>
      </c>
      <c r="N1359" s="3" t="str">
        <f>CONCATENATE("02180060416")</f>
        <v>02180060416</v>
      </c>
      <c r="O1359" s="3" t="s">
        <v>1490</v>
      </c>
      <c r="P1359" s="3" t="s">
        <v>36</v>
      </c>
      <c r="Q1359" s="3"/>
      <c r="R1359" s="4">
        <v>45996</v>
      </c>
      <c r="S1359" s="3" t="s">
        <v>37</v>
      </c>
      <c r="T1359" s="3" t="s">
        <v>38</v>
      </c>
      <c r="U1359" s="3" t="s">
        <v>39</v>
      </c>
      <c r="V1359" s="3">
        <v>717.85</v>
      </c>
      <c r="W1359" s="3">
        <v>305.08999999999997</v>
      </c>
      <c r="X1359" s="3">
        <v>288.93</v>
      </c>
      <c r="Y1359" s="3">
        <v>123.83</v>
      </c>
    </row>
    <row r="1360" spans="1:25" ht="36.75" x14ac:dyDescent="0.25">
      <c r="A1360" s="3" t="s">
        <v>26</v>
      </c>
      <c r="B1360" s="3" t="s">
        <v>27</v>
      </c>
      <c r="C1360" s="3" t="s">
        <v>28</v>
      </c>
      <c r="D1360" s="3" t="s">
        <v>29</v>
      </c>
      <c r="E1360" s="3" t="s">
        <v>119</v>
      </c>
      <c r="F1360" s="3" t="s">
        <v>31</v>
      </c>
      <c r="G1360" s="3" t="s">
        <v>119</v>
      </c>
      <c r="H1360" s="3" t="s">
        <v>96</v>
      </c>
      <c r="I1360" s="3">
        <v>2025</v>
      </c>
      <c r="J1360" s="3" t="str">
        <f>CONCATENATE("54820166525")</f>
        <v>54820166525</v>
      </c>
      <c r="K1360" s="3" t="s">
        <v>33</v>
      </c>
      <c r="L1360" s="3"/>
      <c r="M1360" s="3" t="s">
        <v>131</v>
      </c>
      <c r="N1360" s="3" t="str">
        <f>CONCATENATE("02013210444")</f>
        <v>02013210444</v>
      </c>
      <c r="O1360" s="3" t="s">
        <v>1491</v>
      </c>
      <c r="P1360" s="3" t="s">
        <v>36</v>
      </c>
      <c r="Q1360" s="3"/>
      <c r="R1360" s="4">
        <v>45996</v>
      </c>
      <c r="S1360" s="3" t="s">
        <v>37</v>
      </c>
      <c r="T1360" s="3" t="s">
        <v>38</v>
      </c>
      <c r="U1360" s="3" t="s">
        <v>39</v>
      </c>
      <c r="V1360" s="3">
        <v>141.51</v>
      </c>
      <c r="W1360" s="3">
        <v>60.14</v>
      </c>
      <c r="X1360" s="3">
        <v>56.96</v>
      </c>
      <c r="Y1360" s="3">
        <v>24.41</v>
      </c>
    </row>
    <row r="1361" spans="1:25" ht="36.75" x14ac:dyDescent="0.25">
      <c r="A1361" s="3" t="s">
        <v>26</v>
      </c>
      <c r="B1361" s="3" t="s">
        <v>27</v>
      </c>
      <c r="C1361" s="3" t="s">
        <v>28</v>
      </c>
      <c r="D1361" s="3" t="s">
        <v>29</v>
      </c>
      <c r="E1361" s="3" t="s">
        <v>136</v>
      </c>
      <c r="F1361" s="3" t="s">
        <v>31</v>
      </c>
      <c r="G1361" s="3" t="s">
        <v>136</v>
      </c>
      <c r="H1361" s="3" t="s">
        <v>48</v>
      </c>
      <c r="I1361" s="3">
        <v>2025</v>
      </c>
      <c r="J1361" s="3" t="str">
        <f>CONCATENATE("54820113378")</f>
        <v>54820113378</v>
      </c>
      <c r="K1361" s="3" t="s">
        <v>33</v>
      </c>
      <c r="L1361" s="3"/>
      <c r="M1361" s="3" t="s">
        <v>131</v>
      </c>
      <c r="N1361" s="3" t="str">
        <f>CONCATENATE("02942780426")</f>
        <v>02942780426</v>
      </c>
      <c r="O1361" s="3" t="s">
        <v>1492</v>
      </c>
      <c r="P1361" s="3" t="s">
        <v>36</v>
      </c>
      <c r="Q1361" s="3"/>
      <c r="R1361" s="4">
        <v>45996</v>
      </c>
      <c r="S1361" s="3" t="s">
        <v>37</v>
      </c>
      <c r="T1361" s="3" t="s">
        <v>38</v>
      </c>
      <c r="U1361" s="3" t="s">
        <v>39</v>
      </c>
      <c r="V1361" s="3">
        <v>143.47999999999999</v>
      </c>
      <c r="W1361" s="3">
        <v>60.98</v>
      </c>
      <c r="X1361" s="3">
        <v>57.75</v>
      </c>
      <c r="Y1361" s="3">
        <v>24.75</v>
      </c>
    </row>
    <row r="1362" spans="1:25" ht="60.75" x14ac:dyDescent="0.25">
      <c r="A1362" s="3" t="s">
        <v>26</v>
      </c>
      <c r="B1362" s="3" t="s">
        <v>27</v>
      </c>
      <c r="C1362" s="3" t="s">
        <v>28</v>
      </c>
      <c r="D1362" s="3" t="s">
        <v>50</v>
      </c>
      <c r="E1362" s="3" t="s">
        <v>51</v>
      </c>
      <c r="F1362" s="3" t="s">
        <v>52</v>
      </c>
      <c r="G1362" s="3" t="s">
        <v>51</v>
      </c>
      <c r="H1362" s="3" t="s">
        <v>48</v>
      </c>
      <c r="I1362" s="3">
        <v>2025</v>
      </c>
      <c r="J1362" s="3" t="str">
        <f>CONCATENATE("54820163480")</f>
        <v>54820163480</v>
      </c>
      <c r="K1362" s="3" t="s">
        <v>33</v>
      </c>
      <c r="L1362" s="3"/>
      <c r="M1362" s="3" t="s">
        <v>131</v>
      </c>
      <c r="N1362" s="3" t="str">
        <f>CONCATENATE("TZZFNC48P16D451M")</f>
        <v>TZZFNC48P16D451M</v>
      </c>
      <c r="O1362" s="3" t="s">
        <v>1493</v>
      </c>
      <c r="P1362" s="3" t="s">
        <v>36</v>
      </c>
      <c r="Q1362" s="3"/>
      <c r="R1362" s="4">
        <v>45996</v>
      </c>
      <c r="S1362" s="3" t="s">
        <v>37</v>
      </c>
      <c r="T1362" s="3" t="s">
        <v>38</v>
      </c>
      <c r="U1362" s="3" t="s">
        <v>39</v>
      </c>
      <c r="V1362" s="3">
        <v>100.87</v>
      </c>
      <c r="W1362" s="3">
        <v>42.87</v>
      </c>
      <c r="X1362" s="3">
        <v>40.6</v>
      </c>
      <c r="Y1362" s="3">
        <v>17.399999999999999</v>
      </c>
    </row>
    <row r="1363" spans="1:25" ht="60.75" x14ac:dyDescent="0.25">
      <c r="A1363" s="3" t="s">
        <v>26</v>
      </c>
      <c r="B1363" s="3" t="s">
        <v>27</v>
      </c>
      <c r="C1363" s="3" t="s">
        <v>28</v>
      </c>
      <c r="D1363" s="3" t="s">
        <v>50</v>
      </c>
      <c r="E1363" s="3" t="s">
        <v>51</v>
      </c>
      <c r="F1363" s="3" t="s">
        <v>52</v>
      </c>
      <c r="G1363" s="3" t="s">
        <v>51</v>
      </c>
      <c r="H1363" s="3" t="s">
        <v>48</v>
      </c>
      <c r="I1363" s="3">
        <v>2025</v>
      </c>
      <c r="J1363" s="3" t="str">
        <f>CONCATENATE("54820082821")</f>
        <v>54820082821</v>
      </c>
      <c r="K1363" s="3" t="s">
        <v>33</v>
      </c>
      <c r="L1363" s="3"/>
      <c r="M1363" s="3" t="s">
        <v>131</v>
      </c>
      <c r="N1363" s="3" t="str">
        <f>CONCATENATE("PTRFRC86M02E388B")</f>
        <v>PTRFRC86M02E388B</v>
      </c>
      <c r="O1363" s="3" t="s">
        <v>1494</v>
      </c>
      <c r="P1363" s="3" t="s">
        <v>36</v>
      </c>
      <c r="Q1363" s="3"/>
      <c r="R1363" s="4">
        <v>45996</v>
      </c>
      <c r="S1363" s="3" t="s">
        <v>37</v>
      </c>
      <c r="T1363" s="3" t="s">
        <v>38</v>
      </c>
      <c r="U1363" s="3" t="s">
        <v>39</v>
      </c>
      <c r="V1363" s="3">
        <v>53.21</v>
      </c>
      <c r="W1363" s="3">
        <v>22.61</v>
      </c>
      <c r="X1363" s="3">
        <v>21.42</v>
      </c>
      <c r="Y1363" s="3">
        <v>9.18</v>
      </c>
    </row>
    <row r="1364" spans="1:25" ht="60.75" x14ac:dyDescent="0.25">
      <c r="A1364" s="3" t="s">
        <v>26</v>
      </c>
      <c r="B1364" s="3" t="s">
        <v>27</v>
      </c>
      <c r="C1364" s="3" t="s">
        <v>28</v>
      </c>
      <c r="D1364" s="3" t="s">
        <v>50</v>
      </c>
      <c r="E1364" s="3" t="s">
        <v>147</v>
      </c>
      <c r="F1364" s="3" t="s">
        <v>52</v>
      </c>
      <c r="G1364" s="3" t="s">
        <v>147</v>
      </c>
      <c r="H1364" s="3" t="s">
        <v>45</v>
      </c>
      <c r="I1364" s="3">
        <v>2025</v>
      </c>
      <c r="J1364" s="3" t="str">
        <f>CONCATENATE("54820186531")</f>
        <v>54820186531</v>
      </c>
      <c r="K1364" s="3" t="s">
        <v>33</v>
      </c>
      <c r="L1364" s="3"/>
      <c r="M1364" s="3" t="s">
        <v>131</v>
      </c>
      <c r="N1364" s="3" t="str">
        <f>CONCATENATE("RCNLDN47R49L500F")</f>
        <v>RCNLDN47R49L500F</v>
      </c>
      <c r="O1364" s="3" t="s">
        <v>1495</v>
      </c>
      <c r="P1364" s="3" t="s">
        <v>36</v>
      </c>
      <c r="Q1364" s="3"/>
      <c r="R1364" s="4">
        <v>45996</v>
      </c>
      <c r="S1364" s="3" t="s">
        <v>37</v>
      </c>
      <c r="T1364" s="3" t="s">
        <v>38</v>
      </c>
      <c r="U1364" s="3" t="s">
        <v>39</v>
      </c>
      <c r="V1364" s="3">
        <v>175.22</v>
      </c>
      <c r="W1364" s="3">
        <v>74.47</v>
      </c>
      <c r="X1364" s="3">
        <v>70.53</v>
      </c>
      <c r="Y1364" s="3">
        <v>30.22</v>
      </c>
    </row>
    <row r="1365" spans="1:25" ht="72.75" x14ac:dyDescent="0.25">
      <c r="A1365" s="3" t="s">
        <v>26</v>
      </c>
      <c r="B1365" s="3" t="s">
        <v>27</v>
      </c>
      <c r="C1365" s="3" t="s">
        <v>28</v>
      </c>
      <c r="D1365" s="3" t="s">
        <v>29</v>
      </c>
      <c r="E1365" s="3" t="s">
        <v>904</v>
      </c>
      <c r="F1365" s="3" t="s">
        <v>31</v>
      </c>
      <c r="G1365" s="3" t="s">
        <v>904</v>
      </c>
      <c r="H1365" s="3" t="s">
        <v>32</v>
      </c>
      <c r="I1365" s="3">
        <v>2025</v>
      </c>
      <c r="J1365" s="3" t="str">
        <f>CONCATENATE("54820193834")</f>
        <v>54820193834</v>
      </c>
      <c r="K1365" s="3" t="s">
        <v>33</v>
      </c>
      <c r="L1365" s="3"/>
      <c r="M1365" s="3" t="s">
        <v>131</v>
      </c>
      <c r="N1365" s="3" t="str">
        <f>CONCATENATE("MRSNNT55A49B474N")</f>
        <v>MRSNNT55A49B474N</v>
      </c>
      <c r="O1365" s="3" t="s">
        <v>1496</v>
      </c>
      <c r="P1365" s="3" t="s">
        <v>36</v>
      </c>
      <c r="Q1365" s="3"/>
      <c r="R1365" s="4">
        <v>45996</v>
      </c>
      <c r="S1365" s="3" t="s">
        <v>37</v>
      </c>
      <c r="T1365" s="3" t="s">
        <v>38</v>
      </c>
      <c r="U1365" s="3" t="s">
        <v>39</v>
      </c>
      <c r="V1365" s="3">
        <v>146.38999999999999</v>
      </c>
      <c r="W1365" s="3">
        <v>62.22</v>
      </c>
      <c r="X1365" s="3">
        <v>58.92</v>
      </c>
      <c r="Y1365" s="3">
        <v>25.25</v>
      </c>
    </row>
    <row r="1366" spans="1:25" ht="60.75" x14ac:dyDescent="0.25">
      <c r="A1366" s="3" t="s">
        <v>26</v>
      </c>
      <c r="B1366" s="3" t="s">
        <v>27</v>
      </c>
      <c r="C1366" s="3" t="s">
        <v>28</v>
      </c>
      <c r="D1366" s="3" t="s">
        <v>29</v>
      </c>
      <c r="E1366" s="3" t="s">
        <v>72</v>
      </c>
      <c r="F1366" s="3" t="s">
        <v>31</v>
      </c>
      <c r="G1366" s="3" t="s">
        <v>72</v>
      </c>
      <c r="H1366" s="3" t="s">
        <v>45</v>
      </c>
      <c r="I1366" s="3">
        <v>2025</v>
      </c>
      <c r="J1366" s="3" t="str">
        <f>CONCATENATE("54820078308")</f>
        <v>54820078308</v>
      </c>
      <c r="K1366" s="3" t="s">
        <v>33</v>
      </c>
      <c r="L1366" s="3"/>
      <c r="M1366" s="3" t="s">
        <v>131</v>
      </c>
      <c r="N1366" s="3" t="str">
        <f>CONCATENATE("BGLBGI56E09B352X")</f>
        <v>BGLBGI56E09B352X</v>
      </c>
      <c r="O1366" s="3" t="s">
        <v>1497</v>
      </c>
      <c r="P1366" s="3" t="s">
        <v>36</v>
      </c>
      <c r="Q1366" s="3"/>
      <c r="R1366" s="4">
        <v>45996</v>
      </c>
      <c r="S1366" s="3" t="s">
        <v>37</v>
      </c>
      <c r="T1366" s="3" t="s">
        <v>38</v>
      </c>
      <c r="U1366" s="3" t="s">
        <v>39</v>
      </c>
      <c r="V1366" s="3">
        <v>748.19</v>
      </c>
      <c r="W1366" s="3">
        <v>317.98</v>
      </c>
      <c r="X1366" s="3">
        <v>301.14999999999998</v>
      </c>
      <c r="Y1366" s="3">
        <v>129.06</v>
      </c>
    </row>
    <row r="1367" spans="1:25" ht="36.75" x14ac:dyDescent="0.25">
      <c r="A1367" s="3" t="s">
        <v>26</v>
      </c>
      <c r="B1367" s="3" t="s">
        <v>27</v>
      </c>
      <c r="C1367" s="3" t="s">
        <v>28</v>
      </c>
      <c r="D1367" s="3" t="s">
        <v>29</v>
      </c>
      <c r="E1367" s="3" t="s">
        <v>72</v>
      </c>
      <c r="F1367" s="3" t="s">
        <v>31</v>
      </c>
      <c r="G1367" s="3" t="s">
        <v>72</v>
      </c>
      <c r="H1367" s="3" t="s">
        <v>45</v>
      </c>
      <c r="I1367" s="3">
        <v>2025</v>
      </c>
      <c r="J1367" s="3" t="str">
        <f>CONCATENATE("54820073952")</f>
        <v>54820073952</v>
      </c>
      <c r="K1367" s="3" t="s">
        <v>33</v>
      </c>
      <c r="L1367" s="3"/>
      <c r="M1367" s="3" t="s">
        <v>131</v>
      </c>
      <c r="N1367" s="3" t="str">
        <f>CONCATENATE("02791510411")</f>
        <v>02791510411</v>
      </c>
      <c r="O1367" s="3" t="s">
        <v>1498</v>
      </c>
      <c r="P1367" s="3" t="s">
        <v>36</v>
      </c>
      <c r="Q1367" s="3"/>
      <c r="R1367" s="4">
        <v>45996</v>
      </c>
      <c r="S1367" s="3" t="s">
        <v>37</v>
      </c>
      <c r="T1367" s="3" t="s">
        <v>38</v>
      </c>
      <c r="U1367" s="3" t="s">
        <v>39</v>
      </c>
      <c r="V1367" s="3">
        <v>106.28</v>
      </c>
      <c r="W1367" s="3">
        <v>45.17</v>
      </c>
      <c r="X1367" s="3">
        <v>42.78</v>
      </c>
      <c r="Y1367" s="3">
        <v>18.329999999999998</v>
      </c>
    </row>
    <row r="1368" spans="1:25" ht="36.75" x14ac:dyDescent="0.25">
      <c r="A1368" s="3" t="s">
        <v>26</v>
      </c>
      <c r="B1368" s="3" t="s">
        <v>27</v>
      </c>
      <c r="C1368" s="3" t="s">
        <v>28</v>
      </c>
      <c r="D1368" s="3" t="s">
        <v>29</v>
      </c>
      <c r="E1368" s="3" t="s">
        <v>101</v>
      </c>
      <c r="F1368" s="3" t="s">
        <v>31</v>
      </c>
      <c r="G1368" s="3" t="s">
        <v>101</v>
      </c>
      <c r="H1368" s="3" t="s">
        <v>32</v>
      </c>
      <c r="I1368" s="3">
        <v>2025</v>
      </c>
      <c r="J1368" s="3" t="str">
        <f>CONCATENATE("54820171335")</f>
        <v>54820171335</v>
      </c>
      <c r="K1368" s="3" t="s">
        <v>33</v>
      </c>
      <c r="L1368" s="3"/>
      <c r="M1368" s="3" t="s">
        <v>131</v>
      </c>
      <c r="N1368" s="3" t="str">
        <f>CONCATENATE("01690330434")</f>
        <v>01690330434</v>
      </c>
      <c r="O1368" s="3" t="s">
        <v>1499</v>
      </c>
      <c r="P1368" s="3" t="s">
        <v>36</v>
      </c>
      <c r="Q1368" s="3"/>
      <c r="R1368" s="4">
        <v>45996</v>
      </c>
      <c r="S1368" s="3" t="s">
        <v>37</v>
      </c>
      <c r="T1368" s="3" t="s">
        <v>38</v>
      </c>
      <c r="U1368" s="3" t="s">
        <v>39</v>
      </c>
      <c r="V1368" s="3">
        <v>435.39</v>
      </c>
      <c r="W1368" s="3">
        <v>185.04</v>
      </c>
      <c r="X1368" s="3">
        <v>175.24</v>
      </c>
      <c r="Y1368" s="3">
        <v>75.11</v>
      </c>
    </row>
    <row r="1369" spans="1:25" ht="60.75" x14ac:dyDescent="0.25">
      <c r="A1369" s="3" t="s">
        <v>26</v>
      </c>
      <c r="B1369" s="3" t="s">
        <v>27</v>
      </c>
      <c r="C1369" s="3" t="s">
        <v>28</v>
      </c>
      <c r="D1369" s="3" t="s">
        <v>50</v>
      </c>
      <c r="E1369" s="3" t="s">
        <v>60</v>
      </c>
      <c r="F1369" s="3" t="s">
        <v>52</v>
      </c>
      <c r="G1369" s="3" t="s">
        <v>60</v>
      </c>
      <c r="H1369" s="3" t="s">
        <v>45</v>
      </c>
      <c r="I1369" s="3">
        <v>2025</v>
      </c>
      <c r="J1369" s="3" t="str">
        <f>CONCATENATE("54820094586")</f>
        <v>54820094586</v>
      </c>
      <c r="K1369" s="3" t="s">
        <v>33</v>
      </c>
      <c r="L1369" s="3"/>
      <c r="M1369" s="3" t="s">
        <v>131</v>
      </c>
      <c r="N1369" s="3" t="str">
        <f>CONCATENATE("VNNDNC58R05I654R")</f>
        <v>VNNDNC58R05I654R</v>
      </c>
      <c r="O1369" s="3" t="s">
        <v>1500</v>
      </c>
      <c r="P1369" s="3" t="s">
        <v>36</v>
      </c>
      <c r="Q1369" s="3"/>
      <c r="R1369" s="4">
        <v>45996</v>
      </c>
      <c r="S1369" s="3" t="s">
        <v>37</v>
      </c>
      <c r="T1369" s="3" t="s">
        <v>38</v>
      </c>
      <c r="U1369" s="3" t="s">
        <v>39</v>
      </c>
      <c r="V1369" s="3">
        <v>139.38999999999999</v>
      </c>
      <c r="W1369" s="3">
        <v>59.24</v>
      </c>
      <c r="X1369" s="3">
        <v>56.1</v>
      </c>
      <c r="Y1369" s="3">
        <v>24.05</v>
      </c>
    </row>
    <row r="1370" spans="1:25" ht="60.75" x14ac:dyDescent="0.25">
      <c r="A1370" s="3" t="s">
        <v>26</v>
      </c>
      <c r="B1370" s="3" t="s">
        <v>27</v>
      </c>
      <c r="C1370" s="3" t="s">
        <v>28</v>
      </c>
      <c r="D1370" s="3" t="s">
        <v>50</v>
      </c>
      <c r="E1370" s="3" t="s">
        <v>173</v>
      </c>
      <c r="F1370" s="3" t="s">
        <v>52</v>
      </c>
      <c r="G1370" s="3" t="s">
        <v>173</v>
      </c>
      <c r="H1370" s="3" t="s">
        <v>45</v>
      </c>
      <c r="I1370" s="3">
        <v>2025</v>
      </c>
      <c r="J1370" s="3" t="str">
        <f>CONCATENATE("54820120217")</f>
        <v>54820120217</v>
      </c>
      <c r="K1370" s="3" t="s">
        <v>33</v>
      </c>
      <c r="L1370" s="3"/>
      <c r="M1370" s="3" t="s">
        <v>131</v>
      </c>
      <c r="N1370" s="3" t="str">
        <f>CONCATENATE("MLNMRC88E02I459Z")</f>
        <v>MLNMRC88E02I459Z</v>
      </c>
      <c r="O1370" s="3" t="s">
        <v>1501</v>
      </c>
      <c r="P1370" s="3" t="s">
        <v>36</v>
      </c>
      <c r="Q1370" s="3"/>
      <c r="R1370" s="4">
        <v>45996</v>
      </c>
      <c r="S1370" s="3" t="s">
        <v>37</v>
      </c>
      <c r="T1370" s="3" t="s">
        <v>38</v>
      </c>
      <c r="U1370" s="3" t="s">
        <v>39</v>
      </c>
      <c r="V1370" s="3">
        <v>78.27</v>
      </c>
      <c r="W1370" s="3">
        <v>33.26</v>
      </c>
      <c r="X1370" s="3">
        <v>31.5</v>
      </c>
      <c r="Y1370" s="3">
        <v>13.51</v>
      </c>
    </row>
    <row r="1371" spans="1:25" ht="36.75" x14ac:dyDescent="0.25">
      <c r="A1371" s="3" t="s">
        <v>26</v>
      </c>
      <c r="B1371" s="3" t="s">
        <v>27</v>
      </c>
      <c r="C1371" s="3" t="s">
        <v>28</v>
      </c>
      <c r="D1371" s="3" t="s">
        <v>40</v>
      </c>
      <c r="E1371" s="3" t="s">
        <v>218</v>
      </c>
      <c r="F1371" s="3" t="s">
        <v>42</v>
      </c>
      <c r="G1371" s="3" t="s">
        <v>218</v>
      </c>
      <c r="H1371" s="3" t="s">
        <v>45</v>
      </c>
      <c r="I1371" s="3">
        <v>2025</v>
      </c>
      <c r="J1371" s="3" t="str">
        <f>CONCATENATE("54820087739")</f>
        <v>54820087739</v>
      </c>
      <c r="K1371" s="3" t="s">
        <v>33</v>
      </c>
      <c r="L1371" s="3"/>
      <c r="M1371" s="3" t="s">
        <v>131</v>
      </c>
      <c r="N1371" s="3" t="str">
        <f>CONCATENATE("02659610410")</f>
        <v>02659610410</v>
      </c>
      <c r="O1371" s="3" t="s">
        <v>1502</v>
      </c>
      <c r="P1371" s="3" t="s">
        <v>36</v>
      </c>
      <c r="Q1371" s="3"/>
      <c r="R1371" s="4">
        <v>45996</v>
      </c>
      <c r="S1371" s="3" t="s">
        <v>37</v>
      </c>
      <c r="T1371" s="3" t="s">
        <v>38</v>
      </c>
      <c r="U1371" s="3" t="s">
        <v>39</v>
      </c>
      <c r="V1371" s="3">
        <v>334.53</v>
      </c>
      <c r="W1371" s="3">
        <v>142.18</v>
      </c>
      <c r="X1371" s="3">
        <v>134.65</v>
      </c>
      <c r="Y1371" s="3">
        <v>57.7</v>
      </c>
    </row>
    <row r="1372" spans="1:25" ht="60.75" x14ac:dyDescent="0.25">
      <c r="A1372" s="3" t="s">
        <v>26</v>
      </c>
      <c r="B1372" s="3" t="s">
        <v>27</v>
      </c>
      <c r="C1372" s="3" t="s">
        <v>28</v>
      </c>
      <c r="D1372" s="3" t="s">
        <v>29</v>
      </c>
      <c r="E1372" s="3" t="s">
        <v>56</v>
      </c>
      <c r="F1372" s="3" t="s">
        <v>31</v>
      </c>
      <c r="G1372" s="3" t="s">
        <v>56</v>
      </c>
      <c r="H1372" s="3" t="s">
        <v>32</v>
      </c>
      <c r="I1372" s="3">
        <v>2025</v>
      </c>
      <c r="J1372" s="3" t="str">
        <f>CONCATENATE("54820170220")</f>
        <v>54820170220</v>
      </c>
      <c r="K1372" s="3" t="s">
        <v>33</v>
      </c>
      <c r="L1372" s="3"/>
      <c r="M1372" s="3" t="s">
        <v>131</v>
      </c>
      <c r="N1372" s="3" t="str">
        <f>CONCATENATE("MRCFBA70M30F051R")</f>
        <v>MRCFBA70M30F051R</v>
      </c>
      <c r="O1372" s="3" t="s">
        <v>1503</v>
      </c>
      <c r="P1372" s="3" t="s">
        <v>36</v>
      </c>
      <c r="Q1372" s="3"/>
      <c r="R1372" s="4">
        <v>45996</v>
      </c>
      <c r="S1372" s="3" t="s">
        <v>37</v>
      </c>
      <c r="T1372" s="3" t="s">
        <v>38</v>
      </c>
      <c r="U1372" s="3" t="s">
        <v>39</v>
      </c>
      <c r="V1372" s="3">
        <v>344.03</v>
      </c>
      <c r="W1372" s="3">
        <v>146.21</v>
      </c>
      <c r="X1372" s="3">
        <v>138.47</v>
      </c>
      <c r="Y1372" s="3">
        <v>59.35</v>
      </c>
    </row>
    <row r="1373" spans="1:25" ht="60.75" x14ac:dyDescent="0.25">
      <c r="A1373" s="3" t="s">
        <v>26</v>
      </c>
      <c r="B1373" s="3" t="s">
        <v>27</v>
      </c>
      <c r="C1373" s="3" t="s">
        <v>28</v>
      </c>
      <c r="D1373" s="3" t="s">
        <v>29</v>
      </c>
      <c r="E1373" s="3" t="s">
        <v>186</v>
      </c>
      <c r="F1373" s="3" t="s">
        <v>31</v>
      </c>
      <c r="G1373" s="3" t="s">
        <v>186</v>
      </c>
      <c r="H1373" s="3" t="s">
        <v>45</v>
      </c>
      <c r="I1373" s="3">
        <v>2025</v>
      </c>
      <c r="J1373" s="3" t="str">
        <f>CONCATENATE("54820153689")</f>
        <v>54820153689</v>
      </c>
      <c r="K1373" s="3" t="s">
        <v>33</v>
      </c>
      <c r="L1373" s="3"/>
      <c r="M1373" s="3" t="s">
        <v>131</v>
      </c>
      <c r="N1373" s="3" t="str">
        <f>CONCATENATE("MTTMRA57T19F524A")</f>
        <v>MTTMRA57T19F524A</v>
      </c>
      <c r="O1373" s="3" t="s">
        <v>1504</v>
      </c>
      <c r="P1373" s="3" t="s">
        <v>36</v>
      </c>
      <c r="Q1373" s="3"/>
      <c r="R1373" s="4">
        <v>45996</v>
      </c>
      <c r="S1373" s="3" t="s">
        <v>37</v>
      </c>
      <c r="T1373" s="3" t="s">
        <v>38</v>
      </c>
      <c r="U1373" s="3" t="s">
        <v>39</v>
      </c>
      <c r="V1373" s="5">
        <v>1460.5</v>
      </c>
      <c r="W1373" s="3">
        <v>620.71</v>
      </c>
      <c r="X1373" s="3">
        <v>587.85</v>
      </c>
      <c r="Y1373" s="3">
        <v>251.94</v>
      </c>
    </row>
    <row r="1374" spans="1:25" ht="60.75" x14ac:dyDescent="0.25">
      <c r="A1374" s="3" t="s">
        <v>26</v>
      </c>
      <c r="B1374" s="3" t="s">
        <v>27</v>
      </c>
      <c r="C1374" s="3" t="s">
        <v>28</v>
      </c>
      <c r="D1374" s="3" t="s">
        <v>50</v>
      </c>
      <c r="E1374" s="3" t="s">
        <v>147</v>
      </c>
      <c r="F1374" s="3" t="s">
        <v>52</v>
      </c>
      <c r="G1374" s="3" t="s">
        <v>147</v>
      </c>
      <c r="H1374" s="3" t="s">
        <v>45</v>
      </c>
      <c r="I1374" s="3">
        <v>2025</v>
      </c>
      <c r="J1374" s="3" t="str">
        <f>CONCATENATE("54820085873")</f>
        <v>54820085873</v>
      </c>
      <c r="K1374" s="3" t="s">
        <v>33</v>
      </c>
      <c r="L1374" s="3"/>
      <c r="M1374" s="3" t="s">
        <v>131</v>
      </c>
      <c r="N1374" s="3" t="str">
        <f>CONCATENATE("RGGSLL46T45C830D")</f>
        <v>RGGSLL46T45C830D</v>
      </c>
      <c r="O1374" s="3" t="s">
        <v>1505</v>
      </c>
      <c r="P1374" s="3" t="s">
        <v>36</v>
      </c>
      <c r="Q1374" s="3"/>
      <c r="R1374" s="4">
        <v>45996</v>
      </c>
      <c r="S1374" s="3" t="s">
        <v>37</v>
      </c>
      <c r="T1374" s="3" t="s">
        <v>38</v>
      </c>
      <c r="U1374" s="3" t="s">
        <v>39</v>
      </c>
      <c r="V1374" s="3">
        <v>172.04</v>
      </c>
      <c r="W1374" s="3">
        <v>73.12</v>
      </c>
      <c r="X1374" s="3">
        <v>69.25</v>
      </c>
      <c r="Y1374" s="3">
        <v>29.67</v>
      </c>
    </row>
    <row r="1375" spans="1:25" ht="60.75" x14ac:dyDescent="0.25">
      <c r="A1375" s="3" t="s">
        <v>26</v>
      </c>
      <c r="B1375" s="3" t="s">
        <v>27</v>
      </c>
      <c r="C1375" s="3" t="s">
        <v>28</v>
      </c>
      <c r="D1375" s="3" t="s">
        <v>29</v>
      </c>
      <c r="E1375" s="3" t="s">
        <v>47</v>
      </c>
      <c r="F1375" s="3" t="s">
        <v>31</v>
      </c>
      <c r="G1375" s="3" t="s">
        <v>47</v>
      </c>
      <c r="H1375" s="3" t="s">
        <v>48</v>
      </c>
      <c r="I1375" s="3">
        <v>2025</v>
      </c>
      <c r="J1375" s="3" t="str">
        <f>CONCATENATE("54820184858")</f>
        <v>54820184858</v>
      </c>
      <c r="K1375" s="3" t="s">
        <v>33</v>
      </c>
      <c r="L1375" s="3"/>
      <c r="M1375" s="3" t="s">
        <v>131</v>
      </c>
      <c r="N1375" s="3" t="str">
        <f>CONCATENATE("BTTMNL82A30D451P")</f>
        <v>BTTMNL82A30D451P</v>
      </c>
      <c r="O1375" s="3" t="s">
        <v>1506</v>
      </c>
      <c r="P1375" s="3" t="s">
        <v>36</v>
      </c>
      <c r="Q1375" s="3"/>
      <c r="R1375" s="4">
        <v>45996</v>
      </c>
      <c r="S1375" s="3" t="s">
        <v>37</v>
      </c>
      <c r="T1375" s="3" t="s">
        <v>38</v>
      </c>
      <c r="U1375" s="3" t="s">
        <v>39</v>
      </c>
      <c r="V1375" s="3">
        <v>907.23</v>
      </c>
      <c r="W1375" s="3">
        <v>385.57</v>
      </c>
      <c r="X1375" s="3">
        <v>365.16</v>
      </c>
      <c r="Y1375" s="3">
        <v>156.5</v>
      </c>
    </row>
    <row r="1376" spans="1:25" ht="36.75" x14ac:dyDescent="0.25">
      <c r="A1376" s="3" t="s">
        <v>26</v>
      </c>
      <c r="B1376" s="3" t="s">
        <v>27</v>
      </c>
      <c r="C1376" s="3" t="s">
        <v>28</v>
      </c>
      <c r="D1376" s="3" t="s">
        <v>29</v>
      </c>
      <c r="E1376" s="3" t="s">
        <v>136</v>
      </c>
      <c r="F1376" s="3" t="s">
        <v>31</v>
      </c>
      <c r="G1376" s="3" t="s">
        <v>136</v>
      </c>
      <c r="H1376" s="3" t="s">
        <v>48</v>
      </c>
      <c r="I1376" s="3">
        <v>2025</v>
      </c>
      <c r="J1376" s="3" t="str">
        <f>CONCATENATE("54820170907")</f>
        <v>54820170907</v>
      </c>
      <c r="K1376" s="3" t="s">
        <v>33</v>
      </c>
      <c r="L1376" s="3"/>
      <c r="M1376" s="3" t="s">
        <v>131</v>
      </c>
      <c r="N1376" s="3" t="str">
        <f>CONCATENATE("02489790424")</f>
        <v>02489790424</v>
      </c>
      <c r="O1376" s="3" t="s">
        <v>1507</v>
      </c>
      <c r="P1376" s="3" t="s">
        <v>36</v>
      </c>
      <c r="Q1376" s="3"/>
      <c r="R1376" s="4">
        <v>45996</v>
      </c>
      <c r="S1376" s="3" t="s">
        <v>37</v>
      </c>
      <c r="T1376" s="3" t="s">
        <v>38</v>
      </c>
      <c r="U1376" s="3" t="s">
        <v>39</v>
      </c>
      <c r="V1376" s="5">
        <v>1114.49</v>
      </c>
      <c r="W1376" s="3">
        <v>473.66</v>
      </c>
      <c r="X1376" s="3">
        <v>448.58</v>
      </c>
      <c r="Y1376" s="3">
        <v>192.25</v>
      </c>
    </row>
    <row r="1377" spans="1:25" ht="36.75" x14ac:dyDescent="0.25">
      <c r="A1377" s="3" t="s">
        <v>26</v>
      </c>
      <c r="B1377" s="3" t="s">
        <v>27</v>
      </c>
      <c r="C1377" s="3" t="s">
        <v>28</v>
      </c>
      <c r="D1377" s="3" t="s">
        <v>40</v>
      </c>
      <c r="E1377" s="3" t="s">
        <v>99</v>
      </c>
      <c r="F1377" s="3" t="s">
        <v>42</v>
      </c>
      <c r="G1377" s="3" t="s">
        <v>99</v>
      </c>
      <c r="H1377" s="3" t="s">
        <v>32</v>
      </c>
      <c r="I1377" s="3">
        <v>2025</v>
      </c>
      <c r="J1377" s="3" t="str">
        <f>CONCATENATE("54820153572")</f>
        <v>54820153572</v>
      </c>
      <c r="K1377" s="3" t="s">
        <v>33</v>
      </c>
      <c r="L1377" s="3"/>
      <c r="M1377" s="3" t="s">
        <v>131</v>
      </c>
      <c r="N1377" s="3" t="str">
        <f>CONCATENATE("01752710432")</f>
        <v>01752710432</v>
      </c>
      <c r="O1377" s="3" t="s">
        <v>1508</v>
      </c>
      <c r="P1377" s="3" t="s">
        <v>36</v>
      </c>
      <c r="Q1377" s="3"/>
      <c r="R1377" s="4">
        <v>45996</v>
      </c>
      <c r="S1377" s="3" t="s">
        <v>37</v>
      </c>
      <c r="T1377" s="3" t="s">
        <v>38</v>
      </c>
      <c r="U1377" s="3" t="s">
        <v>39</v>
      </c>
      <c r="V1377" s="3">
        <v>97.6</v>
      </c>
      <c r="W1377" s="3">
        <v>41.48</v>
      </c>
      <c r="X1377" s="3">
        <v>39.28</v>
      </c>
      <c r="Y1377" s="3">
        <v>16.84</v>
      </c>
    </row>
    <row r="1378" spans="1:25" ht="72.75" x14ac:dyDescent="0.25">
      <c r="A1378" s="3" t="s">
        <v>26</v>
      </c>
      <c r="B1378" s="3" t="s">
        <v>27</v>
      </c>
      <c r="C1378" s="3" t="s">
        <v>28</v>
      </c>
      <c r="D1378" s="3" t="s">
        <v>29</v>
      </c>
      <c r="E1378" s="3" t="s">
        <v>56</v>
      </c>
      <c r="F1378" s="3" t="s">
        <v>31</v>
      </c>
      <c r="G1378" s="3" t="s">
        <v>56</v>
      </c>
      <c r="H1378" s="3" t="s">
        <v>32</v>
      </c>
      <c r="I1378" s="3">
        <v>2025</v>
      </c>
      <c r="J1378" s="3" t="str">
        <f>CONCATENATE("54820169412")</f>
        <v>54820169412</v>
      </c>
      <c r="K1378" s="3" t="s">
        <v>33</v>
      </c>
      <c r="L1378" s="3"/>
      <c r="M1378" s="3" t="s">
        <v>131</v>
      </c>
      <c r="N1378" s="3" t="str">
        <f>CONCATENATE("CSNCSR41B28B474B")</f>
        <v>CSNCSR41B28B474B</v>
      </c>
      <c r="O1378" s="3" t="s">
        <v>1509</v>
      </c>
      <c r="P1378" s="3" t="s">
        <v>36</v>
      </c>
      <c r="Q1378" s="3"/>
      <c r="R1378" s="4">
        <v>45996</v>
      </c>
      <c r="S1378" s="3" t="s">
        <v>37</v>
      </c>
      <c r="T1378" s="3" t="s">
        <v>38</v>
      </c>
      <c r="U1378" s="3" t="s">
        <v>39</v>
      </c>
      <c r="V1378" s="3">
        <v>235.96</v>
      </c>
      <c r="W1378" s="3">
        <v>100.28</v>
      </c>
      <c r="X1378" s="3">
        <v>94.97</v>
      </c>
      <c r="Y1378" s="3">
        <v>40.71</v>
      </c>
    </row>
    <row r="1379" spans="1:25" ht="60.75" x14ac:dyDescent="0.25">
      <c r="A1379" s="3" t="s">
        <v>26</v>
      </c>
      <c r="B1379" s="3" t="s">
        <v>27</v>
      </c>
      <c r="C1379" s="3" t="s">
        <v>28</v>
      </c>
      <c r="D1379" s="3" t="s">
        <v>50</v>
      </c>
      <c r="E1379" s="3" t="s">
        <v>51</v>
      </c>
      <c r="F1379" s="3" t="s">
        <v>52</v>
      </c>
      <c r="G1379" s="3" t="s">
        <v>51</v>
      </c>
      <c r="H1379" s="3" t="s">
        <v>48</v>
      </c>
      <c r="I1379" s="3">
        <v>2025</v>
      </c>
      <c r="J1379" s="3" t="str">
        <f>CONCATENATE("54820173620")</f>
        <v>54820173620</v>
      </c>
      <c r="K1379" s="3" t="s">
        <v>33</v>
      </c>
      <c r="L1379" s="3"/>
      <c r="M1379" s="3" t="s">
        <v>131</v>
      </c>
      <c r="N1379" s="3" t="str">
        <f>CONCATENATE("FZLFPP96C19H501J")</f>
        <v>FZLFPP96C19H501J</v>
      </c>
      <c r="O1379" s="3" t="s">
        <v>1510</v>
      </c>
      <c r="P1379" s="3" t="s">
        <v>36</v>
      </c>
      <c r="Q1379" s="3"/>
      <c r="R1379" s="4">
        <v>45996</v>
      </c>
      <c r="S1379" s="3" t="s">
        <v>37</v>
      </c>
      <c r="T1379" s="3" t="s">
        <v>38</v>
      </c>
      <c r="U1379" s="3" t="s">
        <v>39</v>
      </c>
      <c r="V1379" s="3">
        <v>238.51</v>
      </c>
      <c r="W1379" s="3">
        <v>101.37</v>
      </c>
      <c r="X1379" s="3">
        <v>96</v>
      </c>
      <c r="Y1379" s="3">
        <v>41.14</v>
      </c>
    </row>
    <row r="1380" spans="1:25" ht="60.75" x14ac:dyDescent="0.25">
      <c r="A1380" s="3" t="s">
        <v>26</v>
      </c>
      <c r="B1380" s="3" t="s">
        <v>27</v>
      </c>
      <c r="C1380" s="3" t="s">
        <v>28</v>
      </c>
      <c r="D1380" s="3" t="s">
        <v>104</v>
      </c>
      <c r="E1380" s="3" t="s">
        <v>661</v>
      </c>
      <c r="F1380" s="3" t="s">
        <v>104</v>
      </c>
      <c r="G1380" s="3" t="s">
        <v>661</v>
      </c>
      <c r="H1380" s="3" t="s">
        <v>45</v>
      </c>
      <c r="I1380" s="3">
        <v>2025</v>
      </c>
      <c r="J1380" s="3" t="str">
        <f>CONCATENATE("54820168729")</f>
        <v>54820168729</v>
      </c>
      <c r="K1380" s="3" t="s">
        <v>33</v>
      </c>
      <c r="L1380" s="3"/>
      <c r="M1380" s="3" t="s">
        <v>131</v>
      </c>
      <c r="N1380" s="3" t="str">
        <f>CONCATENATE("PTRSVN61S01D749O")</f>
        <v>PTRSVN61S01D749O</v>
      </c>
      <c r="O1380" s="3" t="s">
        <v>1511</v>
      </c>
      <c r="P1380" s="3" t="s">
        <v>36</v>
      </c>
      <c r="Q1380" s="3"/>
      <c r="R1380" s="4">
        <v>45996</v>
      </c>
      <c r="S1380" s="3" t="s">
        <v>37</v>
      </c>
      <c r="T1380" s="3" t="s">
        <v>38</v>
      </c>
      <c r="U1380" s="3" t="s">
        <v>39</v>
      </c>
      <c r="V1380" s="3">
        <v>96.31</v>
      </c>
      <c r="W1380" s="3">
        <v>40.93</v>
      </c>
      <c r="X1380" s="3">
        <v>38.76</v>
      </c>
      <c r="Y1380" s="3">
        <v>16.62</v>
      </c>
    </row>
    <row r="1381" spans="1:25" ht="72.75" x14ac:dyDescent="0.25">
      <c r="A1381" s="3" t="s">
        <v>26</v>
      </c>
      <c r="B1381" s="3" t="s">
        <v>27</v>
      </c>
      <c r="C1381" s="3" t="s">
        <v>28</v>
      </c>
      <c r="D1381" s="3" t="s">
        <v>104</v>
      </c>
      <c r="E1381" s="3" t="s">
        <v>141</v>
      </c>
      <c r="F1381" s="3" t="s">
        <v>104</v>
      </c>
      <c r="G1381" s="3" t="s">
        <v>141</v>
      </c>
      <c r="H1381" s="3" t="s">
        <v>96</v>
      </c>
      <c r="I1381" s="3">
        <v>2025</v>
      </c>
      <c r="J1381" s="3" t="str">
        <f>CONCATENATE("54820132774")</f>
        <v>54820132774</v>
      </c>
      <c r="K1381" s="3" t="s">
        <v>33</v>
      </c>
      <c r="L1381" s="3"/>
      <c r="M1381" s="3" t="s">
        <v>131</v>
      </c>
      <c r="N1381" s="3" t="str">
        <f>CONCATENATE("RMNRND38E30C935R")</f>
        <v>RMNRND38E30C935R</v>
      </c>
      <c r="O1381" s="3" t="s">
        <v>1512</v>
      </c>
      <c r="P1381" s="3" t="s">
        <v>36</v>
      </c>
      <c r="Q1381" s="3"/>
      <c r="R1381" s="4">
        <v>45996</v>
      </c>
      <c r="S1381" s="3" t="s">
        <v>37</v>
      </c>
      <c r="T1381" s="3" t="s">
        <v>38</v>
      </c>
      <c r="U1381" s="3" t="s">
        <v>39</v>
      </c>
      <c r="V1381" s="3">
        <v>72.31</v>
      </c>
      <c r="W1381" s="3">
        <v>30.73</v>
      </c>
      <c r="X1381" s="3">
        <v>29.1</v>
      </c>
      <c r="Y1381" s="3">
        <v>12.48</v>
      </c>
    </row>
    <row r="1382" spans="1:25" ht="36.75" x14ac:dyDescent="0.25">
      <c r="A1382" s="3" t="s">
        <v>26</v>
      </c>
      <c r="B1382" s="3" t="s">
        <v>27</v>
      </c>
      <c r="C1382" s="3" t="s">
        <v>28</v>
      </c>
      <c r="D1382" s="3" t="s">
        <v>50</v>
      </c>
      <c r="E1382" s="3" t="s">
        <v>147</v>
      </c>
      <c r="F1382" s="3" t="s">
        <v>52</v>
      </c>
      <c r="G1382" s="3" t="s">
        <v>147</v>
      </c>
      <c r="H1382" s="3" t="s">
        <v>45</v>
      </c>
      <c r="I1382" s="3">
        <v>2025</v>
      </c>
      <c r="J1382" s="3" t="str">
        <f>CONCATENATE("54820099486")</f>
        <v>54820099486</v>
      </c>
      <c r="K1382" s="3" t="s">
        <v>33</v>
      </c>
      <c r="L1382" s="3"/>
      <c r="M1382" s="3" t="s">
        <v>131</v>
      </c>
      <c r="N1382" s="3" t="str">
        <f>CONCATENATE("02496910411")</f>
        <v>02496910411</v>
      </c>
      <c r="O1382" s="3" t="s">
        <v>1513</v>
      </c>
      <c r="P1382" s="3" t="s">
        <v>36</v>
      </c>
      <c r="Q1382" s="3"/>
      <c r="R1382" s="4">
        <v>45996</v>
      </c>
      <c r="S1382" s="3" t="s">
        <v>37</v>
      </c>
      <c r="T1382" s="3" t="s">
        <v>38</v>
      </c>
      <c r="U1382" s="3" t="s">
        <v>39</v>
      </c>
      <c r="V1382" s="5">
        <v>2606.66</v>
      </c>
      <c r="W1382" s="5">
        <v>1107.83</v>
      </c>
      <c r="X1382" s="5">
        <v>1049.18</v>
      </c>
      <c r="Y1382" s="3">
        <v>449.65</v>
      </c>
    </row>
    <row r="1383" spans="1:25" ht="72.75" x14ac:dyDescent="0.25">
      <c r="A1383" s="3" t="s">
        <v>26</v>
      </c>
      <c r="B1383" s="3" t="s">
        <v>27</v>
      </c>
      <c r="C1383" s="3" t="s">
        <v>28</v>
      </c>
      <c r="D1383" s="3" t="s">
        <v>29</v>
      </c>
      <c r="E1383" s="3" t="s">
        <v>101</v>
      </c>
      <c r="F1383" s="3" t="s">
        <v>31</v>
      </c>
      <c r="G1383" s="3" t="s">
        <v>101</v>
      </c>
      <c r="H1383" s="3" t="s">
        <v>32</v>
      </c>
      <c r="I1383" s="3">
        <v>2025</v>
      </c>
      <c r="J1383" s="3" t="str">
        <f>CONCATENATE("54820081542")</f>
        <v>54820081542</v>
      </c>
      <c r="K1383" s="3" t="s">
        <v>33</v>
      </c>
      <c r="L1383" s="3"/>
      <c r="M1383" s="3" t="s">
        <v>131</v>
      </c>
      <c r="N1383" s="3" t="str">
        <f>CONCATENATE("DBGMRA58A64B398M")</f>
        <v>DBGMRA58A64B398M</v>
      </c>
      <c r="O1383" s="3" t="s">
        <v>1514</v>
      </c>
      <c r="P1383" s="3" t="s">
        <v>36</v>
      </c>
      <c r="Q1383" s="3"/>
      <c r="R1383" s="4">
        <v>45996</v>
      </c>
      <c r="S1383" s="3" t="s">
        <v>37</v>
      </c>
      <c r="T1383" s="3" t="s">
        <v>38</v>
      </c>
      <c r="U1383" s="3" t="s">
        <v>39</v>
      </c>
      <c r="V1383" s="3">
        <v>180.57</v>
      </c>
      <c r="W1383" s="3">
        <v>76.739999999999995</v>
      </c>
      <c r="X1383" s="3">
        <v>72.680000000000007</v>
      </c>
      <c r="Y1383" s="3">
        <v>31.15</v>
      </c>
    </row>
    <row r="1384" spans="1:25" ht="60.75" x14ac:dyDescent="0.25">
      <c r="A1384" s="3" t="s">
        <v>26</v>
      </c>
      <c r="B1384" s="3" t="s">
        <v>27</v>
      </c>
      <c r="C1384" s="3" t="s">
        <v>28</v>
      </c>
      <c r="D1384" s="3" t="s">
        <v>29</v>
      </c>
      <c r="E1384" s="3" t="s">
        <v>228</v>
      </c>
      <c r="F1384" s="3" t="s">
        <v>31</v>
      </c>
      <c r="G1384" s="3" t="s">
        <v>228</v>
      </c>
      <c r="H1384" s="3" t="s">
        <v>45</v>
      </c>
      <c r="I1384" s="3">
        <v>2025</v>
      </c>
      <c r="J1384" s="3" t="str">
        <f>CONCATENATE("54820081617")</f>
        <v>54820081617</v>
      </c>
      <c r="K1384" s="3" t="s">
        <v>33</v>
      </c>
      <c r="L1384" s="3"/>
      <c r="M1384" s="3" t="s">
        <v>131</v>
      </c>
      <c r="N1384" s="3" t="str">
        <f>CONCATENATE("GRSGPP45M14D749Z")</f>
        <v>GRSGPP45M14D749Z</v>
      </c>
      <c r="O1384" s="3" t="s">
        <v>1515</v>
      </c>
      <c r="P1384" s="3" t="s">
        <v>36</v>
      </c>
      <c r="Q1384" s="3"/>
      <c r="R1384" s="4">
        <v>45996</v>
      </c>
      <c r="S1384" s="3" t="s">
        <v>37</v>
      </c>
      <c r="T1384" s="3" t="s">
        <v>38</v>
      </c>
      <c r="U1384" s="3" t="s">
        <v>39</v>
      </c>
      <c r="V1384" s="3">
        <v>277.92</v>
      </c>
      <c r="W1384" s="3">
        <v>118.12</v>
      </c>
      <c r="X1384" s="3">
        <v>111.86</v>
      </c>
      <c r="Y1384" s="3">
        <v>47.94</v>
      </c>
    </row>
    <row r="1385" spans="1:25" ht="60.75" x14ac:dyDescent="0.25">
      <c r="A1385" s="3" t="s">
        <v>26</v>
      </c>
      <c r="B1385" s="3" t="s">
        <v>27</v>
      </c>
      <c r="C1385" s="3" t="s">
        <v>28</v>
      </c>
      <c r="D1385" s="3" t="s">
        <v>50</v>
      </c>
      <c r="E1385" s="3" t="s">
        <v>147</v>
      </c>
      <c r="F1385" s="3" t="s">
        <v>52</v>
      </c>
      <c r="G1385" s="3" t="s">
        <v>147</v>
      </c>
      <c r="H1385" s="3" t="s">
        <v>45</v>
      </c>
      <c r="I1385" s="3">
        <v>2025</v>
      </c>
      <c r="J1385" s="3" t="str">
        <f>CONCATENATE("54820151527")</f>
        <v>54820151527</v>
      </c>
      <c r="K1385" s="3" t="s">
        <v>33</v>
      </c>
      <c r="L1385" s="3"/>
      <c r="M1385" s="3" t="s">
        <v>131</v>
      </c>
      <c r="N1385" s="3" t="str">
        <f>CONCATENATE("LSSMHL81H19L500C")</f>
        <v>LSSMHL81H19L500C</v>
      </c>
      <c r="O1385" s="3" t="s">
        <v>1516</v>
      </c>
      <c r="P1385" s="3" t="s">
        <v>36</v>
      </c>
      <c r="Q1385" s="3"/>
      <c r="R1385" s="4">
        <v>45996</v>
      </c>
      <c r="S1385" s="3" t="s">
        <v>37</v>
      </c>
      <c r="T1385" s="3" t="s">
        <v>38</v>
      </c>
      <c r="U1385" s="3" t="s">
        <v>39</v>
      </c>
      <c r="V1385" s="3">
        <v>170.84</v>
      </c>
      <c r="W1385" s="3">
        <v>72.61</v>
      </c>
      <c r="X1385" s="3">
        <v>68.760000000000005</v>
      </c>
      <c r="Y1385" s="3">
        <v>29.47</v>
      </c>
    </row>
    <row r="1386" spans="1:25" ht="36.75" x14ac:dyDescent="0.25">
      <c r="A1386" s="3" t="s">
        <v>26</v>
      </c>
      <c r="B1386" s="3" t="s">
        <v>27</v>
      </c>
      <c r="C1386" s="3" t="s">
        <v>28</v>
      </c>
      <c r="D1386" s="3" t="s">
        <v>29</v>
      </c>
      <c r="E1386" s="3" t="s">
        <v>56</v>
      </c>
      <c r="F1386" s="3" t="s">
        <v>31</v>
      </c>
      <c r="G1386" s="3" t="s">
        <v>56</v>
      </c>
      <c r="H1386" s="3" t="s">
        <v>32</v>
      </c>
      <c r="I1386" s="3">
        <v>2025</v>
      </c>
      <c r="J1386" s="3" t="str">
        <f>CONCATENATE("54820139548")</f>
        <v>54820139548</v>
      </c>
      <c r="K1386" s="3" t="s">
        <v>33</v>
      </c>
      <c r="L1386" s="3"/>
      <c r="M1386" s="3" t="s">
        <v>131</v>
      </c>
      <c r="N1386" s="3" t="str">
        <f>CONCATENATE("01588910438")</f>
        <v>01588910438</v>
      </c>
      <c r="O1386" s="3" t="s">
        <v>1517</v>
      </c>
      <c r="P1386" s="3" t="s">
        <v>36</v>
      </c>
      <c r="Q1386" s="3"/>
      <c r="R1386" s="4">
        <v>45996</v>
      </c>
      <c r="S1386" s="3" t="s">
        <v>37</v>
      </c>
      <c r="T1386" s="3" t="s">
        <v>38</v>
      </c>
      <c r="U1386" s="3" t="s">
        <v>39</v>
      </c>
      <c r="V1386" s="3">
        <v>451.32</v>
      </c>
      <c r="W1386" s="3">
        <v>191.81</v>
      </c>
      <c r="X1386" s="3">
        <v>181.66</v>
      </c>
      <c r="Y1386" s="3">
        <v>77.849999999999994</v>
      </c>
    </row>
    <row r="1387" spans="1:25" ht="36.75" x14ac:dyDescent="0.25">
      <c r="A1387" s="3" t="s">
        <v>26</v>
      </c>
      <c r="B1387" s="3" t="s">
        <v>27</v>
      </c>
      <c r="C1387" s="3" t="s">
        <v>28</v>
      </c>
      <c r="D1387" s="3" t="s">
        <v>29</v>
      </c>
      <c r="E1387" s="3" t="s">
        <v>56</v>
      </c>
      <c r="F1387" s="3" t="s">
        <v>31</v>
      </c>
      <c r="G1387" s="3" t="s">
        <v>56</v>
      </c>
      <c r="H1387" s="3" t="s">
        <v>32</v>
      </c>
      <c r="I1387" s="3">
        <v>2025</v>
      </c>
      <c r="J1387" s="3" t="str">
        <f>CONCATENATE("54820141643")</f>
        <v>54820141643</v>
      </c>
      <c r="K1387" s="3" t="s">
        <v>33</v>
      </c>
      <c r="L1387" s="3"/>
      <c r="M1387" s="3" t="s">
        <v>131</v>
      </c>
      <c r="N1387" s="3" t="str">
        <f>CONCATENATE("01931040438")</f>
        <v>01931040438</v>
      </c>
      <c r="O1387" s="3" t="s">
        <v>1518</v>
      </c>
      <c r="P1387" s="3" t="s">
        <v>36</v>
      </c>
      <c r="Q1387" s="3"/>
      <c r="R1387" s="4">
        <v>45996</v>
      </c>
      <c r="S1387" s="3" t="s">
        <v>37</v>
      </c>
      <c r="T1387" s="3" t="s">
        <v>38</v>
      </c>
      <c r="U1387" s="3" t="s">
        <v>39</v>
      </c>
      <c r="V1387" s="3">
        <v>100.26</v>
      </c>
      <c r="W1387" s="3">
        <v>42.61</v>
      </c>
      <c r="X1387" s="3">
        <v>40.35</v>
      </c>
      <c r="Y1387" s="3">
        <v>17.3</v>
      </c>
    </row>
    <row r="1388" spans="1:25" ht="60.75" x14ac:dyDescent="0.25">
      <c r="A1388" s="3" t="s">
        <v>26</v>
      </c>
      <c r="B1388" s="3" t="s">
        <v>27</v>
      </c>
      <c r="C1388" s="3" t="s">
        <v>28</v>
      </c>
      <c r="D1388" s="3" t="s">
        <v>29</v>
      </c>
      <c r="E1388" s="3" t="s">
        <v>182</v>
      </c>
      <c r="F1388" s="3" t="s">
        <v>31</v>
      </c>
      <c r="G1388" s="3" t="s">
        <v>182</v>
      </c>
      <c r="H1388" s="3" t="s">
        <v>45</v>
      </c>
      <c r="I1388" s="3">
        <v>2025</v>
      </c>
      <c r="J1388" s="3" t="str">
        <f>CONCATENATE("54820161542")</f>
        <v>54820161542</v>
      </c>
      <c r="K1388" s="3" t="s">
        <v>33</v>
      </c>
      <c r="L1388" s="3"/>
      <c r="M1388" s="3" t="s">
        <v>131</v>
      </c>
      <c r="N1388" s="3" t="str">
        <f>CONCATENATE("TDRDNL69C17L500B")</f>
        <v>TDRDNL69C17L500B</v>
      </c>
      <c r="O1388" s="3" t="s">
        <v>1519</v>
      </c>
      <c r="P1388" s="3" t="s">
        <v>36</v>
      </c>
      <c r="Q1388" s="3"/>
      <c r="R1388" s="4">
        <v>45996</v>
      </c>
      <c r="S1388" s="3" t="s">
        <v>37</v>
      </c>
      <c r="T1388" s="3" t="s">
        <v>38</v>
      </c>
      <c r="U1388" s="3" t="s">
        <v>39</v>
      </c>
      <c r="V1388" s="3">
        <v>278.64999999999998</v>
      </c>
      <c r="W1388" s="3">
        <v>118.43</v>
      </c>
      <c r="X1388" s="3">
        <v>112.16</v>
      </c>
      <c r="Y1388" s="3">
        <v>48.06</v>
      </c>
    </row>
    <row r="1389" spans="1:25" ht="72.75" x14ac:dyDescent="0.25">
      <c r="A1389" s="3" t="s">
        <v>26</v>
      </c>
      <c r="B1389" s="3" t="s">
        <v>27</v>
      </c>
      <c r="C1389" s="3" t="s">
        <v>28</v>
      </c>
      <c r="D1389" s="3" t="s">
        <v>29</v>
      </c>
      <c r="E1389" s="3" t="s">
        <v>101</v>
      </c>
      <c r="F1389" s="3" t="s">
        <v>31</v>
      </c>
      <c r="G1389" s="3" t="s">
        <v>101</v>
      </c>
      <c r="H1389" s="3" t="s">
        <v>32</v>
      </c>
      <c r="I1389" s="3">
        <v>2025</v>
      </c>
      <c r="J1389" s="3" t="str">
        <f>CONCATENATE("54820161930")</f>
        <v>54820161930</v>
      </c>
      <c r="K1389" s="3" t="s">
        <v>33</v>
      </c>
      <c r="L1389" s="3"/>
      <c r="M1389" s="3" t="s">
        <v>131</v>
      </c>
      <c r="N1389" s="3" t="str">
        <f>CONCATENATE("PPRMSM72D04L191N")</f>
        <v>PPRMSM72D04L191N</v>
      </c>
      <c r="O1389" s="3" t="s">
        <v>1520</v>
      </c>
      <c r="P1389" s="3" t="s">
        <v>36</v>
      </c>
      <c r="Q1389" s="3"/>
      <c r="R1389" s="4">
        <v>45996</v>
      </c>
      <c r="S1389" s="3" t="s">
        <v>37</v>
      </c>
      <c r="T1389" s="3" t="s">
        <v>38</v>
      </c>
      <c r="U1389" s="3" t="s">
        <v>39</v>
      </c>
      <c r="V1389" s="3">
        <v>65.78</v>
      </c>
      <c r="W1389" s="3">
        <v>27.96</v>
      </c>
      <c r="X1389" s="3">
        <v>26.48</v>
      </c>
      <c r="Y1389" s="3">
        <v>11.34</v>
      </c>
    </row>
    <row r="1390" spans="1:25" ht="36.75" x14ac:dyDescent="0.25">
      <c r="A1390" s="3" t="s">
        <v>26</v>
      </c>
      <c r="B1390" s="3" t="s">
        <v>27</v>
      </c>
      <c r="C1390" s="3" t="s">
        <v>28</v>
      </c>
      <c r="D1390" s="3" t="s">
        <v>29</v>
      </c>
      <c r="E1390" s="3" t="s">
        <v>80</v>
      </c>
      <c r="F1390" s="3" t="s">
        <v>31</v>
      </c>
      <c r="G1390" s="3" t="s">
        <v>80</v>
      </c>
      <c r="H1390" s="3" t="s">
        <v>45</v>
      </c>
      <c r="I1390" s="3">
        <v>2025</v>
      </c>
      <c r="J1390" s="3" t="str">
        <f>CONCATENATE("54820165956")</f>
        <v>54820165956</v>
      </c>
      <c r="K1390" s="3" t="s">
        <v>33</v>
      </c>
      <c r="L1390" s="3"/>
      <c r="M1390" s="3" t="s">
        <v>131</v>
      </c>
      <c r="N1390" s="3" t="str">
        <f>CONCATENATE("02660670411")</f>
        <v>02660670411</v>
      </c>
      <c r="O1390" s="3" t="s">
        <v>195</v>
      </c>
      <c r="P1390" s="3" t="s">
        <v>36</v>
      </c>
      <c r="Q1390" s="3"/>
      <c r="R1390" s="4">
        <v>45996</v>
      </c>
      <c r="S1390" s="3" t="s">
        <v>37</v>
      </c>
      <c r="T1390" s="3" t="s">
        <v>38</v>
      </c>
      <c r="U1390" s="3" t="s">
        <v>39</v>
      </c>
      <c r="V1390" s="3">
        <v>674.71</v>
      </c>
      <c r="W1390" s="3">
        <v>286.75</v>
      </c>
      <c r="X1390" s="3">
        <v>271.57</v>
      </c>
      <c r="Y1390" s="3">
        <v>116.39</v>
      </c>
    </row>
    <row r="1391" spans="1:25" ht="60.75" x14ac:dyDescent="0.25">
      <c r="A1391" s="3" t="s">
        <v>26</v>
      </c>
      <c r="B1391" s="3" t="s">
        <v>27</v>
      </c>
      <c r="C1391" s="3" t="s">
        <v>28</v>
      </c>
      <c r="D1391" s="3" t="s">
        <v>50</v>
      </c>
      <c r="E1391" s="3" t="s">
        <v>51</v>
      </c>
      <c r="F1391" s="3" t="s">
        <v>52</v>
      </c>
      <c r="G1391" s="3" t="s">
        <v>51</v>
      </c>
      <c r="H1391" s="3" t="s">
        <v>48</v>
      </c>
      <c r="I1391" s="3">
        <v>2025</v>
      </c>
      <c r="J1391" s="3" t="str">
        <f>CONCATENATE("54820152954")</f>
        <v>54820152954</v>
      </c>
      <c r="K1391" s="3" t="s">
        <v>33</v>
      </c>
      <c r="L1391" s="3"/>
      <c r="M1391" s="3" t="s">
        <v>131</v>
      </c>
      <c r="N1391" s="3" t="str">
        <f>CONCATENATE("FRNGRL68H69I461J")</f>
        <v>FRNGRL68H69I461J</v>
      </c>
      <c r="O1391" s="3" t="s">
        <v>1521</v>
      </c>
      <c r="P1391" s="3" t="s">
        <v>36</v>
      </c>
      <c r="Q1391" s="3"/>
      <c r="R1391" s="4">
        <v>45996</v>
      </c>
      <c r="S1391" s="3" t="s">
        <v>37</v>
      </c>
      <c r="T1391" s="3" t="s">
        <v>38</v>
      </c>
      <c r="U1391" s="3" t="s">
        <v>39</v>
      </c>
      <c r="V1391" s="3">
        <v>735.87</v>
      </c>
      <c r="W1391" s="3">
        <v>312.74</v>
      </c>
      <c r="X1391" s="3">
        <v>296.19</v>
      </c>
      <c r="Y1391" s="3">
        <v>126.94</v>
      </c>
    </row>
    <row r="1392" spans="1:25" ht="36.75" x14ac:dyDescent="0.25">
      <c r="A1392" s="3" t="s">
        <v>26</v>
      </c>
      <c r="B1392" s="3" t="s">
        <v>27</v>
      </c>
      <c r="C1392" s="3" t="s">
        <v>28</v>
      </c>
      <c r="D1392" s="3" t="s">
        <v>50</v>
      </c>
      <c r="E1392" s="3" t="s">
        <v>60</v>
      </c>
      <c r="F1392" s="3" t="s">
        <v>52</v>
      </c>
      <c r="G1392" s="3" t="s">
        <v>60</v>
      </c>
      <c r="H1392" s="3" t="s">
        <v>45</v>
      </c>
      <c r="I1392" s="3">
        <v>2025</v>
      </c>
      <c r="J1392" s="3" t="str">
        <f>CONCATENATE("54820200431")</f>
        <v>54820200431</v>
      </c>
      <c r="K1392" s="3" t="s">
        <v>33</v>
      </c>
      <c r="L1392" s="3"/>
      <c r="M1392" s="3" t="s">
        <v>131</v>
      </c>
      <c r="N1392" s="3" t="str">
        <f>CONCATENATE("02283500417")</f>
        <v>02283500417</v>
      </c>
      <c r="O1392" s="3" t="s">
        <v>1522</v>
      </c>
      <c r="P1392" s="3" t="s">
        <v>36</v>
      </c>
      <c r="Q1392" s="3"/>
      <c r="R1392" s="4">
        <v>45996</v>
      </c>
      <c r="S1392" s="3" t="s">
        <v>37</v>
      </c>
      <c r="T1392" s="3" t="s">
        <v>38</v>
      </c>
      <c r="U1392" s="3" t="s">
        <v>39</v>
      </c>
      <c r="V1392" s="3">
        <v>448.78</v>
      </c>
      <c r="W1392" s="3">
        <v>190.73</v>
      </c>
      <c r="X1392" s="3">
        <v>180.63</v>
      </c>
      <c r="Y1392" s="3">
        <v>77.42</v>
      </c>
    </row>
    <row r="1393" spans="1:25" ht="60.75" x14ac:dyDescent="0.25">
      <c r="A1393" s="3" t="s">
        <v>26</v>
      </c>
      <c r="B1393" s="3" t="s">
        <v>27</v>
      </c>
      <c r="C1393" s="3" t="s">
        <v>28</v>
      </c>
      <c r="D1393" s="3" t="s">
        <v>29</v>
      </c>
      <c r="E1393" s="3" t="s">
        <v>136</v>
      </c>
      <c r="F1393" s="3" t="s">
        <v>31</v>
      </c>
      <c r="G1393" s="3" t="s">
        <v>136</v>
      </c>
      <c r="H1393" s="3" t="s">
        <v>48</v>
      </c>
      <c r="I1393" s="3">
        <v>2025</v>
      </c>
      <c r="J1393" s="3" t="str">
        <f>CONCATENATE("54820175161")</f>
        <v>54820175161</v>
      </c>
      <c r="K1393" s="3" t="s">
        <v>33</v>
      </c>
      <c r="L1393" s="3"/>
      <c r="M1393" s="3" t="s">
        <v>131</v>
      </c>
      <c r="N1393" s="3" t="str">
        <f>CONCATENATE("RCCDNI43C13I461Q")</f>
        <v>RCCDNI43C13I461Q</v>
      </c>
      <c r="O1393" s="3" t="s">
        <v>1523</v>
      </c>
      <c r="P1393" s="3" t="s">
        <v>36</v>
      </c>
      <c r="Q1393" s="3"/>
      <c r="R1393" s="4">
        <v>45996</v>
      </c>
      <c r="S1393" s="3" t="s">
        <v>37</v>
      </c>
      <c r="T1393" s="3" t="s">
        <v>38</v>
      </c>
      <c r="U1393" s="3" t="s">
        <v>39</v>
      </c>
      <c r="V1393" s="3">
        <v>55.29</v>
      </c>
      <c r="W1393" s="3">
        <v>23.5</v>
      </c>
      <c r="X1393" s="3">
        <v>22.25</v>
      </c>
      <c r="Y1393" s="3">
        <v>9.5399999999999991</v>
      </c>
    </row>
    <row r="1394" spans="1:25" ht="60.75" x14ac:dyDescent="0.25">
      <c r="A1394" s="3" t="s">
        <v>26</v>
      </c>
      <c r="B1394" s="3" t="s">
        <v>27</v>
      </c>
      <c r="C1394" s="3" t="s">
        <v>28</v>
      </c>
      <c r="D1394" s="3" t="s">
        <v>29</v>
      </c>
      <c r="E1394" s="3" t="s">
        <v>119</v>
      </c>
      <c r="F1394" s="3" t="s">
        <v>31</v>
      </c>
      <c r="G1394" s="3" t="s">
        <v>119</v>
      </c>
      <c r="H1394" s="3" t="s">
        <v>96</v>
      </c>
      <c r="I1394" s="3">
        <v>2025</v>
      </c>
      <c r="J1394" s="3" t="str">
        <f>CONCATENATE("54820014105")</f>
        <v>54820014105</v>
      </c>
      <c r="K1394" s="3" t="s">
        <v>33</v>
      </c>
      <c r="L1394" s="3"/>
      <c r="M1394" s="3" t="s">
        <v>131</v>
      </c>
      <c r="N1394" s="3" t="str">
        <f>CONCATENATE("LTRRNG31S08F509W")</f>
        <v>LTRRNG31S08F509W</v>
      </c>
      <c r="O1394" s="3" t="s">
        <v>1524</v>
      </c>
      <c r="P1394" s="3" t="s">
        <v>36</v>
      </c>
      <c r="Q1394" s="3"/>
      <c r="R1394" s="4">
        <v>45996</v>
      </c>
      <c r="S1394" s="3" t="s">
        <v>37</v>
      </c>
      <c r="T1394" s="3" t="s">
        <v>38</v>
      </c>
      <c r="U1394" s="3" t="s">
        <v>39</v>
      </c>
      <c r="V1394" s="3">
        <v>53.44</v>
      </c>
      <c r="W1394" s="3">
        <v>22.71</v>
      </c>
      <c r="X1394" s="3">
        <v>21.51</v>
      </c>
      <c r="Y1394" s="3">
        <v>9.2200000000000006</v>
      </c>
    </row>
    <row r="1395" spans="1:25" ht="60.75" x14ac:dyDescent="0.25">
      <c r="A1395" s="3" t="s">
        <v>26</v>
      </c>
      <c r="B1395" s="3" t="s">
        <v>27</v>
      </c>
      <c r="C1395" s="3" t="s">
        <v>28</v>
      </c>
      <c r="D1395" s="3" t="s">
        <v>40</v>
      </c>
      <c r="E1395" s="3" t="s">
        <v>54</v>
      </c>
      <c r="F1395" s="3" t="s">
        <v>42</v>
      </c>
      <c r="G1395" s="3" t="s">
        <v>54</v>
      </c>
      <c r="H1395" s="3" t="s">
        <v>45</v>
      </c>
      <c r="I1395" s="3">
        <v>2025</v>
      </c>
      <c r="J1395" s="3" t="str">
        <f>CONCATENATE("54820027651")</f>
        <v>54820027651</v>
      </c>
      <c r="K1395" s="3" t="s">
        <v>33</v>
      </c>
      <c r="L1395" s="3"/>
      <c r="M1395" s="3" t="s">
        <v>131</v>
      </c>
      <c r="N1395" s="3" t="str">
        <f>CONCATENATE("PRCDRA70P12D749D")</f>
        <v>PRCDRA70P12D749D</v>
      </c>
      <c r="O1395" s="3" t="s">
        <v>1525</v>
      </c>
      <c r="P1395" s="3" t="s">
        <v>36</v>
      </c>
      <c r="Q1395" s="3"/>
      <c r="R1395" s="4">
        <v>45996</v>
      </c>
      <c r="S1395" s="3" t="s">
        <v>37</v>
      </c>
      <c r="T1395" s="3" t="s">
        <v>38</v>
      </c>
      <c r="U1395" s="3" t="s">
        <v>39</v>
      </c>
      <c r="V1395" s="3">
        <v>230.65</v>
      </c>
      <c r="W1395" s="3">
        <v>98.03</v>
      </c>
      <c r="X1395" s="3">
        <v>92.84</v>
      </c>
      <c r="Y1395" s="3">
        <v>39.78</v>
      </c>
    </row>
    <row r="1396" spans="1:25" ht="60.75" x14ac:dyDescent="0.25">
      <c r="A1396" s="3" t="s">
        <v>26</v>
      </c>
      <c r="B1396" s="3" t="s">
        <v>27</v>
      </c>
      <c r="C1396" s="3" t="s">
        <v>28</v>
      </c>
      <c r="D1396" s="3" t="s">
        <v>29</v>
      </c>
      <c r="E1396" s="3" t="s">
        <v>119</v>
      </c>
      <c r="F1396" s="3" t="s">
        <v>31</v>
      </c>
      <c r="G1396" s="3" t="s">
        <v>119</v>
      </c>
      <c r="H1396" s="3" t="s">
        <v>96</v>
      </c>
      <c r="I1396" s="3">
        <v>2025</v>
      </c>
      <c r="J1396" s="3" t="str">
        <f>CONCATENATE("54820012612")</f>
        <v>54820012612</v>
      </c>
      <c r="K1396" s="3" t="s">
        <v>33</v>
      </c>
      <c r="L1396" s="3"/>
      <c r="M1396" s="3" t="s">
        <v>131</v>
      </c>
      <c r="N1396" s="3" t="str">
        <f>CONCATENATE("MRTNRC34T11D691V")</f>
        <v>MRTNRC34T11D691V</v>
      </c>
      <c r="O1396" s="3" t="s">
        <v>1526</v>
      </c>
      <c r="P1396" s="3" t="s">
        <v>36</v>
      </c>
      <c r="Q1396" s="3"/>
      <c r="R1396" s="4">
        <v>45996</v>
      </c>
      <c r="S1396" s="3" t="s">
        <v>37</v>
      </c>
      <c r="T1396" s="3" t="s">
        <v>38</v>
      </c>
      <c r="U1396" s="3" t="s">
        <v>39</v>
      </c>
      <c r="V1396" s="3">
        <v>139.21</v>
      </c>
      <c r="W1396" s="3">
        <v>59.16</v>
      </c>
      <c r="X1396" s="3">
        <v>56.03</v>
      </c>
      <c r="Y1396" s="3">
        <v>24.02</v>
      </c>
    </row>
    <row r="1397" spans="1:25" ht="60.75" x14ac:dyDescent="0.25">
      <c r="A1397" s="3" t="s">
        <v>26</v>
      </c>
      <c r="B1397" s="3" t="s">
        <v>27</v>
      </c>
      <c r="C1397" s="3" t="s">
        <v>28</v>
      </c>
      <c r="D1397" s="3" t="s">
        <v>29</v>
      </c>
      <c r="E1397" s="3" t="s">
        <v>47</v>
      </c>
      <c r="F1397" s="3" t="s">
        <v>31</v>
      </c>
      <c r="G1397" s="3" t="s">
        <v>47</v>
      </c>
      <c r="H1397" s="3" t="s">
        <v>48</v>
      </c>
      <c r="I1397" s="3">
        <v>2025</v>
      </c>
      <c r="J1397" s="3" t="str">
        <f>CONCATENATE("54820008958")</f>
        <v>54820008958</v>
      </c>
      <c r="K1397" s="3" t="s">
        <v>33</v>
      </c>
      <c r="L1397" s="3"/>
      <c r="M1397" s="3" t="s">
        <v>131</v>
      </c>
      <c r="N1397" s="3" t="str">
        <f>CONCATENATE("CRSNRN49B50D965F")</f>
        <v>CRSNRN49B50D965F</v>
      </c>
      <c r="O1397" s="3" t="s">
        <v>1527</v>
      </c>
      <c r="P1397" s="3" t="s">
        <v>36</v>
      </c>
      <c r="Q1397" s="3"/>
      <c r="R1397" s="4">
        <v>45996</v>
      </c>
      <c r="S1397" s="3" t="s">
        <v>37</v>
      </c>
      <c r="T1397" s="3" t="s">
        <v>38</v>
      </c>
      <c r="U1397" s="3" t="s">
        <v>39</v>
      </c>
      <c r="V1397" s="3">
        <v>54.33</v>
      </c>
      <c r="W1397" s="3">
        <v>23.09</v>
      </c>
      <c r="X1397" s="3">
        <v>21.87</v>
      </c>
      <c r="Y1397" s="3">
        <v>9.3699999999999992</v>
      </c>
    </row>
    <row r="1398" spans="1:25" ht="60.75" x14ac:dyDescent="0.25">
      <c r="A1398" s="3" t="s">
        <v>26</v>
      </c>
      <c r="B1398" s="3" t="s">
        <v>27</v>
      </c>
      <c r="C1398" s="3" t="s">
        <v>28</v>
      </c>
      <c r="D1398" s="3" t="s">
        <v>40</v>
      </c>
      <c r="E1398" s="3" t="s">
        <v>54</v>
      </c>
      <c r="F1398" s="3" t="s">
        <v>42</v>
      </c>
      <c r="G1398" s="3" t="s">
        <v>54</v>
      </c>
      <c r="H1398" s="3" t="s">
        <v>45</v>
      </c>
      <c r="I1398" s="3">
        <v>2025</v>
      </c>
      <c r="J1398" s="3" t="str">
        <f>CONCATENATE("54820025317")</f>
        <v>54820025317</v>
      </c>
      <c r="K1398" s="3" t="s">
        <v>33</v>
      </c>
      <c r="L1398" s="3"/>
      <c r="M1398" s="3" t="s">
        <v>131</v>
      </c>
      <c r="N1398" s="3" t="str">
        <f>CONCATENATE("LZZSFN65T02E785V")</f>
        <v>LZZSFN65T02E785V</v>
      </c>
      <c r="O1398" s="3" t="s">
        <v>1528</v>
      </c>
      <c r="P1398" s="3" t="s">
        <v>36</v>
      </c>
      <c r="Q1398" s="3"/>
      <c r="R1398" s="4">
        <v>45996</v>
      </c>
      <c r="S1398" s="3" t="s">
        <v>37</v>
      </c>
      <c r="T1398" s="3" t="s">
        <v>38</v>
      </c>
      <c r="U1398" s="3" t="s">
        <v>39</v>
      </c>
      <c r="V1398" s="3">
        <v>82.4</v>
      </c>
      <c r="W1398" s="3">
        <v>35.020000000000003</v>
      </c>
      <c r="X1398" s="3">
        <v>33.17</v>
      </c>
      <c r="Y1398" s="3">
        <v>14.21</v>
      </c>
    </row>
    <row r="1399" spans="1:25" ht="60.75" x14ac:dyDescent="0.25">
      <c r="A1399" s="3" t="s">
        <v>26</v>
      </c>
      <c r="B1399" s="3" t="s">
        <v>27</v>
      </c>
      <c r="C1399" s="3" t="s">
        <v>28</v>
      </c>
      <c r="D1399" s="3" t="s">
        <v>40</v>
      </c>
      <c r="E1399" s="3" t="s">
        <v>218</v>
      </c>
      <c r="F1399" s="3" t="s">
        <v>42</v>
      </c>
      <c r="G1399" s="3" t="s">
        <v>218</v>
      </c>
      <c r="H1399" s="3" t="s">
        <v>45</v>
      </c>
      <c r="I1399" s="3">
        <v>2025</v>
      </c>
      <c r="J1399" s="3" t="str">
        <f>CONCATENATE("54820031083")</f>
        <v>54820031083</v>
      </c>
      <c r="K1399" s="3" t="s">
        <v>33</v>
      </c>
      <c r="L1399" s="3"/>
      <c r="M1399" s="3" t="s">
        <v>131</v>
      </c>
      <c r="N1399" s="3" t="str">
        <f>CONCATENATE("GMBGRL67S12L500N")</f>
        <v>GMBGRL67S12L500N</v>
      </c>
      <c r="O1399" s="3" t="s">
        <v>1529</v>
      </c>
      <c r="P1399" s="3" t="s">
        <v>36</v>
      </c>
      <c r="Q1399" s="3"/>
      <c r="R1399" s="4">
        <v>45996</v>
      </c>
      <c r="S1399" s="3" t="s">
        <v>37</v>
      </c>
      <c r="T1399" s="3" t="s">
        <v>38</v>
      </c>
      <c r="U1399" s="3" t="s">
        <v>39</v>
      </c>
      <c r="V1399" s="3">
        <v>545.92999999999995</v>
      </c>
      <c r="W1399" s="3">
        <v>232.02</v>
      </c>
      <c r="X1399" s="3">
        <v>219.74</v>
      </c>
      <c r="Y1399" s="3">
        <v>94.17</v>
      </c>
    </row>
    <row r="1400" spans="1:25" ht="60.75" x14ac:dyDescent="0.25">
      <c r="A1400" s="3" t="s">
        <v>26</v>
      </c>
      <c r="B1400" s="3" t="s">
        <v>27</v>
      </c>
      <c r="C1400" s="3" t="s">
        <v>28</v>
      </c>
      <c r="D1400" s="3" t="s">
        <v>40</v>
      </c>
      <c r="E1400" s="3" t="s">
        <v>99</v>
      </c>
      <c r="F1400" s="3" t="s">
        <v>42</v>
      </c>
      <c r="G1400" s="3" t="s">
        <v>99</v>
      </c>
      <c r="H1400" s="3" t="s">
        <v>32</v>
      </c>
      <c r="I1400" s="3">
        <v>2025</v>
      </c>
      <c r="J1400" s="3" t="str">
        <f>CONCATENATE("54820108600")</f>
        <v>54820108600</v>
      </c>
      <c r="K1400" s="3" t="s">
        <v>33</v>
      </c>
      <c r="L1400" s="3"/>
      <c r="M1400" s="3" t="s">
        <v>131</v>
      </c>
      <c r="N1400" s="3" t="str">
        <f>CONCATENATE("PDECRL57P26I156A")</f>
        <v>PDECRL57P26I156A</v>
      </c>
      <c r="O1400" s="3" t="s">
        <v>1530</v>
      </c>
      <c r="P1400" s="3" t="s">
        <v>36</v>
      </c>
      <c r="Q1400" s="3"/>
      <c r="R1400" s="4">
        <v>45996</v>
      </c>
      <c r="S1400" s="3" t="s">
        <v>37</v>
      </c>
      <c r="T1400" s="3" t="s">
        <v>38</v>
      </c>
      <c r="U1400" s="3" t="s">
        <v>39</v>
      </c>
      <c r="V1400" s="3">
        <v>823.93</v>
      </c>
      <c r="W1400" s="3">
        <v>350.17</v>
      </c>
      <c r="X1400" s="3">
        <v>331.63</v>
      </c>
      <c r="Y1400" s="3">
        <v>142.13</v>
      </c>
    </row>
    <row r="1401" spans="1:25" ht="60.75" x14ac:dyDescent="0.25">
      <c r="A1401" s="3" t="s">
        <v>26</v>
      </c>
      <c r="B1401" s="3" t="s">
        <v>27</v>
      </c>
      <c r="C1401" s="3" t="s">
        <v>28</v>
      </c>
      <c r="D1401" s="3" t="s">
        <v>29</v>
      </c>
      <c r="E1401" s="3" t="s">
        <v>228</v>
      </c>
      <c r="F1401" s="3" t="s">
        <v>31</v>
      </c>
      <c r="G1401" s="3" t="s">
        <v>228</v>
      </c>
      <c r="H1401" s="3" t="s">
        <v>45</v>
      </c>
      <c r="I1401" s="3">
        <v>2025</v>
      </c>
      <c r="J1401" s="3" t="str">
        <f>CONCATENATE("54820019807")</f>
        <v>54820019807</v>
      </c>
      <c r="K1401" s="3" t="s">
        <v>33</v>
      </c>
      <c r="L1401" s="3"/>
      <c r="M1401" s="3" t="s">
        <v>131</v>
      </c>
      <c r="N1401" s="3" t="str">
        <f>CONCATENATE("MDRDLF38C47D749X")</f>
        <v>MDRDLF38C47D749X</v>
      </c>
      <c r="O1401" s="3" t="s">
        <v>1531</v>
      </c>
      <c r="P1401" s="3" t="s">
        <v>36</v>
      </c>
      <c r="Q1401" s="3"/>
      <c r="R1401" s="4">
        <v>45996</v>
      </c>
      <c r="S1401" s="3" t="s">
        <v>37</v>
      </c>
      <c r="T1401" s="3" t="s">
        <v>38</v>
      </c>
      <c r="U1401" s="3" t="s">
        <v>39</v>
      </c>
      <c r="V1401" s="3">
        <v>153.22</v>
      </c>
      <c r="W1401" s="3">
        <v>65.12</v>
      </c>
      <c r="X1401" s="3">
        <v>61.67</v>
      </c>
      <c r="Y1401" s="3">
        <v>26.43</v>
      </c>
    </row>
    <row r="1402" spans="1:25" ht="60.75" x14ac:dyDescent="0.25">
      <c r="A1402" s="3" t="s">
        <v>26</v>
      </c>
      <c r="B1402" s="3" t="s">
        <v>27</v>
      </c>
      <c r="C1402" s="3" t="s">
        <v>28</v>
      </c>
      <c r="D1402" s="3" t="s">
        <v>29</v>
      </c>
      <c r="E1402" s="3" t="s">
        <v>68</v>
      </c>
      <c r="F1402" s="3" t="s">
        <v>31</v>
      </c>
      <c r="G1402" s="3" t="s">
        <v>68</v>
      </c>
      <c r="H1402" s="3" t="s">
        <v>32</v>
      </c>
      <c r="I1402" s="3">
        <v>2025</v>
      </c>
      <c r="J1402" s="3" t="str">
        <f>CONCATENATE("54820040050")</f>
        <v>54820040050</v>
      </c>
      <c r="K1402" s="3" t="s">
        <v>33</v>
      </c>
      <c r="L1402" s="3"/>
      <c r="M1402" s="3" t="s">
        <v>131</v>
      </c>
      <c r="N1402" s="3" t="str">
        <f>CONCATENATE("FSTPRM45E17C582T")</f>
        <v>FSTPRM45E17C582T</v>
      </c>
      <c r="O1402" s="3" t="s">
        <v>1532</v>
      </c>
      <c r="P1402" s="3" t="s">
        <v>36</v>
      </c>
      <c r="Q1402" s="3"/>
      <c r="R1402" s="4">
        <v>45996</v>
      </c>
      <c r="S1402" s="3" t="s">
        <v>37</v>
      </c>
      <c r="T1402" s="3" t="s">
        <v>38</v>
      </c>
      <c r="U1402" s="3" t="s">
        <v>39</v>
      </c>
      <c r="V1402" s="3">
        <v>55.4</v>
      </c>
      <c r="W1402" s="3">
        <v>23.55</v>
      </c>
      <c r="X1402" s="3">
        <v>22.3</v>
      </c>
      <c r="Y1402" s="3">
        <v>9.5500000000000007</v>
      </c>
    </row>
    <row r="1403" spans="1:25" ht="72.75" x14ac:dyDescent="0.25">
      <c r="A1403" s="3" t="s">
        <v>26</v>
      </c>
      <c r="B1403" s="3" t="s">
        <v>27</v>
      </c>
      <c r="C1403" s="3" t="s">
        <v>28</v>
      </c>
      <c r="D1403" s="3" t="s">
        <v>29</v>
      </c>
      <c r="E1403" s="3" t="s">
        <v>136</v>
      </c>
      <c r="F1403" s="3" t="s">
        <v>31</v>
      </c>
      <c r="G1403" s="3" t="s">
        <v>136</v>
      </c>
      <c r="H1403" s="3" t="s">
        <v>48</v>
      </c>
      <c r="I1403" s="3">
        <v>2025</v>
      </c>
      <c r="J1403" s="3" t="str">
        <f>CONCATENATE("54820110606")</f>
        <v>54820110606</v>
      </c>
      <c r="K1403" s="3" t="s">
        <v>33</v>
      </c>
      <c r="L1403" s="3"/>
      <c r="M1403" s="3" t="s">
        <v>131</v>
      </c>
      <c r="N1403" s="3" t="str">
        <f>CONCATENATE("BLTMLL43A45H647V")</f>
        <v>BLTMLL43A45H647V</v>
      </c>
      <c r="O1403" s="3" t="s">
        <v>1533</v>
      </c>
      <c r="P1403" s="3" t="s">
        <v>36</v>
      </c>
      <c r="Q1403" s="3"/>
      <c r="R1403" s="4">
        <v>45996</v>
      </c>
      <c r="S1403" s="3" t="s">
        <v>37</v>
      </c>
      <c r="T1403" s="3" t="s">
        <v>38</v>
      </c>
      <c r="U1403" s="3" t="s">
        <v>39</v>
      </c>
      <c r="V1403" s="3">
        <v>200.46</v>
      </c>
      <c r="W1403" s="3">
        <v>85.2</v>
      </c>
      <c r="X1403" s="3">
        <v>80.69</v>
      </c>
      <c r="Y1403" s="3">
        <v>34.57</v>
      </c>
    </row>
    <row r="1404" spans="1:25" ht="72.75" x14ac:dyDescent="0.25">
      <c r="A1404" s="3" t="s">
        <v>26</v>
      </c>
      <c r="B1404" s="3" t="s">
        <v>27</v>
      </c>
      <c r="C1404" s="3" t="s">
        <v>28</v>
      </c>
      <c r="D1404" s="3" t="s">
        <v>29</v>
      </c>
      <c r="E1404" s="3" t="s">
        <v>47</v>
      </c>
      <c r="F1404" s="3" t="s">
        <v>31</v>
      </c>
      <c r="G1404" s="3" t="s">
        <v>47</v>
      </c>
      <c r="H1404" s="3" t="s">
        <v>48</v>
      </c>
      <c r="I1404" s="3">
        <v>2025</v>
      </c>
      <c r="J1404" s="3" t="str">
        <f>CONCATENATE("54820038302")</f>
        <v>54820038302</v>
      </c>
      <c r="K1404" s="3" t="s">
        <v>33</v>
      </c>
      <c r="L1404" s="3"/>
      <c r="M1404" s="3" t="s">
        <v>131</v>
      </c>
      <c r="N1404" s="3" t="str">
        <f>CONCATENATE("MGNRSL56B29D451N")</f>
        <v>MGNRSL56B29D451N</v>
      </c>
      <c r="O1404" s="3" t="s">
        <v>1534</v>
      </c>
      <c r="P1404" s="3" t="s">
        <v>36</v>
      </c>
      <c r="Q1404" s="3"/>
      <c r="R1404" s="4">
        <v>45996</v>
      </c>
      <c r="S1404" s="3" t="s">
        <v>37</v>
      </c>
      <c r="T1404" s="3" t="s">
        <v>38</v>
      </c>
      <c r="U1404" s="3" t="s">
        <v>39</v>
      </c>
      <c r="V1404" s="3">
        <v>185.49</v>
      </c>
      <c r="W1404" s="3">
        <v>78.83</v>
      </c>
      <c r="X1404" s="3">
        <v>74.66</v>
      </c>
      <c r="Y1404" s="3">
        <v>32</v>
      </c>
    </row>
    <row r="1405" spans="1:25" ht="60.75" x14ac:dyDescent="0.25">
      <c r="A1405" s="3" t="s">
        <v>26</v>
      </c>
      <c r="B1405" s="3" t="s">
        <v>27</v>
      </c>
      <c r="C1405" s="3" t="s">
        <v>28</v>
      </c>
      <c r="D1405" s="3" t="s">
        <v>29</v>
      </c>
      <c r="E1405" s="3" t="s">
        <v>119</v>
      </c>
      <c r="F1405" s="3" t="s">
        <v>31</v>
      </c>
      <c r="G1405" s="3" t="s">
        <v>119</v>
      </c>
      <c r="H1405" s="3" t="s">
        <v>96</v>
      </c>
      <c r="I1405" s="3">
        <v>2025</v>
      </c>
      <c r="J1405" s="3" t="str">
        <f>CONCATENATE("54820073770")</f>
        <v>54820073770</v>
      </c>
      <c r="K1405" s="3" t="s">
        <v>33</v>
      </c>
      <c r="L1405" s="3"/>
      <c r="M1405" s="3" t="s">
        <v>131</v>
      </c>
      <c r="N1405" s="3" t="str">
        <f>CONCATENATE("MRRDAA46B61G436X")</f>
        <v>MRRDAA46B61G436X</v>
      </c>
      <c r="O1405" s="3" t="s">
        <v>1535</v>
      </c>
      <c r="P1405" s="3" t="s">
        <v>36</v>
      </c>
      <c r="Q1405" s="3"/>
      <c r="R1405" s="4">
        <v>45996</v>
      </c>
      <c r="S1405" s="3" t="s">
        <v>37</v>
      </c>
      <c r="T1405" s="3" t="s">
        <v>38</v>
      </c>
      <c r="U1405" s="3" t="s">
        <v>39</v>
      </c>
      <c r="V1405" s="3">
        <v>80.959999999999994</v>
      </c>
      <c r="W1405" s="3">
        <v>34.409999999999997</v>
      </c>
      <c r="X1405" s="3">
        <v>32.590000000000003</v>
      </c>
      <c r="Y1405" s="3">
        <v>13.96</v>
      </c>
    </row>
    <row r="1406" spans="1:25" ht="72.75" x14ac:dyDescent="0.25">
      <c r="A1406" s="3" t="s">
        <v>26</v>
      </c>
      <c r="B1406" s="3" t="s">
        <v>27</v>
      </c>
      <c r="C1406" s="3" t="s">
        <v>28</v>
      </c>
      <c r="D1406" s="3" t="s">
        <v>29</v>
      </c>
      <c r="E1406" s="3" t="s">
        <v>233</v>
      </c>
      <c r="F1406" s="3" t="s">
        <v>31</v>
      </c>
      <c r="G1406" s="3" t="s">
        <v>233</v>
      </c>
      <c r="H1406" s="3" t="s">
        <v>96</v>
      </c>
      <c r="I1406" s="3">
        <v>2025</v>
      </c>
      <c r="J1406" s="3" t="str">
        <f>CONCATENATE("54820066733")</f>
        <v>54820066733</v>
      </c>
      <c r="K1406" s="3" t="s">
        <v>33</v>
      </c>
      <c r="L1406" s="3"/>
      <c r="M1406" s="3" t="s">
        <v>131</v>
      </c>
      <c r="N1406" s="3" t="str">
        <f>CONCATENATE("TRNLRA43M56D691R")</f>
        <v>TRNLRA43M56D691R</v>
      </c>
      <c r="O1406" s="3" t="s">
        <v>1536</v>
      </c>
      <c r="P1406" s="3" t="s">
        <v>36</v>
      </c>
      <c r="Q1406" s="3"/>
      <c r="R1406" s="4">
        <v>45996</v>
      </c>
      <c r="S1406" s="3" t="s">
        <v>37</v>
      </c>
      <c r="T1406" s="3" t="s">
        <v>38</v>
      </c>
      <c r="U1406" s="3" t="s">
        <v>39</v>
      </c>
      <c r="V1406" s="3">
        <v>90.82</v>
      </c>
      <c r="W1406" s="3">
        <v>38.6</v>
      </c>
      <c r="X1406" s="3">
        <v>36.56</v>
      </c>
      <c r="Y1406" s="3">
        <v>15.66</v>
      </c>
    </row>
    <row r="1407" spans="1:25" ht="60.75" x14ac:dyDescent="0.25">
      <c r="A1407" s="3" t="s">
        <v>26</v>
      </c>
      <c r="B1407" s="3" t="s">
        <v>27</v>
      </c>
      <c r="C1407" s="3" t="s">
        <v>28</v>
      </c>
      <c r="D1407" s="3" t="s">
        <v>50</v>
      </c>
      <c r="E1407" s="3" t="s">
        <v>60</v>
      </c>
      <c r="F1407" s="3" t="s">
        <v>52</v>
      </c>
      <c r="G1407" s="3" t="s">
        <v>60</v>
      </c>
      <c r="H1407" s="3" t="s">
        <v>45</v>
      </c>
      <c r="I1407" s="3">
        <v>2025</v>
      </c>
      <c r="J1407" s="3" t="str">
        <f>CONCATENATE("54820181581")</f>
        <v>54820181581</v>
      </c>
      <c r="K1407" s="3" t="s">
        <v>33</v>
      </c>
      <c r="L1407" s="3"/>
      <c r="M1407" s="3" t="s">
        <v>131</v>
      </c>
      <c r="N1407" s="3" t="str">
        <f>CONCATENATE("QRNLRD73C02D007M")</f>
        <v>QRNLRD73C02D007M</v>
      </c>
      <c r="O1407" s="3" t="s">
        <v>1537</v>
      </c>
      <c r="P1407" s="3" t="s">
        <v>36</v>
      </c>
      <c r="Q1407" s="3"/>
      <c r="R1407" s="4">
        <v>45996</v>
      </c>
      <c r="S1407" s="3" t="s">
        <v>37</v>
      </c>
      <c r="T1407" s="3" t="s">
        <v>38</v>
      </c>
      <c r="U1407" s="3" t="s">
        <v>39</v>
      </c>
      <c r="V1407" s="3">
        <v>119.66</v>
      </c>
      <c r="W1407" s="3">
        <v>50.86</v>
      </c>
      <c r="X1407" s="3">
        <v>48.16</v>
      </c>
      <c r="Y1407" s="3">
        <v>20.64</v>
      </c>
    </row>
    <row r="1408" spans="1:25" ht="60.75" x14ac:dyDescent="0.25">
      <c r="A1408" s="3" t="s">
        <v>26</v>
      </c>
      <c r="B1408" s="3" t="s">
        <v>27</v>
      </c>
      <c r="C1408" s="3" t="s">
        <v>28</v>
      </c>
      <c r="D1408" s="3" t="s">
        <v>50</v>
      </c>
      <c r="E1408" s="3" t="s">
        <v>147</v>
      </c>
      <c r="F1408" s="3" t="s">
        <v>52</v>
      </c>
      <c r="G1408" s="3" t="s">
        <v>147</v>
      </c>
      <c r="H1408" s="3" t="s">
        <v>45</v>
      </c>
      <c r="I1408" s="3">
        <v>2025</v>
      </c>
      <c r="J1408" s="3" t="str">
        <f>CONCATENATE("54820102702")</f>
        <v>54820102702</v>
      </c>
      <c r="K1408" s="3" t="s">
        <v>33</v>
      </c>
      <c r="L1408" s="3"/>
      <c r="M1408" s="3" t="s">
        <v>131</v>
      </c>
      <c r="N1408" s="3" t="str">
        <f>CONCATENATE("DMPMRT58R17I651G")</f>
        <v>DMPMRT58R17I651G</v>
      </c>
      <c r="O1408" s="3" t="s">
        <v>1538</v>
      </c>
      <c r="P1408" s="3" t="s">
        <v>36</v>
      </c>
      <c r="Q1408" s="3"/>
      <c r="R1408" s="4">
        <v>45996</v>
      </c>
      <c r="S1408" s="3" t="s">
        <v>37</v>
      </c>
      <c r="T1408" s="3" t="s">
        <v>38</v>
      </c>
      <c r="U1408" s="3" t="s">
        <v>39</v>
      </c>
      <c r="V1408" s="3">
        <v>294.77999999999997</v>
      </c>
      <c r="W1408" s="3">
        <v>125.28</v>
      </c>
      <c r="X1408" s="3">
        <v>118.65</v>
      </c>
      <c r="Y1408" s="3">
        <v>50.85</v>
      </c>
    </row>
    <row r="1409" spans="1:25" ht="60.75" x14ac:dyDescent="0.25">
      <c r="A1409" s="3" t="s">
        <v>26</v>
      </c>
      <c r="B1409" s="3" t="s">
        <v>27</v>
      </c>
      <c r="C1409" s="3" t="s">
        <v>28</v>
      </c>
      <c r="D1409" s="3" t="s">
        <v>40</v>
      </c>
      <c r="E1409" s="3" t="s">
        <v>41</v>
      </c>
      <c r="F1409" s="3" t="s">
        <v>42</v>
      </c>
      <c r="G1409" s="3" t="s">
        <v>41</v>
      </c>
      <c r="H1409" s="3" t="s">
        <v>32</v>
      </c>
      <c r="I1409" s="3">
        <v>2025</v>
      </c>
      <c r="J1409" s="3" t="str">
        <f>CONCATENATE("54820172796")</f>
        <v>54820172796</v>
      </c>
      <c r="K1409" s="3" t="s">
        <v>33</v>
      </c>
      <c r="L1409" s="3"/>
      <c r="M1409" s="3" t="s">
        <v>131</v>
      </c>
      <c r="N1409" s="3" t="str">
        <f>CONCATENATE("SBSMRC95P04I156J")</f>
        <v>SBSMRC95P04I156J</v>
      </c>
      <c r="O1409" s="3" t="s">
        <v>82</v>
      </c>
      <c r="P1409" s="3" t="s">
        <v>36</v>
      </c>
      <c r="Q1409" s="3"/>
      <c r="R1409" s="4">
        <v>45996</v>
      </c>
      <c r="S1409" s="3" t="s">
        <v>37</v>
      </c>
      <c r="T1409" s="3" t="s">
        <v>38</v>
      </c>
      <c r="U1409" s="3" t="s">
        <v>39</v>
      </c>
      <c r="V1409" s="5">
        <v>1400.14</v>
      </c>
      <c r="W1409" s="3">
        <v>595.05999999999995</v>
      </c>
      <c r="X1409" s="3">
        <v>563.55999999999995</v>
      </c>
      <c r="Y1409" s="3">
        <v>241.52</v>
      </c>
    </row>
    <row r="1410" spans="1:25" ht="60.75" x14ac:dyDescent="0.25">
      <c r="A1410" s="3" t="s">
        <v>26</v>
      </c>
      <c r="B1410" s="3" t="s">
        <v>27</v>
      </c>
      <c r="C1410" s="3" t="s">
        <v>28</v>
      </c>
      <c r="D1410" s="3" t="s">
        <v>50</v>
      </c>
      <c r="E1410" s="3" t="s">
        <v>51</v>
      </c>
      <c r="F1410" s="3" t="s">
        <v>52</v>
      </c>
      <c r="G1410" s="3" t="s">
        <v>51</v>
      </c>
      <c r="H1410" s="3" t="s">
        <v>48</v>
      </c>
      <c r="I1410" s="3">
        <v>2025</v>
      </c>
      <c r="J1410" s="3" t="str">
        <f>CONCATENATE("54820066816")</f>
        <v>54820066816</v>
      </c>
      <c r="K1410" s="3" t="s">
        <v>33</v>
      </c>
      <c r="L1410" s="3"/>
      <c r="M1410" s="3" t="s">
        <v>131</v>
      </c>
      <c r="N1410" s="3" t="str">
        <f>CONCATENATE("PTRVCN58E17A366P")</f>
        <v>PTRVCN58E17A366P</v>
      </c>
      <c r="O1410" s="3" t="s">
        <v>1539</v>
      </c>
      <c r="P1410" s="3" t="s">
        <v>36</v>
      </c>
      <c r="Q1410" s="3"/>
      <c r="R1410" s="4">
        <v>45996</v>
      </c>
      <c r="S1410" s="3" t="s">
        <v>37</v>
      </c>
      <c r="T1410" s="3" t="s">
        <v>38</v>
      </c>
      <c r="U1410" s="3" t="s">
        <v>39</v>
      </c>
      <c r="V1410" s="3">
        <v>63.61</v>
      </c>
      <c r="W1410" s="3">
        <v>27.03</v>
      </c>
      <c r="X1410" s="3">
        <v>25.6</v>
      </c>
      <c r="Y1410" s="3">
        <v>10.98</v>
      </c>
    </row>
    <row r="1411" spans="1:25" ht="60.75" x14ac:dyDescent="0.25">
      <c r="A1411" s="3" t="s">
        <v>26</v>
      </c>
      <c r="B1411" s="3" t="s">
        <v>27</v>
      </c>
      <c r="C1411" s="3" t="s">
        <v>28</v>
      </c>
      <c r="D1411" s="3" t="s">
        <v>29</v>
      </c>
      <c r="E1411" s="3" t="s">
        <v>136</v>
      </c>
      <c r="F1411" s="3" t="s">
        <v>31</v>
      </c>
      <c r="G1411" s="3" t="s">
        <v>136</v>
      </c>
      <c r="H1411" s="3" t="s">
        <v>48</v>
      </c>
      <c r="I1411" s="3">
        <v>2025</v>
      </c>
      <c r="J1411" s="3" t="str">
        <f>CONCATENATE("54820138706")</f>
        <v>54820138706</v>
      </c>
      <c r="K1411" s="3" t="s">
        <v>33</v>
      </c>
      <c r="L1411" s="3"/>
      <c r="M1411" s="3" t="s">
        <v>131</v>
      </c>
      <c r="N1411" s="3" t="str">
        <f>CONCATENATE("MGNDNL85T25D451S")</f>
        <v>MGNDNL85T25D451S</v>
      </c>
      <c r="O1411" s="3" t="s">
        <v>1540</v>
      </c>
      <c r="P1411" s="3" t="s">
        <v>36</v>
      </c>
      <c r="Q1411" s="3"/>
      <c r="R1411" s="4">
        <v>45996</v>
      </c>
      <c r="S1411" s="3" t="s">
        <v>37</v>
      </c>
      <c r="T1411" s="3" t="s">
        <v>38</v>
      </c>
      <c r="U1411" s="3" t="s">
        <v>39</v>
      </c>
      <c r="V1411" s="3">
        <v>71.34</v>
      </c>
      <c r="W1411" s="3">
        <v>30.32</v>
      </c>
      <c r="X1411" s="3">
        <v>28.71</v>
      </c>
      <c r="Y1411" s="3">
        <v>12.31</v>
      </c>
    </row>
    <row r="1412" spans="1:25" ht="60.75" x14ac:dyDescent="0.25">
      <c r="A1412" s="3" t="s">
        <v>26</v>
      </c>
      <c r="B1412" s="3" t="s">
        <v>27</v>
      </c>
      <c r="C1412" s="3" t="s">
        <v>28</v>
      </c>
      <c r="D1412" s="3" t="s">
        <v>29</v>
      </c>
      <c r="E1412" s="3" t="s">
        <v>182</v>
      </c>
      <c r="F1412" s="3" t="s">
        <v>31</v>
      </c>
      <c r="G1412" s="3" t="s">
        <v>182</v>
      </c>
      <c r="H1412" s="3" t="s">
        <v>45</v>
      </c>
      <c r="I1412" s="3">
        <v>2025</v>
      </c>
      <c r="J1412" s="3" t="str">
        <f>CONCATENATE("54820112305")</f>
        <v>54820112305</v>
      </c>
      <c r="K1412" s="3" t="s">
        <v>33</v>
      </c>
      <c r="L1412" s="3"/>
      <c r="M1412" s="3" t="s">
        <v>131</v>
      </c>
      <c r="N1412" s="3" t="str">
        <f>CONCATENATE("DLBLCN41M21L078L")</f>
        <v>DLBLCN41M21L078L</v>
      </c>
      <c r="O1412" s="3" t="s">
        <v>1541</v>
      </c>
      <c r="P1412" s="3" t="s">
        <v>36</v>
      </c>
      <c r="Q1412" s="3"/>
      <c r="R1412" s="4">
        <v>45996</v>
      </c>
      <c r="S1412" s="3" t="s">
        <v>37</v>
      </c>
      <c r="T1412" s="3" t="s">
        <v>38</v>
      </c>
      <c r="U1412" s="3" t="s">
        <v>39</v>
      </c>
      <c r="V1412" s="3">
        <v>67.22</v>
      </c>
      <c r="W1412" s="3">
        <v>28.57</v>
      </c>
      <c r="X1412" s="3">
        <v>27.06</v>
      </c>
      <c r="Y1412" s="3">
        <v>11.59</v>
      </c>
    </row>
    <row r="1413" spans="1:25" ht="60.75" x14ac:dyDescent="0.25">
      <c r="A1413" s="3" t="s">
        <v>26</v>
      </c>
      <c r="B1413" s="3" t="s">
        <v>27</v>
      </c>
      <c r="C1413" s="3" t="s">
        <v>28</v>
      </c>
      <c r="D1413" s="3" t="s">
        <v>29</v>
      </c>
      <c r="E1413" s="3" t="s">
        <v>136</v>
      </c>
      <c r="F1413" s="3" t="s">
        <v>31</v>
      </c>
      <c r="G1413" s="3" t="s">
        <v>136</v>
      </c>
      <c r="H1413" s="3" t="s">
        <v>48</v>
      </c>
      <c r="I1413" s="3">
        <v>2025</v>
      </c>
      <c r="J1413" s="3" t="str">
        <f>CONCATENATE("54820110911")</f>
        <v>54820110911</v>
      </c>
      <c r="K1413" s="3" t="s">
        <v>33</v>
      </c>
      <c r="L1413" s="3"/>
      <c r="M1413" s="3" t="s">
        <v>131</v>
      </c>
      <c r="N1413" s="3" t="str">
        <f>CONCATENATE("BRTGRN81H28I461J")</f>
        <v>BRTGRN81H28I461J</v>
      </c>
      <c r="O1413" s="3" t="s">
        <v>1542</v>
      </c>
      <c r="P1413" s="3" t="s">
        <v>36</v>
      </c>
      <c r="Q1413" s="3"/>
      <c r="R1413" s="4">
        <v>45996</v>
      </c>
      <c r="S1413" s="3" t="s">
        <v>37</v>
      </c>
      <c r="T1413" s="3" t="s">
        <v>38</v>
      </c>
      <c r="U1413" s="3" t="s">
        <v>39</v>
      </c>
      <c r="V1413" s="3">
        <v>633.05999999999995</v>
      </c>
      <c r="W1413" s="3">
        <v>269.05</v>
      </c>
      <c r="X1413" s="3">
        <v>254.81</v>
      </c>
      <c r="Y1413" s="3">
        <v>109.2</v>
      </c>
    </row>
    <row r="1414" spans="1:25" ht="60.75" x14ac:dyDescent="0.25">
      <c r="A1414" s="3" t="s">
        <v>26</v>
      </c>
      <c r="B1414" s="3" t="s">
        <v>27</v>
      </c>
      <c r="C1414" s="3" t="s">
        <v>28</v>
      </c>
      <c r="D1414" s="3" t="s">
        <v>50</v>
      </c>
      <c r="E1414" s="3" t="s">
        <v>51</v>
      </c>
      <c r="F1414" s="3" t="s">
        <v>52</v>
      </c>
      <c r="G1414" s="3" t="s">
        <v>51</v>
      </c>
      <c r="H1414" s="3" t="s">
        <v>48</v>
      </c>
      <c r="I1414" s="3">
        <v>2025</v>
      </c>
      <c r="J1414" s="3" t="str">
        <f>CONCATENATE("54820108550")</f>
        <v>54820108550</v>
      </c>
      <c r="K1414" s="3" t="s">
        <v>33</v>
      </c>
      <c r="L1414" s="3"/>
      <c r="M1414" s="3" t="s">
        <v>131</v>
      </c>
      <c r="N1414" s="3" t="str">
        <f>CONCATENATE("MGNLLL61D27A366K")</f>
        <v>MGNLLL61D27A366K</v>
      </c>
      <c r="O1414" s="3" t="s">
        <v>1543</v>
      </c>
      <c r="P1414" s="3" t="s">
        <v>36</v>
      </c>
      <c r="Q1414" s="3"/>
      <c r="R1414" s="4">
        <v>45996</v>
      </c>
      <c r="S1414" s="3" t="s">
        <v>37</v>
      </c>
      <c r="T1414" s="3" t="s">
        <v>38</v>
      </c>
      <c r="U1414" s="3" t="s">
        <v>39</v>
      </c>
      <c r="V1414" s="3">
        <v>259.49</v>
      </c>
      <c r="W1414" s="3">
        <v>110.28</v>
      </c>
      <c r="X1414" s="3">
        <v>104.44</v>
      </c>
      <c r="Y1414" s="3">
        <v>44.77</v>
      </c>
    </row>
    <row r="1415" spans="1:25" ht="60.75" x14ac:dyDescent="0.25">
      <c r="A1415" s="3" t="s">
        <v>26</v>
      </c>
      <c r="B1415" s="3" t="s">
        <v>27</v>
      </c>
      <c r="C1415" s="3" t="s">
        <v>28</v>
      </c>
      <c r="D1415" s="3" t="s">
        <v>50</v>
      </c>
      <c r="E1415" s="3" t="s">
        <v>60</v>
      </c>
      <c r="F1415" s="3" t="s">
        <v>52</v>
      </c>
      <c r="G1415" s="3" t="s">
        <v>60</v>
      </c>
      <c r="H1415" s="3" t="s">
        <v>45</v>
      </c>
      <c r="I1415" s="3">
        <v>2025</v>
      </c>
      <c r="J1415" s="3" t="str">
        <f>CONCATENATE("54820203476")</f>
        <v>54820203476</v>
      </c>
      <c r="K1415" s="3" t="s">
        <v>33</v>
      </c>
      <c r="L1415" s="3"/>
      <c r="M1415" s="3" t="s">
        <v>131</v>
      </c>
      <c r="N1415" s="3" t="str">
        <f>CONCATENATE("BCCGNN92C26B352F")</f>
        <v>BCCGNN92C26B352F</v>
      </c>
      <c r="O1415" s="3" t="s">
        <v>1544</v>
      </c>
      <c r="P1415" s="3" t="s">
        <v>36</v>
      </c>
      <c r="Q1415" s="3"/>
      <c r="R1415" s="4">
        <v>45996</v>
      </c>
      <c r="S1415" s="3" t="s">
        <v>37</v>
      </c>
      <c r="T1415" s="3" t="s">
        <v>38</v>
      </c>
      <c r="U1415" s="3" t="s">
        <v>39</v>
      </c>
      <c r="V1415" s="5">
        <v>1687.5</v>
      </c>
      <c r="W1415" s="3">
        <v>717.19</v>
      </c>
      <c r="X1415" s="3">
        <v>679.22</v>
      </c>
      <c r="Y1415" s="3">
        <v>291.08999999999997</v>
      </c>
    </row>
    <row r="1416" spans="1:25" ht="60.75" x14ac:dyDescent="0.25">
      <c r="A1416" s="3" t="s">
        <v>26</v>
      </c>
      <c r="B1416" s="3" t="s">
        <v>27</v>
      </c>
      <c r="C1416" s="3" t="s">
        <v>28</v>
      </c>
      <c r="D1416" s="3" t="s">
        <v>29</v>
      </c>
      <c r="E1416" s="3" t="s">
        <v>119</v>
      </c>
      <c r="F1416" s="3" t="s">
        <v>31</v>
      </c>
      <c r="G1416" s="3" t="s">
        <v>119</v>
      </c>
      <c r="H1416" s="3" t="s">
        <v>96</v>
      </c>
      <c r="I1416" s="3">
        <v>2025</v>
      </c>
      <c r="J1416" s="3" t="str">
        <f>CONCATENATE("54820033295")</f>
        <v>54820033295</v>
      </c>
      <c r="K1416" s="3" t="s">
        <v>33</v>
      </c>
      <c r="L1416" s="3"/>
      <c r="M1416" s="3" t="s">
        <v>131</v>
      </c>
      <c r="N1416" s="3" t="str">
        <f>CONCATENATE("CCCRNZ54C20F493Z")</f>
        <v>CCCRNZ54C20F493Z</v>
      </c>
      <c r="O1416" s="3" t="s">
        <v>1545</v>
      </c>
      <c r="P1416" s="3" t="s">
        <v>36</v>
      </c>
      <c r="Q1416" s="3"/>
      <c r="R1416" s="4">
        <v>45996</v>
      </c>
      <c r="S1416" s="3" t="s">
        <v>37</v>
      </c>
      <c r="T1416" s="3" t="s">
        <v>38</v>
      </c>
      <c r="U1416" s="3" t="s">
        <v>39</v>
      </c>
      <c r="V1416" s="3">
        <v>127.23</v>
      </c>
      <c r="W1416" s="3">
        <v>54.07</v>
      </c>
      <c r="X1416" s="3">
        <v>51.21</v>
      </c>
      <c r="Y1416" s="3">
        <v>21.95</v>
      </c>
    </row>
    <row r="1417" spans="1:25" ht="60.75" x14ac:dyDescent="0.25">
      <c r="A1417" s="3" t="s">
        <v>26</v>
      </c>
      <c r="B1417" s="3" t="s">
        <v>27</v>
      </c>
      <c r="C1417" s="3" t="s">
        <v>28</v>
      </c>
      <c r="D1417" s="3" t="s">
        <v>29</v>
      </c>
      <c r="E1417" s="3" t="s">
        <v>56</v>
      </c>
      <c r="F1417" s="3" t="s">
        <v>31</v>
      </c>
      <c r="G1417" s="3" t="s">
        <v>56</v>
      </c>
      <c r="H1417" s="3" t="s">
        <v>32</v>
      </c>
      <c r="I1417" s="3">
        <v>2025</v>
      </c>
      <c r="J1417" s="3" t="str">
        <f>CONCATENATE("54820217542")</f>
        <v>54820217542</v>
      </c>
      <c r="K1417" s="3" t="s">
        <v>33</v>
      </c>
      <c r="L1417" s="3"/>
      <c r="M1417" s="3" t="s">
        <v>131</v>
      </c>
      <c r="N1417" s="3" t="str">
        <f>CONCATENATE("DBLSRA82T48D972C")</f>
        <v>DBLSRA82T48D972C</v>
      </c>
      <c r="O1417" s="3" t="s">
        <v>1546</v>
      </c>
      <c r="P1417" s="3" t="s">
        <v>36</v>
      </c>
      <c r="Q1417" s="3"/>
      <c r="R1417" s="4">
        <v>45996</v>
      </c>
      <c r="S1417" s="3" t="s">
        <v>37</v>
      </c>
      <c r="T1417" s="3" t="s">
        <v>38</v>
      </c>
      <c r="U1417" s="3" t="s">
        <v>39</v>
      </c>
      <c r="V1417" s="3">
        <v>183.12</v>
      </c>
      <c r="W1417" s="3">
        <v>77.83</v>
      </c>
      <c r="X1417" s="3">
        <v>73.709999999999994</v>
      </c>
      <c r="Y1417" s="3">
        <v>31.58</v>
      </c>
    </row>
    <row r="1418" spans="1:25" ht="60.75" x14ac:dyDescent="0.25">
      <c r="A1418" s="3" t="s">
        <v>26</v>
      </c>
      <c r="B1418" s="3" t="s">
        <v>27</v>
      </c>
      <c r="C1418" s="3" t="s">
        <v>28</v>
      </c>
      <c r="D1418" s="3" t="s">
        <v>29</v>
      </c>
      <c r="E1418" s="3" t="s">
        <v>47</v>
      </c>
      <c r="F1418" s="3" t="s">
        <v>31</v>
      </c>
      <c r="G1418" s="3" t="s">
        <v>47</v>
      </c>
      <c r="H1418" s="3" t="s">
        <v>48</v>
      </c>
      <c r="I1418" s="3">
        <v>2025</v>
      </c>
      <c r="J1418" s="3" t="str">
        <f>CONCATENATE("54820202338")</f>
        <v>54820202338</v>
      </c>
      <c r="K1418" s="3" t="s">
        <v>33</v>
      </c>
      <c r="L1418" s="3"/>
      <c r="M1418" s="3" t="s">
        <v>131</v>
      </c>
      <c r="N1418" s="3" t="str">
        <f>CONCATENATE("FRRRNG41S28D451L")</f>
        <v>FRRRNG41S28D451L</v>
      </c>
      <c r="O1418" s="3" t="s">
        <v>1547</v>
      </c>
      <c r="P1418" s="3" t="s">
        <v>36</v>
      </c>
      <c r="Q1418" s="3"/>
      <c r="R1418" s="4">
        <v>45996</v>
      </c>
      <c r="S1418" s="3" t="s">
        <v>37</v>
      </c>
      <c r="T1418" s="3" t="s">
        <v>38</v>
      </c>
      <c r="U1418" s="3" t="s">
        <v>39</v>
      </c>
      <c r="V1418" s="5">
        <v>1143.1500000000001</v>
      </c>
      <c r="W1418" s="3">
        <v>485.84</v>
      </c>
      <c r="X1418" s="3">
        <v>460.12</v>
      </c>
      <c r="Y1418" s="3">
        <v>197.19</v>
      </c>
    </row>
    <row r="1419" spans="1:25" ht="36.75" x14ac:dyDescent="0.25">
      <c r="A1419" s="3" t="s">
        <v>26</v>
      </c>
      <c r="B1419" s="3" t="s">
        <v>27</v>
      </c>
      <c r="C1419" s="3" t="s">
        <v>28</v>
      </c>
      <c r="D1419" s="3" t="s">
        <v>29</v>
      </c>
      <c r="E1419" s="3" t="s">
        <v>186</v>
      </c>
      <c r="F1419" s="3" t="s">
        <v>31</v>
      </c>
      <c r="G1419" s="3" t="s">
        <v>186</v>
      </c>
      <c r="H1419" s="3" t="s">
        <v>45</v>
      </c>
      <c r="I1419" s="3">
        <v>2025</v>
      </c>
      <c r="J1419" s="3" t="str">
        <f>CONCATENATE("54820054069")</f>
        <v>54820054069</v>
      </c>
      <c r="K1419" s="3" t="s">
        <v>33</v>
      </c>
      <c r="L1419" s="3"/>
      <c r="M1419" s="3" t="s">
        <v>131</v>
      </c>
      <c r="N1419" s="3" t="str">
        <f>CONCATENATE("02618260414")</f>
        <v>02618260414</v>
      </c>
      <c r="O1419" s="3" t="s">
        <v>1548</v>
      </c>
      <c r="P1419" s="3" t="s">
        <v>36</v>
      </c>
      <c r="Q1419" s="3"/>
      <c r="R1419" s="4">
        <v>45996</v>
      </c>
      <c r="S1419" s="3" t="s">
        <v>37</v>
      </c>
      <c r="T1419" s="3" t="s">
        <v>38</v>
      </c>
      <c r="U1419" s="3" t="s">
        <v>39</v>
      </c>
      <c r="V1419" s="3">
        <v>383.69</v>
      </c>
      <c r="W1419" s="3">
        <v>163.07</v>
      </c>
      <c r="X1419" s="3">
        <v>154.44</v>
      </c>
      <c r="Y1419" s="3">
        <v>66.180000000000007</v>
      </c>
    </row>
    <row r="1420" spans="1:25" ht="60.75" x14ac:dyDescent="0.25">
      <c r="A1420" s="3" t="s">
        <v>26</v>
      </c>
      <c r="B1420" s="3" t="s">
        <v>27</v>
      </c>
      <c r="C1420" s="3" t="s">
        <v>28</v>
      </c>
      <c r="D1420" s="3" t="s">
        <v>29</v>
      </c>
      <c r="E1420" s="3" t="s">
        <v>119</v>
      </c>
      <c r="F1420" s="3" t="s">
        <v>31</v>
      </c>
      <c r="G1420" s="3" t="s">
        <v>119</v>
      </c>
      <c r="H1420" s="3" t="s">
        <v>96</v>
      </c>
      <c r="I1420" s="3">
        <v>2025</v>
      </c>
      <c r="J1420" s="3" t="str">
        <f>CONCATENATE("54820009972")</f>
        <v>54820009972</v>
      </c>
      <c r="K1420" s="3" t="s">
        <v>33</v>
      </c>
      <c r="L1420" s="3"/>
      <c r="M1420" s="3" t="s">
        <v>131</v>
      </c>
      <c r="N1420" s="3" t="str">
        <f>CONCATENATE("NGLFNC53L26H588L")</f>
        <v>NGLFNC53L26H588L</v>
      </c>
      <c r="O1420" s="3" t="s">
        <v>1549</v>
      </c>
      <c r="P1420" s="3" t="s">
        <v>36</v>
      </c>
      <c r="Q1420" s="3"/>
      <c r="R1420" s="4">
        <v>45996</v>
      </c>
      <c r="S1420" s="3" t="s">
        <v>37</v>
      </c>
      <c r="T1420" s="3" t="s">
        <v>38</v>
      </c>
      <c r="U1420" s="3" t="s">
        <v>39</v>
      </c>
      <c r="V1420" s="3">
        <v>110.71</v>
      </c>
      <c r="W1420" s="3">
        <v>47.05</v>
      </c>
      <c r="X1420" s="3">
        <v>44.56</v>
      </c>
      <c r="Y1420" s="3">
        <v>19.100000000000001</v>
      </c>
    </row>
    <row r="1421" spans="1:25" ht="60.75" x14ac:dyDescent="0.25">
      <c r="A1421" s="3" t="s">
        <v>26</v>
      </c>
      <c r="B1421" s="3" t="s">
        <v>27</v>
      </c>
      <c r="C1421" s="3" t="s">
        <v>28</v>
      </c>
      <c r="D1421" s="3" t="s">
        <v>40</v>
      </c>
      <c r="E1421" s="3" t="s">
        <v>287</v>
      </c>
      <c r="F1421" s="3" t="s">
        <v>42</v>
      </c>
      <c r="G1421" s="3" t="s">
        <v>287</v>
      </c>
      <c r="H1421" s="3" t="s">
        <v>32</v>
      </c>
      <c r="I1421" s="3">
        <v>2025</v>
      </c>
      <c r="J1421" s="3" t="str">
        <f>CONCATENATE("54820016027")</f>
        <v>54820016027</v>
      </c>
      <c r="K1421" s="3" t="s">
        <v>33</v>
      </c>
      <c r="L1421" s="3"/>
      <c r="M1421" s="3" t="s">
        <v>131</v>
      </c>
      <c r="N1421" s="3" t="str">
        <f>CONCATENATE("FDLMNL78H57B474X")</f>
        <v>FDLMNL78H57B474X</v>
      </c>
      <c r="O1421" s="3" t="s">
        <v>1550</v>
      </c>
      <c r="P1421" s="3" t="s">
        <v>36</v>
      </c>
      <c r="Q1421" s="3"/>
      <c r="R1421" s="4">
        <v>45996</v>
      </c>
      <c r="S1421" s="3" t="s">
        <v>37</v>
      </c>
      <c r="T1421" s="3" t="s">
        <v>38</v>
      </c>
      <c r="U1421" s="3" t="s">
        <v>39</v>
      </c>
      <c r="V1421" s="3">
        <v>351.74</v>
      </c>
      <c r="W1421" s="3">
        <v>149.49</v>
      </c>
      <c r="X1421" s="3">
        <v>141.58000000000001</v>
      </c>
      <c r="Y1421" s="3">
        <v>60.67</v>
      </c>
    </row>
    <row r="1422" spans="1:25" ht="60.75" x14ac:dyDescent="0.25">
      <c r="A1422" s="3" t="s">
        <v>26</v>
      </c>
      <c r="B1422" s="3" t="s">
        <v>27</v>
      </c>
      <c r="C1422" s="3" t="s">
        <v>28</v>
      </c>
      <c r="D1422" s="3" t="s">
        <v>29</v>
      </c>
      <c r="E1422" s="3" t="s">
        <v>80</v>
      </c>
      <c r="F1422" s="3" t="s">
        <v>31</v>
      </c>
      <c r="G1422" s="3" t="s">
        <v>80</v>
      </c>
      <c r="H1422" s="3" t="s">
        <v>45</v>
      </c>
      <c r="I1422" s="3">
        <v>2025</v>
      </c>
      <c r="J1422" s="3" t="str">
        <f>CONCATENATE("54820033162")</f>
        <v>54820033162</v>
      </c>
      <c r="K1422" s="3" t="s">
        <v>33</v>
      </c>
      <c r="L1422" s="3"/>
      <c r="M1422" s="3" t="s">
        <v>131</v>
      </c>
      <c r="N1422" s="3" t="str">
        <f>CONCATENATE("RCCSML74T31G453X")</f>
        <v>RCCSML74T31G453X</v>
      </c>
      <c r="O1422" s="3" t="s">
        <v>1551</v>
      </c>
      <c r="P1422" s="3" t="s">
        <v>36</v>
      </c>
      <c r="Q1422" s="3"/>
      <c r="R1422" s="4">
        <v>45996</v>
      </c>
      <c r="S1422" s="3" t="s">
        <v>37</v>
      </c>
      <c r="T1422" s="3" t="s">
        <v>38</v>
      </c>
      <c r="U1422" s="3" t="s">
        <v>39</v>
      </c>
      <c r="V1422" s="3">
        <v>170.63</v>
      </c>
      <c r="W1422" s="3">
        <v>72.52</v>
      </c>
      <c r="X1422" s="3">
        <v>68.680000000000007</v>
      </c>
      <c r="Y1422" s="3">
        <v>29.43</v>
      </c>
    </row>
    <row r="1423" spans="1:25" ht="60.75" x14ac:dyDescent="0.25">
      <c r="A1423" s="3" t="s">
        <v>26</v>
      </c>
      <c r="B1423" s="3" t="s">
        <v>27</v>
      </c>
      <c r="C1423" s="3" t="s">
        <v>28</v>
      </c>
      <c r="D1423" s="3" t="s">
        <v>29</v>
      </c>
      <c r="E1423" s="3" t="s">
        <v>186</v>
      </c>
      <c r="F1423" s="3" t="s">
        <v>31</v>
      </c>
      <c r="G1423" s="3" t="s">
        <v>186</v>
      </c>
      <c r="H1423" s="3" t="s">
        <v>45</v>
      </c>
      <c r="I1423" s="3">
        <v>2025</v>
      </c>
      <c r="J1423" s="3" t="str">
        <f>CONCATENATE("54820026802")</f>
        <v>54820026802</v>
      </c>
      <c r="K1423" s="3" t="s">
        <v>33</v>
      </c>
      <c r="L1423" s="3"/>
      <c r="M1423" s="3" t="s">
        <v>131</v>
      </c>
      <c r="N1423" s="3" t="str">
        <f>CONCATENATE("CRBNDA59D45D807X")</f>
        <v>CRBNDA59D45D807X</v>
      </c>
      <c r="O1423" s="3" t="s">
        <v>1552</v>
      </c>
      <c r="P1423" s="3" t="s">
        <v>36</v>
      </c>
      <c r="Q1423" s="3"/>
      <c r="R1423" s="4">
        <v>45996</v>
      </c>
      <c r="S1423" s="3" t="s">
        <v>37</v>
      </c>
      <c r="T1423" s="3" t="s">
        <v>38</v>
      </c>
      <c r="U1423" s="3" t="s">
        <v>39</v>
      </c>
      <c r="V1423" s="3">
        <v>120.07</v>
      </c>
      <c r="W1423" s="3">
        <v>51.03</v>
      </c>
      <c r="X1423" s="3">
        <v>48.33</v>
      </c>
      <c r="Y1423" s="3">
        <v>20.71</v>
      </c>
    </row>
    <row r="1424" spans="1:25" ht="60.75" x14ac:dyDescent="0.25">
      <c r="A1424" s="3" t="s">
        <v>26</v>
      </c>
      <c r="B1424" s="3" t="s">
        <v>27</v>
      </c>
      <c r="C1424" s="3" t="s">
        <v>28</v>
      </c>
      <c r="D1424" s="3" t="s">
        <v>50</v>
      </c>
      <c r="E1424" s="3" t="s">
        <v>173</v>
      </c>
      <c r="F1424" s="3" t="s">
        <v>52</v>
      </c>
      <c r="G1424" s="3" t="s">
        <v>173</v>
      </c>
      <c r="H1424" s="3" t="s">
        <v>45</v>
      </c>
      <c r="I1424" s="3">
        <v>2025</v>
      </c>
      <c r="J1424" s="3" t="str">
        <f>CONCATENATE("54820028808")</f>
        <v>54820028808</v>
      </c>
      <c r="K1424" s="3" t="s">
        <v>33</v>
      </c>
      <c r="L1424" s="3"/>
      <c r="M1424" s="3" t="s">
        <v>131</v>
      </c>
      <c r="N1424" s="3" t="str">
        <f>CONCATENATE("DNGLDA65P11E785P")</f>
        <v>DNGLDA65P11E785P</v>
      </c>
      <c r="O1424" s="3" t="s">
        <v>1553</v>
      </c>
      <c r="P1424" s="3" t="s">
        <v>36</v>
      </c>
      <c r="Q1424" s="3"/>
      <c r="R1424" s="4">
        <v>45996</v>
      </c>
      <c r="S1424" s="3" t="s">
        <v>37</v>
      </c>
      <c r="T1424" s="3" t="s">
        <v>38</v>
      </c>
      <c r="U1424" s="3" t="s">
        <v>39</v>
      </c>
      <c r="V1424" s="3">
        <v>341.72</v>
      </c>
      <c r="W1424" s="3">
        <v>145.22999999999999</v>
      </c>
      <c r="X1424" s="3">
        <v>137.54</v>
      </c>
      <c r="Y1424" s="3">
        <v>58.95</v>
      </c>
    </row>
    <row r="1425" spans="1:25" ht="60.75" x14ac:dyDescent="0.25">
      <c r="A1425" s="3" t="s">
        <v>26</v>
      </c>
      <c r="B1425" s="3" t="s">
        <v>27</v>
      </c>
      <c r="C1425" s="3" t="s">
        <v>28</v>
      </c>
      <c r="D1425" s="3" t="s">
        <v>29</v>
      </c>
      <c r="E1425" s="3" t="s">
        <v>186</v>
      </c>
      <c r="F1425" s="3" t="s">
        <v>31</v>
      </c>
      <c r="G1425" s="3" t="s">
        <v>186</v>
      </c>
      <c r="H1425" s="3" t="s">
        <v>45</v>
      </c>
      <c r="I1425" s="3">
        <v>2025</v>
      </c>
      <c r="J1425" s="3" t="str">
        <f>CONCATENATE("54820026109")</f>
        <v>54820026109</v>
      </c>
      <c r="K1425" s="3" t="s">
        <v>33</v>
      </c>
      <c r="L1425" s="3"/>
      <c r="M1425" s="3" t="s">
        <v>131</v>
      </c>
      <c r="N1425" s="3" t="str">
        <f>CONCATENATE("VNNGCR52B19F524H")</f>
        <v>VNNGCR52B19F524H</v>
      </c>
      <c r="O1425" s="3" t="s">
        <v>1554</v>
      </c>
      <c r="P1425" s="3" t="s">
        <v>36</v>
      </c>
      <c r="Q1425" s="3"/>
      <c r="R1425" s="4">
        <v>45996</v>
      </c>
      <c r="S1425" s="3" t="s">
        <v>37</v>
      </c>
      <c r="T1425" s="3" t="s">
        <v>38</v>
      </c>
      <c r="U1425" s="3" t="s">
        <v>39</v>
      </c>
      <c r="V1425" s="3">
        <v>800.08</v>
      </c>
      <c r="W1425" s="3">
        <v>340.03</v>
      </c>
      <c r="X1425" s="3">
        <v>322.02999999999997</v>
      </c>
      <c r="Y1425" s="3">
        <v>138.02000000000001</v>
      </c>
    </row>
    <row r="1426" spans="1:25" ht="72.75" x14ac:dyDescent="0.25">
      <c r="A1426" s="3" t="s">
        <v>26</v>
      </c>
      <c r="B1426" s="3" t="s">
        <v>27</v>
      </c>
      <c r="C1426" s="3" t="s">
        <v>28</v>
      </c>
      <c r="D1426" s="3" t="s">
        <v>40</v>
      </c>
      <c r="E1426" s="3" t="s">
        <v>287</v>
      </c>
      <c r="F1426" s="3" t="s">
        <v>42</v>
      </c>
      <c r="G1426" s="3" t="s">
        <v>287</v>
      </c>
      <c r="H1426" s="3" t="s">
        <v>32</v>
      </c>
      <c r="I1426" s="3">
        <v>2025</v>
      </c>
      <c r="J1426" s="3" t="str">
        <f>CONCATENATE("54820018908")</f>
        <v>54820018908</v>
      </c>
      <c r="K1426" s="3" t="s">
        <v>33</v>
      </c>
      <c r="L1426" s="3"/>
      <c r="M1426" s="3" t="s">
        <v>131</v>
      </c>
      <c r="N1426" s="3" t="str">
        <f>CONCATENATE("ZMPFNC78M13B474M")</f>
        <v>ZMPFNC78M13B474M</v>
      </c>
      <c r="O1426" s="3" t="s">
        <v>1555</v>
      </c>
      <c r="P1426" s="3" t="s">
        <v>36</v>
      </c>
      <c r="Q1426" s="3"/>
      <c r="R1426" s="4">
        <v>45996</v>
      </c>
      <c r="S1426" s="3" t="s">
        <v>37</v>
      </c>
      <c r="T1426" s="3" t="s">
        <v>38</v>
      </c>
      <c r="U1426" s="3" t="s">
        <v>39</v>
      </c>
      <c r="V1426" s="3">
        <v>124.83</v>
      </c>
      <c r="W1426" s="3">
        <v>53.05</v>
      </c>
      <c r="X1426" s="3">
        <v>50.24</v>
      </c>
      <c r="Y1426" s="3">
        <v>21.54</v>
      </c>
    </row>
    <row r="1427" spans="1:25" ht="60.75" x14ac:dyDescent="0.25">
      <c r="A1427" s="3" t="s">
        <v>26</v>
      </c>
      <c r="B1427" s="3" t="s">
        <v>27</v>
      </c>
      <c r="C1427" s="3" t="s">
        <v>28</v>
      </c>
      <c r="D1427" s="3" t="s">
        <v>29</v>
      </c>
      <c r="E1427" s="3" t="s">
        <v>228</v>
      </c>
      <c r="F1427" s="3" t="s">
        <v>31</v>
      </c>
      <c r="G1427" s="3" t="s">
        <v>228</v>
      </c>
      <c r="H1427" s="3" t="s">
        <v>45</v>
      </c>
      <c r="I1427" s="3">
        <v>2025</v>
      </c>
      <c r="J1427" s="3" t="str">
        <f>CONCATENATE("54820036629")</f>
        <v>54820036629</v>
      </c>
      <c r="K1427" s="3" t="s">
        <v>33</v>
      </c>
      <c r="L1427" s="3"/>
      <c r="M1427" s="3" t="s">
        <v>131</v>
      </c>
      <c r="N1427" s="3" t="str">
        <f>CONCATENATE("GRGGPP29T67Z404J")</f>
        <v>GRGGPP29T67Z404J</v>
      </c>
      <c r="O1427" s="3" t="s">
        <v>1556</v>
      </c>
      <c r="P1427" s="3" t="s">
        <v>36</v>
      </c>
      <c r="Q1427" s="3"/>
      <c r="R1427" s="4">
        <v>45996</v>
      </c>
      <c r="S1427" s="3" t="s">
        <v>37</v>
      </c>
      <c r="T1427" s="3" t="s">
        <v>38</v>
      </c>
      <c r="U1427" s="3" t="s">
        <v>39</v>
      </c>
      <c r="V1427" s="3">
        <v>287.11</v>
      </c>
      <c r="W1427" s="3">
        <v>122.02</v>
      </c>
      <c r="X1427" s="3">
        <v>115.56</v>
      </c>
      <c r="Y1427" s="3">
        <v>49.53</v>
      </c>
    </row>
    <row r="1428" spans="1:25" ht="36.75" x14ac:dyDescent="0.25">
      <c r="A1428" s="3" t="s">
        <v>26</v>
      </c>
      <c r="B1428" s="3" t="s">
        <v>27</v>
      </c>
      <c r="C1428" s="3" t="s">
        <v>28</v>
      </c>
      <c r="D1428" s="3" t="s">
        <v>29</v>
      </c>
      <c r="E1428" s="3" t="s">
        <v>101</v>
      </c>
      <c r="F1428" s="3" t="s">
        <v>31</v>
      </c>
      <c r="G1428" s="3" t="s">
        <v>101</v>
      </c>
      <c r="H1428" s="3" t="s">
        <v>32</v>
      </c>
      <c r="I1428" s="3">
        <v>2025</v>
      </c>
      <c r="J1428" s="3" t="str">
        <f>CONCATENATE("54820029426")</f>
        <v>54820029426</v>
      </c>
      <c r="K1428" s="3" t="s">
        <v>33</v>
      </c>
      <c r="L1428" s="3"/>
      <c r="M1428" s="3" t="s">
        <v>131</v>
      </c>
      <c r="N1428" s="3" t="str">
        <f>CONCATENATE("01980780439")</f>
        <v>01980780439</v>
      </c>
      <c r="O1428" s="3" t="s">
        <v>1557</v>
      </c>
      <c r="P1428" s="3" t="s">
        <v>36</v>
      </c>
      <c r="Q1428" s="3"/>
      <c r="R1428" s="4">
        <v>45996</v>
      </c>
      <c r="S1428" s="3" t="s">
        <v>37</v>
      </c>
      <c r="T1428" s="3" t="s">
        <v>38</v>
      </c>
      <c r="U1428" s="3" t="s">
        <v>39</v>
      </c>
      <c r="V1428" s="3">
        <v>470.5</v>
      </c>
      <c r="W1428" s="3">
        <v>199.96</v>
      </c>
      <c r="X1428" s="3">
        <v>189.38</v>
      </c>
      <c r="Y1428" s="3">
        <v>81.16</v>
      </c>
    </row>
    <row r="1429" spans="1:25" ht="60.75" x14ac:dyDescent="0.25">
      <c r="A1429" s="3" t="s">
        <v>26</v>
      </c>
      <c r="B1429" s="3" t="s">
        <v>27</v>
      </c>
      <c r="C1429" s="3" t="s">
        <v>28</v>
      </c>
      <c r="D1429" s="3" t="s">
        <v>50</v>
      </c>
      <c r="E1429" s="3" t="s">
        <v>147</v>
      </c>
      <c r="F1429" s="3" t="s">
        <v>52</v>
      </c>
      <c r="G1429" s="3" t="s">
        <v>147</v>
      </c>
      <c r="H1429" s="3" t="s">
        <v>45</v>
      </c>
      <c r="I1429" s="3">
        <v>2025</v>
      </c>
      <c r="J1429" s="3" t="str">
        <f>CONCATENATE("54820067475")</f>
        <v>54820067475</v>
      </c>
      <c r="K1429" s="3" t="s">
        <v>33</v>
      </c>
      <c r="L1429" s="3"/>
      <c r="M1429" s="3" t="s">
        <v>131</v>
      </c>
      <c r="N1429" s="3" t="str">
        <f>CONCATENATE("SPDMRZ54H14L500S")</f>
        <v>SPDMRZ54H14L500S</v>
      </c>
      <c r="O1429" s="3" t="s">
        <v>1558</v>
      </c>
      <c r="P1429" s="3" t="s">
        <v>36</v>
      </c>
      <c r="Q1429" s="3"/>
      <c r="R1429" s="4">
        <v>45996</v>
      </c>
      <c r="S1429" s="3" t="s">
        <v>37</v>
      </c>
      <c r="T1429" s="3" t="s">
        <v>38</v>
      </c>
      <c r="U1429" s="3" t="s">
        <v>39</v>
      </c>
      <c r="V1429" s="3">
        <v>141.07</v>
      </c>
      <c r="W1429" s="3">
        <v>59.95</v>
      </c>
      <c r="X1429" s="3">
        <v>56.78</v>
      </c>
      <c r="Y1429" s="3">
        <v>24.34</v>
      </c>
    </row>
    <row r="1430" spans="1:25" ht="60.75" x14ac:dyDescent="0.25">
      <c r="A1430" s="3" t="s">
        <v>26</v>
      </c>
      <c r="B1430" s="3" t="s">
        <v>27</v>
      </c>
      <c r="C1430" s="3" t="s">
        <v>28</v>
      </c>
      <c r="D1430" s="3" t="s">
        <v>29</v>
      </c>
      <c r="E1430" s="3" t="s">
        <v>56</v>
      </c>
      <c r="F1430" s="3" t="s">
        <v>31</v>
      </c>
      <c r="G1430" s="3" t="s">
        <v>56</v>
      </c>
      <c r="H1430" s="3" t="s">
        <v>32</v>
      </c>
      <c r="I1430" s="3">
        <v>2025</v>
      </c>
      <c r="J1430" s="3" t="str">
        <f>CONCATENATE("54820046107")</f>
        <v>54820046107</v>
      </c>
      <c r="K1430" s="3" t="s">
        <v>33</v>
      </c>
      <c r="L1430" s="3"/>
      <c r="M1430" s="3" t="s">
        <v>131</v>
      </c>
      <c r="N1430" s="3" t="str">
        <f>CONCATENATE("CSRLND46A18I661A")</f>
        <v>CSRLND46A18I661A</v>
      </c>
      <c r="O1430" s="3" t="s">
        <v>1559</v>
      </c>
      <c r="P1430" s="3" t="s">
        <v>36</v>
      </c>
      <c r="Q1430" s="3"/>
      <c r="R1430" s="4">
        <v>45996</v>
      </c>
      <c r="S1430" s="3" t="s">
        <v>37</v>
      </c>
      <c r="T1430" s="3" t="s">
        <v>38</v>
      </c>
      <c r="U1430" s="3" t="s">
        <v>39</v>
      </c>
      <c r="V1430" s="3">
        <v>182.62</v>
      </c>
      <c r="W1430" s="3">
        <v>77.61</v>
      </c>
      <c r="X1430" s="3">
        <v>73.5</v>
      </c>
      <c r="Y1430" s="3">
        <v>31.51</v>
      </c>
    </row>
    <row r="1431" spans="1:25" ht="60.75" x14ac:dyDescent="0.25">
      <c r="A1431" s="3" t="s">
        <v>26</v>
      </c>
      <c r="B1431" s="3" t="s">
        <v>27</v>
      </c>
      <c r="C1431" s="3" t="s">
        <v>28</v>
      </c>
      <c r="D1431" s="3" t="s">
        <v>29</v>
      </c>
      <c r="E1431" s="3" t="s">
        <v>136</v>
      </c>
      <c r="F1431" s="3" t="s">
        <v>31</v>
      </c>
      <c r="G1431" s="3" t="s">
        <v>136</v>
      </c>
      <c r="H1431" s="3" t="s">
        <v>48</v>
      </c>
      <c r="I1431" s="3">
        <v>2025</v>
      </c>
      <c r="J1431" s="3" t="str">
        <f>CONCATENATE("54820040266")</f>
        <v>54820040266</v>
      </c>
      <c r="K1431" s="3" t="s">
        <v>33</v>
      </c>
      <c r="L1431" s="3"/>
      <c r="M1431" s="3" t="s">
        <v>131</v>
      </c>
      <c r="N1431" s="3" t="str">
        <f>CONCATENATE("NGLGNN60H20I461X")</f>
        <v>NGLGNN60H20I461X</v>
      </c>
      <c r="O1431" s="3" t="s">
        <v>1560</v>
      </c>
      <c r="P1431" s="3" t="s">
        <v>36</v>
      </c>
      <c r="Q1431" s="3"/>
      <c r="R1431" s="4">
        <v>45996</v>
      </c>
      <c r="S1431" s="3" t="s">
        <v>37</v>
      </c>
      <c r="T1431" s="3" t="s">
        <v>38</v>
      </c>
      <c r="U1431" s="3" t="s">
        <v>39</v>
      </c>
      <c r="V1431" s="3">
        <v>67.72</v>
      </c>
      <c r="W1431" s="3">
        <v>28.78</v>
      </c>
      <c r="X1431" s="3">
        <v>27.26</v>
      </c>
      <c r="Y1431" s="3">
        <v>11.68</v>
      </c>
    </row>
    <row r="1432" spans="1:25" ht="72.75" x14ac:dyDescent="0.25">
      <c r="A1432" s="3" t="s">
        <v>26</v>
      </c>
      <c r="B1432" s="3" t="s">
        <v>27</v>
      </c>
      <c r="C1432" s="3" t="s">
        <v>28</v>
      </c>
      <c r="D1432" s="3" t="s">
        <v>29</v>
      </c>
      <c r="E1432" s="3" t="s">
        <v>228</v>
      </c>
      <c r="F1432" s="3" t="s">
        <v>31</v>
      </c>
      <c r="G1432" s="3" t="s">
        <v>228</v>
      </c>
      <c r="H1432" s="3" t="s">
        <v>45</v>
      </c>
      <c r="I1432" s="3">
        <v>2025</v>
      </c>
      <c r="J1432" s="3" t="str">
        <f>CONCATENATE("54820073408")</f>
        <v>54820073408</v>
      </c>
      <c r="K1432" s="3" t="s">
        <v>33</v>
      </c>
      <c r="L1432" s="3"/>
      <c r="M1432" s="3" t="s">
        <v>131</v>
      </c>
      <c r="N1432" s="3" t="str">
        <f>CONCATENATE("TRRRMN60T09D749A")</f>
        <v>TRRRMN60T09D749A</v>
      </c>
      <c r="O1432" s="3" t="s">
        <v>1561</v>
      </c>
      <c r="P1432" s="3" t="s">
        <v>36</v>
      </c>
      <c r="Q1432" s="3"/>
      <c r="R1432" s="4">
        <v>45996</v>
      </c>
      <c r="S1432" s="3" t="s">
        <v>37</v>
      </c>
      <c r="T1432" s="3" t="s">
        <v>38</v>
      </c>
      <c r="U1432" s="3" t="s">
        <v>39</v>
      </c>
      <c r="V1432" s="3">
        <v>253.02</v>
      </c>
      <c r="W1432" s="3">
        <v>107.53</v>
      </c>
      <c r="X1432" s="3">
        <v>101.84</v>
      </c>
      <c r="Y1432" s="3">
        <v>43.65</v>
      </c>
    </row>
    <row r="1433" spans="1:25" ht="60.75" x14ac:dyDescent="0.25">
      <c r="A1433" s="3" t="s">
        <v>26</v>
      </c>
      <c r="B1433" s="3" t="s">
        <v>27</v>
      </c>
      <c r="C1433" s="3" t="s">
        <v>28</v>
      </c>
      <c r="D1433" s="3" t="s">
        <v>29</v>
      </c>
      <c r="E1433" s="3" t="s">
        <v>228</v>
      </c>
      <c r="F1433" s="3" t="s">
        <v>31</v>
      </c>
      <c r="G1433" s="3" t="s">
        <v>228</v>
      </c>
      <c r="H1433" s="3" t="s">
        <v>45</v>
      </c>
      <c r="I1433" s="3">
        <v>2025</v>
      </c>
      <c r="J1433" s="3" t="str">
        <f>CONCATENATE("54820072756")</f>
        <v>54820072756</v>
      </c>
      <c r="K1433" s="3" t="s">
        <v>33</v>
      </c>
      <c r="L1433" s="3"/>
      <c r="M1433" s="3" t="s">
        <v>131</v>
      </c>
      <c r="N1433" s="3" t="str">
        <f>CONCATENATE("BLLRRT50C12F497T")</f>
        <v>BLLRRT50C12F497T</v>
      </c>
      <c r="O1433" s="3" t="s">
        <v>1562</v>
      </c>
      <c r="P1433" s="3" t="s">
        <v>36</v>
      </c>
      <c r="Q1433" s="3"/>
      <c r="R1433" s="4">
        <v>45996</v>
      </c>
      <c r="S1433" s="3" t="s">
        <v>37</v>
      </c>
      <c r="T1433" s="3" t="s">
        <v>38</v>
      </c>
      <c r="U1433" s="3" t="s">
        <v>39</v>
      </c>
      <c r="V1433" s="3">
        <v>148.21</v>
      </c>
      <c r="W1433" s="3">
        <v>62.99</v>
      </c>
      <c r="X1433" s="3">
        <v>59.65</v>
      </c>
      <c r="Y1433" s="3">
        <v>25.57</v>
      </c>
    </row>
    <row r="1434" spans="1:25" ht="60.75" x14ac:dyDescent="0.25">
      <c r="A1434" s="3" t="s">
        <v>26</v>
      </c>
      <c r="B1434" s="3" t="s">
        <v>27</v>
      </c>
      <c r="C1434" s="3" t="s">
        <v>28</v>
      </c>
      <c r="D1434" s="3" t="s">
        <v>29</v>
      </c>
      <c r="E1434" s="3" t="s">
        <v>228</v>
      </c>
      <c r="F1434" s="3" t="s">
        <v>31</v>
      </c>
      <c r="G1434" s="3" t="s">
        <v>228</v>
      </c>
      <c r="H1434" s="3" t="s">
        <v>45</v>
      </c>
      <c r="I1434" s="3">
        <v>2025</v>
      </c>
      <c r="J1434" s="3" t="str">
        <f>CONCATENATE("54820072798")</f>
        <v>54820072798</v>
      </c>
      <c r="K1434" s="3" t="s">
        <v>33</v>
      </c>
      <c r="L1434" s="3"/>
      <c r="M1434" s="3" t="s">
        <v>131</v>
      </c>
      <c r="N1434" s="3" t="str">
        <f>CONCATENATE("MLTGRG60B12D749Z")</f>
        <v>MLTGRG60B12D749Z</v>
      </c>
      <c r="O1434" s="3" t="s">
        <v>1563</v>
      </c>
      <c r="P1434" s="3" t="s">
        <v>36</v>
      </c>
      <c r="Q1434" s="3"/>
      <c r="R1434" s="4">
        <v>45996</v>
      </c>
      <c r="S1434" s="3" t="s">
        <v>37</v>
      </c>
      <c r="T1434" s="3" t="s">
        <v>38</v>
      </c>
      <c r="U1434" s="3" t="s">
        <v>39</v>
      </c>
      <c r="V1434" s="5">
        <v>1048.54</v>
      </c>
      <c r="W1434" s="3">
        <v>445.63</v>
      </c>
      <c r="X1434" s="3">
        <v>422.04</v>
      </c>
      <c r="Y1434" s="3">
        <v>180.87</v>
      </c>
    </row>
    <row r="1435" spans="1:25" ht="60.75" x14ac:dyDescent="0.25">
      <c r="A1435" s="3" t="s">
        <v>26</v>
      </c>
      <c r="B1435" s="3" t="s">
        <v>27</v>
      </c>
      <c r="C1435" s="3" t="s">
        <v>28</v>
      </c>
      <c r="D1435" s="3" t="s">
        <v>29</v>
      </c>
      <c r="E1435" s="3" t="s">
        <v>186</v>
      </c>
      <c r="F1435" s="3" t="s">
        <v>31</v>
      </c>
      <c r="G1435" s="3" t="s">
        <v>186</v>
      </c>
      <c r="H1435" s="3" t="s">
        <v>45</v>
      </c>
      <c r="I1435" s="3">
        <v>2025</v>
      </c>
      <c r="J1435" s="3" t="str">
        <f>CONCATENATE("54820026570")</f>
        <v>54820026570</v>
      </c>
      <c r="K1435" s="3" t="s">
        <v>33</v>
      </c>
      <c r="L1435" s="3"/>
      <c r="M1435" s="3" t="s">
        <v>131</v>
      </c>
      <c r="N1435" s="3" t="str">
        <f>CONCATENATE("BTTPTR76M16I459X")</f>
        <v>BTTPTR76M16I459X</v>
      </c>
      <c r="O1435" s="3" t="s">
        <v>1564</v>
      </c>
      <c r="P1435" s="3" t="s">
        <v>36</v>
      </c>
      <c r="Q1435" s="3"/>
      <c r="R1435" s="4">
        <v>45996</v>
      </c>
      <c r="S1435" s="3" t="s">
        <v>37</v>
      </c>
      <c r="T1435" s="3" t="s">
        <v>38</v>
      </c>
      <c r="U1435" s="3" t="s">
        <v>39</v>
      </c>
      <c r="V1435" s="3">
        <v>249.91</v>
      </c>
      <c r="W1435" s="3">
        <v>106.21</v>
      </c>
      <c r="X1435" s="3">
        <v>100.59</v>
      </c>
      <c r="Y1435" s="3">
        <v>43.11</v>
      </c>
    </row>
    <row r="1436" spans="1:25" ht="60.75" x14ac:dyDescent="0.25">
      <c r="A1436" s="3" t="s">
        <v>26</v>
      </c>
      <c r="B1436" s="3" t="s">
        <v>27</v>
      </c>
      <c r="C1436" s="3" t="s">
        <v>28</v>
      </c>
      <c r="D1436" s="3" t="s">
        <v>29</v>
      </c>
      <c r="E1436" s="3" t="s">
        <v>476</v>
      </c>
      <c r="F1436" s="3" t="s">
        <v>31</v>
      </c>
      <c r="G1436" s="3" t="s">
        <v>476</v>
      </c>
      <c r="H1436" s="3" t="s">
        <v>48</v>
      </c>
      <c r="I1436" s="3">
        <v>2025</v>
      </c>
      <c r="J1436" s="3" t="str">
        <f>CONCATENATE("54820059530")</f>
        <v>54820059530</v>
      </c>
      <c r="K1436" s="3" t="s">
        <v>33</v>
      </c>
      <c r="L1436" s="3"/>
      <c r="M1436" s="3" t="s">
        <v>131</v>
      </c>
      <c r="N1436" s="3" t="str">
        <f>CONCATENATE("RGGMKI94T15D451R")</f>
        <v>RGGMKI94T15D451R</v>
      </c>
      <c r="O1436" s="3" t="s">
        <v>1565</v>
      </c>
      <c r="P1436" s="3" t="s">
        <v>36</v>
      </c>
      <c r="Q1436" s="3"/>
      <c r="R1436" s="4">
        <v>45996</v>
      </c>
      <c r="S1436" s="3" t="s">
        <v>37</v>
      </c>
      <c r="T1436" s="3" t="s">
        <v>38</v>
      </c>
      <c r="U1436" s="3" t="s">
        <v>39</v>
      </c>
      <c r="V1436" s="3">
        <v>110.49</v>
      </c>
      <c r="W1436" s="3">
        <v>46.96</v>
      </c>
      <c r="X1436" s="3">
        <v>44.47</v>
      </c>
      <c r="Y1436" s="3">
        <v>19.059999999999999</v>
      </c>
    </row>
    <row r="1437" spans="1:25" ht="60.75" x14ac:dyDescent="0.25">
      <c r="A1437" s="3" t="s">
        <v>26</v>
      </c>
      <c r="B1437" s="3" t="s">
        <v>27</v>
      </c>
      <c r="C1437" s="3" t="s">
        <v>28</v>
      </c>
      <c r="D1437" s="3" t="s">
        <v>91</v>
      </c>
      <c r="E1437" s="3" t="s">
        <v>92</v>
      </c>
      <c r="F1437" s="3" t="s">
        <v>93</v>
      </c>
      <c r="G1437" s="3" t="s">
        <v>92</v>
      </c>
      <c r="H1437" s="3" t="s">
        <v>32</v>
      </c>
      <c r="I1437" s="3">
        <v>2025</v>
      </c>
      <c r="J1437" s="3" t="str">
        <f>CONCATENATE("54820032867")</f>
        <v>54820032867</v>
      </c>
      <c r="K1437" s="3" t="s">
        <v>33</v>
      </c>
      <c r="L1437" s="3"/>
      <c r="M1437" s="3" t="s">
        <v>131</v>
      </c>
      <c r="N1437" s="3" t="str">
        <f>CONCATENATE("DTTRTI67R42D211X")</f>
        <v>DTTRTI67R42D211X</v>
      </c>
      <c r="O1437" s="3" t="s">
        <v>1566</v>
      </c>
      <c r="P1437" s="3" t="s">
        <v>36</v>
      </c>
      <c r="Q1437" s="3"/>
      <c r="R1437" s="4">
        <v>45996</v>
      </c>
      <c r="S1437" s="3" t="s">
        <v>37</v>
      </c>
      <c r="T1437" s="3" t="s">
        <v>38</v>
      </c>
      <c r="U1437" s="3" t="s">
        <v>39</v>
      </c>
      <c r="V1437" s="3">
        <v>77.099999999999994</v>
      </c>
      <c r="W1437" s="3">
        <v>32.770000000000003</v>
      </c>
      <c r="X1437" s="3">
        <v>31.03</v>
      </c>
      <c r="Y1437" s="3">
        <v>13.3</v>
      </c>
    </row>
    <row r="1438" spans="1:25" ht="60.75" x14ac:dyDescent="0.25">
      <c r="A1438" s="3" t="s">
        <v>26</v>
      </c>
      <c r="B1438" s="3" t="s">
        <v>27</v>
      </c>
      <c r="C1438" s="3" t="s">
        <v>28</v>
      </c>
      <c r="D1438" s="3" t="s">
        <v>29</v>
      </c>
      <c r="E1438" s="3" t="s">
        <v>56</v>
      </c>
      <c r="F1438" s="3" t="s">
        <v>31</v>
      </c>
      <c r="G1438" s="3" t="s">
        <v>56</v>
      </c>
      <c r="H1438" s="3" t="s">
        <v>32</v>
      </c>
      <c r="I1438" s="3">
        <v>2025</v>
      </c>
      <c r="J1438" s="3" t="str">
        <f>CONCATENATE("54820071246")</f>
        <v>54820071246</v>
      </c>
      <c r="K1438" s="3" t="s">
        <v>33</v>
      </c>
      <c r="L1438" s="3"/>
      <c r="M1438" s="3" t="s">
        <v>131</v>
      </c>
      <c r="N1438" s="3" t="str">
        <f>CONCATENATE("FBNMRT46M09B474X")</f>
        <v>FBNMRT46M09B474X</v>
      </c>
      <c r="O1438" s="3" t="s">
        <v>1567</v>
      </c>
      <c r="P1438" s="3" t="s">
        <v>36</v>
      </c>
      <c r="Q1438" s="3"/>
      <c r="R1438" s="4">
        <v>45996</v>
      </c>
      <c r="S1438" s="3" t="s">
        <v>37</v>
      </c>
      <c r="T1438" s="3" t="s">
        <v>38</v>
      </c>
      <c r="U1438" s="3" t="s">
        <v>39</v>
      </c>
      <c r="V1438" s="3">
        <v>72.05</v>
      </c>
      <c r="W1438" s="3">
        <v>30.62</v>
      </c>
      <c r="X1438" s="3">
        <v>29</v>
      </c>
      <c r="Y1438" s="3">
        <v>12.43</v>
      </c>
    </row>
    <row r="1439" spans="1:25" ht="72.75" x14ac:dyDescent="0.25">
      <c r="A1439" s="3" t="s">
        <v>26</v>
      </c>
      <c r="B1439" s="3" t="s">
        <v>27</v>
      </c>
      <c r="C1439" s="3" t="s">
        <v>28</v>
      </c>
      <c r="D1439" s="3" t="s">
        <v>29</v>
      </c>
      <c r="E1439" s="3" t="s">
        <v>186</v>
      </c>
      <c r="F1439" s="3" t="s">
        <v>31</v>
      </c>
      <c r="G1439" s="3" t="s">
        <v>186</v>
      </c>
      <c r="H1439" s="3" t="s">
        <v>45</v>
      </c>
      <c r="I1439" s="3">
        <v>2025</v>
      </c>
      <c r="J1439" s="3" t="str">
        <f>CONCATENATE("54820024542")</f>
        <v>54820024542</v>
      </c>
      <c r="K1439" s="3" t="s">
        <v>33</v>
      </c>
      <c r="L1439" s="3"/>
      <c r="M1439" s="3" t="s">
        <v>131</v>
      </c>
      <c r="N1439" s="3" t="str">
        <f>CONCATENATE("MNNMRA45R25E743K")</f>
        <v>MNNMRA45R25E743K</v>
      </c>
      <c r="O1439" s="3" t="s">
        <v>1568</v>
      </c>
      <c r="P1439" s="3" t="s">
        <v>36</v>
      </c>
      <c r="Q1439" s="3"/>
      <c r="R1439" s="4">
        <v>45996</v>
      </c>
      <c r="S1439" s="3" t="s">
        <v>37</v>
      </c>
      <c r="T1439" s="3" t="s">
        <v>38</v>
      </c>
      <c r="U1439" s="3" t="s">
        <v>39</v>
      </c>
      <c r="V1439" s="3">
        <v>80.11</v>
      </c>
      <c r="W1439" s="3">
        <v>34.049999999999997</v>
      </c>
      <c r="X1439" s="3">
        <v>32.24</v>
      </c>
      <c r="Y1439" s="3">
        <v>13.82</v>
      </c>
    </row>
    <row r="1440" spans="1:25" ht="60.75" x14ac:dyDescent="0.25">
      <c r="A1440" s="3" t="s">
        <v>26</v>
      </c>
      <c r="B1440" s="3" t="s">
        <v>27</v>
      </c>
      <c r="C1440" s="3" t="s">
        <v>28</v>
      </c>
      <c r="D1440" s="3" t="s">
        <v>104</v>
      </c>
      <c r="E1440" s="3" t="s">
        <v>691</v>
      </c>
      <c r="F1440" s="3" t="s">
        <v>104</v>
      </c>
      <c r="G1440" s="3" t="s">
        <v>691</v>
      </c>
      <c r="H1440" s="3" t="s">
        <v>48</v>
      </c>
      <c r="I1440" s="3">
        <v>2025</v>
      </c>
      <c r="J1440" s="3" t="str">
        <f>CONCATENATE("54820007562")</f>
        <v>54820007562</v>
      </c>
      <c r="K1440" s="3" t="s">
        <v>33</v>
      </c>
      <c r="L1440" s="3"/>
      <c r="M1440" s="3" t="s">
        <v>131</v>
      </c>
      <c r="N1440" s="3" t="str">
        <f>CONCATENATE("LRNGDU50R12I653G")</f>
        <v>LRNGDU50R12I653G</v>
      </c>
      <c r="O1440" s="3" t="s">
        <v>1569</v>
      </c>
      <c r="P1440" s="3" t="s">
        <v>36</v>
      </c>
      <c r="Q1440" s="3"/>
      <c r="R1440" s="4">
        <v>45996</v>
      </c>
      <c r="S1440" s="3" t="s">
        <v>37</v>
      </c>
      <c r="T1440" s="3" t="s">
        <v>38</v>
      </c>
      <c r="U1440" s="3" t="s">
        <v>39</v>
      </c>
      <c r="V1440" s="3">
        <v>76.53</v>
      </c>
      <c r="W1440" s="3">
        <v>32.53</v>
      </c>
      <c r="X1440" s="3">
        <v>30.8</v>
      </c>
      <c r="Y1440" s="3">
        <v>13.2</v>
      </c>
    </row>
    <row r="1441" spans="1:25" ht="60.75" x14ac:dyDescent="0.25">
      <c r="A1441" s="3" t="s">
        <v>26</v>
      </c>
      <c r="B1441" s="3" t="s">
        <v>27</v>
      </c>
      <c r="C1441" s="3" t="s">
        <v>28</v>
      </c>
      <c r="D1441" s="3" t="s">
        <v>29</v>
      </c>
      <c r="E1441" s="3" t="s">
        <v>228</v>
      </c>
      <c r="F1441" s="3" t="s">
        <v>31</v>
      </c>
      <c r="G1441" s="3" t="s">
        <v>228</v>
      </c>
      <c r="H1441" s="3" t="s">
        <v>45</v>
      </c>
      <c r="I1441" s="3">
        <v>2025</v>
      </c>
      <c r="J1441" s="3" t="str">
        <f>CONCATENATE("54820033683")</f>
        <v>54820033683</v>
      </c>
      <c r="K1441" s="3" t="s">
        <v>33</v>
      </c>
      <c r="L1441" s="3"/>
      <c r="M1441" s="3" t="s">
        <v>131</v>
      </c>
      <c r="N1441" s="3" t="str">
        <f>CONCATENATE("BRCLSU61P58D749X")</f>
        <v>BRCLSU61P58D749X</v>
      </c>
      <c r="O1441" s="3" t="s">
        <v>1570</v>
      </c>
      <c r="P1441" s="3" t="s">
        <v>36</v>
      </c>
      <c r="Q1441" s="3"/>
      <c r="R1441" s="4">
        <v>45996</v>
      </c>
      <c r="S1441" s="3" t="s">
        <v>37</v>
      </c>
      <c r="T1441" s="3" t="s">
        <v>38</v>
      </c>
      <c r="U1441" s="3" t="s">
        <v>39</v>
      </c>
      <c r="V1441" s="3">
        <v>67.17</v>
      </c>
      <c r="W1441" s="3">
        <v>28.55</v>
      </c>
      <c r="X1441" s="3">
        <v>27.04</v>
      </c>
      <c r="Y1441" s="3">
        <v>11.58</v>
      </c>
    </row>
    <row r="1442" spans="1:25" ht="60.75" x14ac:dyDescent="0.25">
      <c r="A1442" s="3" t="s">
        <v>26</v>
      </c>
      <c r="B1442" s="3" t="s">
        <v>27</v>
      </c>
      <c r="C1442" s="3" t="s">
        <v>28</v>
      </c>
      <c r="D1442" s="3" t="s">
        <v>29</v>
      </c>
      <c r="E1442" s="3" t="s">
        <v>72</v>
      </c>
      <c r="F1442" s="3" t="s">
        <v>31</v>
      </c>
      <c r="G1442" s="3" t="s">
        <v>72</v>
      </c>
      <c r="H1442" s="3" t="s">
        <v>45</v>
      </c>
      <c r="I1442" s="3">
        <v>2025</v>
      </c>
      <c r="J1442" s="3" t="str">
        <f>CONCATENATE("54820028642")</f>
        <v>54820028642</v>
      </c>
      <c r="K1442" s="3" t="s">
        <v>33</v>
      </c>
      <c r="L1442" s="3"/>
      <c r="M1442" s="3" t="s">
        <v>131</v>
      </c>
      <c r="N1442" s="3" t="str">
        <f>CONCATENATE("SRNGLE42L49B636H")</f>
        <v>SRNGLE42L49B636H</v>
      </c>
      <c r="O1442" s="3" t="s">
        <v>1571</v>
      </c>
      <c r="P1442" s="3" t="s">
        <v>36</v>
      </c>
      <c r="Q1442" s="3"/>
      <c r="R1442" s="4">
        <v>45996</v>
      </c>
      <c r="S1442" s="3" t="s">
        <v>37</v>
      </c>
      <c r="T1442" s="3" t="s">
        <v>38</v>
      </c>
      <c r="U1442" s="3" t="s">
        <v>39</v>
      </c>
      <c r="V1442" s="3">
        <v>54.65</v>
      </c>
      <c r="W1442" s="3">
        <v>23.23</v>
      </c>
      <c r="X1442" s="3">
        <v>22</v>
      </c>
      <c r="Y1442" s="3">
        <v>9.42</v>
      </c>
    </row>
    <row r="1443" spans="1:25" ht="60.75" x14ac:dyDescent="0.25">
      <c r="A1443" s="3" t="s">
        <v>26</v>
      </c>
      <c r="B1443" s="3" t="s">
        <v>27</v>
      </c>
      <c r="C1443" s="3" t="s">
        <v>28</v>
      </c>
      <c r="D1443" s="3" t="s">
        <v>29</v>
      </c>
      <c r="E1443" s="3" t="s">
        <v>68</v>
      </c>
      <c r="F1443" s="3" t="s">
        <v>31</v>
      </c>
      <c r="G1443" s="3" t="s">
        <v>68</v>
      </c>
      <c r="H1443" s="3" t="s">
        <v>32</v>
      </c>
      <c r="I1443" s="3">
        <v>2025</v>
      </c>
      <c r="J1443" s="3" t="str">
        <f>CONCATENATE("54820047865")</f>
        <v>54820047865</v>
      </c>
      <c r="K1443" s="3" t="s">
        <v>33</v>
      </c>
      <c r="L1443" s="3"/>
      <c r="M1443" s="3" t="s">
        <v>131</v>
      </c>
      <c r="N1443" s="3" t="str">
        <f>CONCATENATE("GNNNND56B16C582R")</f>
        <v>GNNNND56B16C582R</v>
      </c>
      <c r="O1443" s="3" t="s">
        <v>1572</v>
      </c>
      <c r="P1443" s="3" t="s">
        <v>36</v>
      </c>
      <c r="Q1443" s="3"/>
      <c r="R1443" s="4">
        <v>45996</v>
      </c>
      <c r="S1443" s="3" t="s">
        <v>37</v>
      </c>
      <c r="T1443" s="3" t="s">
        <v>38</v>
      </c>
      <c r="U1443" s="3" t="s">
        <v>39</v>
      </c>
      <c r="V1443" s="3">
        <v>110.59</v>
      </c>
      <c r="W1443" s="3">
        <v>47</v>
      </c>
      <c r="X1443" s="3">
        <v>44.51</v>
      </c>
      <c r="Y1443" s="3">
        <v>19.079999999999998</v>
      </c>
    </row>
    <row r="1444" spans="1:25" ht="60.75" x14ac:dyDescent="0.25">
      <c r="A1444" s="3" t="s">
        <v>26</v>
      </c>
      <c r="B1444" s="3" t="s">
        <v>27</v>
      </c>
      <c r="C1444" s="3" t="s">
        <v>28</v>
      </c>
      <c r="D1444" s="3" t="s">
        <v>29</v>
      </c>
      <c r="E1444" s="3" t="s">
        <v>233</v>
      </c>
      <c r="F1444" s="3" t="s">
        <v>31</v>
      </c>
      <c r="G1444" s="3" t="s">
        <v>233</v>
      </c>
      <c r="H1444" s="3" t="s">
        <v>96</v>
      </c>
      <c r="I1444" s="3">
        <v>2025</v>
      </c>
      <c r="J1444" s="3" t="str">
        <f>CONCATENATE("54820066667")</f>
        <v>54820066667</v>
      </c>
      <c r="K1444" s="3" t="s">
        <v>33</v>
      </c>
      <c r="L1444" s="3"/>
      <c r="M1444" s="3" t="s">
        <v>131</v>
      </c>
      <c r="N1444" s="3" t="str">
        <f>CONCATENATE("PMPPRI72P58H390P")</f>
        <v>PMPPRI72P58H390P</v>
      </c>
      <c r="O1444" s="3" t="s">
        <v>1573</v>
      </c>
      <c r="P1444" s="3" t="s">
        <v>36</v>
      </c>
      <c r="Q1444" s="3"/>
      <c r="R1444" s="4">
        <v>45996</v>
      </c>
      <c r="S1444" s="3" t="s">
        <v>37</v>
      </c>
      <c r="T1444" s="3" t="s">
        <v>38</v>
      </c>
      <c r="U1444" s="3" t="s">
        <v>39</v>
      </c>
      <c r="V1444" s="3">
        <v>99.77</v>
      </c>
      <c r="W1444" s="3">
        <v>42.4</v>
      </c>
      <c r="X1444" s="3">
        <v>40.159999999999997</v>
      </c>
      <c r="Y1444" s="3">
        <v>17.21</v>
      </c>
    </row>
    <row r="1445" spans="1:25" ht="72.75" x14ac:dyDescent="0.25">
      <c r="A1445" s="3" t="s">
        <v>26</v>
      </c>
      <c r="B1445" s="3" t="s">
        <v>27</v>
      </c>
      <c r="C1445" s="3" t="s">
        <v>28</v>
      </c>
      <c r="D1445" s="3" t="s">
        <v>29</v>
      </c>
      <c r="E1445" s="3" t="s">
        <v>72</v>
      </c>
      <c r="F1445" s="3" t="s">
        <v>31</v>
      </c>
      <c r="G1445" s="3" t="s">
        <v>72</v>
      </c>
      <c r="H1445" s="3" t="s">
        <v>45</v>
      </c>
      <c r="I1445" s="3">
        <v>2025</v>
      </c>
      <c r="J1445" s="3" t="str">
        <f>CONCATENATE("54820058128")</f>
        <v>54820058128</v>
      </c>
      <c r="K1445" s="3" t="s">
        <v>33</v>
      </c>
      <c r="L1445" s="3"/>
      <c r="M1445" s="3" t="s">
        <v>131</v>
      </c>
      <c r="N1445" s="3" t="str">
        <f>CONCATENATE("RSSGPP54B15B352H")</f>
        <v>RSSGPP54B15B352H</v>
      </c>
      <c r="O1445" s="3" t="s">
        <v>1574</v>
      </c>
      <c r="P1445" s="3" t="s">
        <v>36</v>
      </c>
      <c r="Q1445" s="3"/>
      <c r="R1445" s="4">
        <v>45996</v>
      </c>
      <c r="S1445" s="3" t="s">
        <v>37</v>
      </c>
      <c r="T1445" s="3" t="s">
        <v>38</v>
      </c>
      <c r="U1445" s="3" t="s">
        <v>39</v>
      </c>
      <c r="V1445" s="3">
        <v>46.98</v>
      </c>
      <c r="W1445" s="3">
        <v>19.97</v>
      </c>
      <c r="X1445" s="3">
        <v>18.91</v>
      </c>
      <c r="Y1445" s="3">
        <v>8.1</v>
      </c>
    </row>
    <row r="1446" spans="1:25" ht="72.75" x14ac:dyDescent="0.25">
      <c r="A1446" s="3" t="s">
        <v>26</v>
      </c>
      <c r="B1446" s="3" t="s">
        <v>27</v>
      </c>
      <c r="C1446" s="3" t="s">
        <v>28</v>
      </c>
      <c r="D1446" s="3" t="s">
        <v>50</v>
      </c>
      <c r="E1446" s="3" t="s">
        <v>173</v>
      </c>
      <c r="F1446" s="3" t="s">
        <v>52</v>
      </c>
      <c r="G1446" s="3" t="s">
        <v>173</v>
      </c>
      <c r="H1446" s="3" t="s">
        <v>45</v>
      </c>
      <c r="I1446" s="3">
        <v>2025</v>
      </c>
      <c r="J1446" s="3" t="str">
        <f>CONCATENATE("54820034376")</f>
        <v>54820034376</v>
      </c>
      <c r="K1446" s="3" t="s">
        <v>33</v>
      </c>
      <c r="L1446" s="3"/>
      <c r="M1446" s="3" t="s">
        <v>131</v>
      </c>
      <c r="N1446" s="3" t="str">
        <f>CONCATENATE("SPDMRN50E24F467H")</f>
        <v>SPDMRN50E24F467H</v>
      </c>
      <c r="O1446" s="3" t="s">
        <v>1575</v>
      </c>
      <c r="P1446" s="3" t="s">
        <v>36</v>
      </c>
      <c r="Q1446" s="3"/>
      <c r="R1446" s="4">
        <v>45996</v>
      </c>
      <c r="S1446" s="3" t="s">
        <v>37</v>
      </c>
      <c r="T1446" s="3" t="s">
        <v>38</v>
      </c>
      <c r="U1446" s="3" t="s">
        <v>39</v>
      </c>
      <c r="V1446" s="3">
        <v>137.37</v>
      </c>
      <c r="W1446" s="3">
        <v>58.38</v>
      </c>
      <c r="X1446" s="3">
        <v>55.29</v>
      </c>
      <c r="Y1446" s="3">
        <v>23.7</v>
      </c>
    </row>
    <row r="1447" spans="1:25" ht="60.75" x14ac:dyDescent="0.25">
      <c r="A1447" s="3" t="s">
        <v>26</v>
      </c>
      <c r="B1447" s="3" t="s">
        <v>27</v>
      </c>
      <c r="C1447" s="3" t="s">
        <v>28</v>
      </c>
      <c r="D1447" s="3" t="s">
        <v>40</v>
      </c>
      <c r="E1447" s="3" t="s">
        <v>287</v>
      </c>
      <c r="F1447" s="3" t="s">
        <v>42</v>
      </c>
      <c r="G1447" s="3" t="s">
        <v>287</v>
      </c>
      <c r="H1447" s="3" t="s">
        <v>32</v>
      </c>
      <c r="I1447" s="3">
        <v>2025</v>
      </c>
      <c r="J1447" s="3" t="str">
        <f>CONCATENATE("54820015979")</f>
        <v>54820015979</v>
      </c>
      <c r="K1447" s="3" t="s">
        <v>33</v>
      </c>
      <c r="L1447" s="3"/>
      <c r="M1447" s="3" t="s">
        <v>131</v>
      </c>
      <c r="N1447" s="3" t="str">
        <f>CONCATENATE("FTTGRD50M13B474Y")</f>
        <v>FTTGRD50M13B474Y</v>
      </c>
      <c r="O1447" s="3" t="s">
        <v>1576</v>
      </c>
      <c r="P1447" s="3" t="s">
        <v>36</v>
      </c>
      <c r="Q1447" s="3"/>
      <c r="R1447" s="4">
        <v>45996</v>
      </c>
      <c r="S1447" s="3" t="s">
        <v>37</v>
      </c>
      <c r="T1447" s="3" t="s">
        <v>38</v>
      </c>
      <c r="U1447" s="3" t="s">
        <v>39</v>
      </c>
      <c r="V1447" s="3">
        <v>480.4</v>
      </c>
      <c r="W1447" s="3">
        <v>204.17</v>
      </c>
      <c r="X1447" s="3">
        <v>193.36</v>
      </c>
      <c r="Y1447" s="3">
        <v>82.87</v>
      </c>
    </row>
    <row r="1448" spans="1:25" ht="60.75" x14ac:dyDescent="0.25">
      <c r="A1448" s="3" t="s">
        <v>26</v>
      </c>
      <c r="B1448" s="3" t="s">
        <v>27</v>
      </c>
      <c r="C1448" s="3" t="s">
        <v>28</v>
      </c>
      <c r="D1448" s="3" t="s">
        <v>29</v>
      </c>
      <c r="E1448" s="3" t="s">
        <v>228</v>
      </c>
      <c r="F1448" s="3" t="s">
        <v>31</v>
      </c>
      <c r="G1448" s="3" t="s">
        <v>228</v>
      </c>
      <c r="H1448" s="3" t="s">
        <v>45</v>
      </c>
      <c r="I1448" s="3">
        <v>2025</v>
      </c>
      <c r="J1448" s="3" t="str">
        <f>CONCATENATE("54820035597")</f>
        <v>54820035597</v>
      </c>
      <c r="K1448" s="3" t="s">
        <v>33</v>
      </c>
      <c r="L1448" s="3"/>
      <c r="M1448" s="3" t="s">
        <v>131</v>
      </c>
      <c r="N1448" s="3" t="str">
        <f>CONCATENATE("DTLDFN47E58D749X")</f>
        <v>DTLDFN47E58D749X</v>
      </c>
      <c r="O1448" s="3" t="s">
        <v>1577</v>
      </c>
      <c r="P1448" s="3" t="s">
        <v>36</v>
      </c>
      <c r="Q1448" s="3"/>
      <c r="R1448" s="4">
        <v>45996</v>
      </c>
      <c r="S1448" s="3" t="s">
        <v>37</v>
      </c>
      <c r="T1448" s="3" t="s">
        <v>38</v>
      </c>
      <c r="U1448" s="3" t="s">
        <v>39</v>
      </c>
      <c r="V1448" s="3">
        <v>124.96</v>
      </c>
      <c r="W1448" s="3">
        <v>53.11</v>
      </c>
      <c r="X1448" s="3">
        <v>50.3</v>
      </c>
      <c r="Y1448" s="3">
        <v>21.55</v>
      </c>
    </row>
    <row r="1449" spans="1:25" ht="72.75" x14ac:dyDescent="0.25">
      <c r="A1449" s="3" t="s">
        <v>26</v>
      </c>
      <c r="B1449" s="3" t="s">
        <v>27</v>
      </c>
      <c r="C1449" s="3" t="s">
        <v>28</v>
      </c>
      <c r="D1449" s="3" t="s">
        <v>29</v>
      </c>
      <c r="E1449" s="3" t="s">
        <v>228</v>
      </c>
      <c r="F1449" s="3" t="s">
        <v>31</v>
      </c>
      <c r="G1449" s="3" t="s">
        <v>228</v>
      </c>
      <c r="H1449" s="3" t="s">
        <v>45</v>
      </c>
      <c r="I1449" s="3">
        <v>2025</v>
      </c>
      <c r="J1449" s="3" t="str">
        <f>CONCATENATE("54820032966")</f>
        <v>54820032966</v>
      </c>
      <c r="K1449" s="3" t="s">
        <v>33</v>
      </c>
      <c r="L1449" s="3"/>
      <c r="M1449" s="3" t="s">
        <v>131</v>
      </c>
      <c r="N1449" s="3" t="str">
        <f>CONCATENATE("BTTMSM66L02D749O")</f>
        <v>BTTMSM66L02D749O</v>
      </c>
      <c r="O1449" s="3" t="s">
        <v>1578</v>
      </c>
      <c r="P1449" s="3" t="s">
        <v>36</v>
      </c>
      <c r="Q1449" s="3"/>
      <c r="R1449" s="4">
        <v>45996</v>
      </c>
      <c r="S1449" s="3" t="s">
        <v>37</v>
      </c>
      <c r="T1449" s="3" t="s">
        <v>38</v>
      </c>
      <c r="U1449" s="3" t="s">
        <v>39</v>
      </c>
      <c r="V1449" s="3">
        <v>213.27</v>
      </c>
      <c r="W1449" s="3">
        <v>90.64</v>
      </c>
      <c r="X1449" s="3">
        <v>85.84</v>
      </c>
      <c r="Y1449" s="3">
        <v>36.79</v>
      </c>
    </row>
    <row r="1450" spans="1:25" ht="60.75" x14ac:dyDescent="0.25">
      <c r="A1450" s="3" t="s">
        <v>26</v>
      </c>
      <c r="B1450" s="3" t="s">
        <v>27</v>
      </c>
      <c r="C1450" s="3" t="s">
        <v>28</v>
      </c>
      <c r="D1450" s="3" t="s">
        <v>29</v>
      </c>
      <c r="E1450" s="3" t="s">
        <v>208</v>
      </c>
      <c r="F1450" s="3" t="s">
        <v>31</v>
      </c>
      <c r="G1450" s="3" t="s">
        <v>208</v>
      </c>
      <c r="H1450" s="3" t="s">
        <v>45</v>
      </c>
      <c r="I1450" s="3">
        <v>2025</v>
      </c>
      <c r="J1450" s="3" t="str">
        <f>CONCATENATE("54820054713")</f>
        <v>54820054713</v>
      </c>
      <c r="K1450" s="3" t="s">
        <v>33</v>
      </c>
      <c r="L1450" s="3"/>
      <c r="M1450" s="3" t="s">
        <v>131</v>
      </c>
      <c r="N1450" s="3" t="str">
        <f>CONCATENATE("MZZGPP56H28F135M")</f>
        <v>MZZGPP56H28F135M</v>
      </c>
      <c r="O1450" s="3" t="s">
        <v>1579</v>
      </c>
      <c r="P1450" s="3" t="s">
        <v>36</v>
      </c>
      <c r="Q1450" s="3"/>
      <c r="R1450" s="4">
        <v>45996</v>
      </c>
      <c r="S1450" s="3" t="s">
        <v>37</v>
      </c>
      <c r="T1450" s="3" t="s">
        <v>38</v>
      </c>
      <c r="U1450" s="3" t="s">
        <v>39</v>
      </c>
      <c r="V1450" s="3">
        <v>249.02</v>
      </c>
      <c r="W1450" s="3">
        <v>105.83</v>
      </c>
      <c r="X1450" s="3">
        <v>100.23</v>
      </c>
      <c r="Y1450" s="3">
        <v>42.96</v>
      </c>
    </row>
    <row r="1451" spans="1:25" ht="72.75" x14ac:dyDescent="0.25">
      <c r="A1451" s="3" t="s">
        <v>26</v>
      </c>
      <c r="B1451" s="3" t="s">
        <v>27</v>
      </c>
      <c r="C1451" s="3" t="s">
        <v>28</v>
      </c>
      <c r="D1451" s="3" t="s">
        <v>29</v>
      </c>
      <c r="E1451" s="3" t="s">
        <v>228</v>
      </c>
      <c r="F1451" s="3" t="s">
        <v>31</v>
      </c>
      <c r="G1451" s="3" t="s">
        <v>228</v>
      </c>
      <c r="H1451" s="3" t="s">
        <v>45</v>
      </c>
      <c r="I1451" s="3">
        <v>2025</v>
      </c>
      <c r="J1451" s="3" t="str">
        <f>CONCATENATE("54820051735")</f>
        <v>54820051735</v>
      </c>
      <c r="K1451" s="3" t="s">
        <v>33</v>
      </c>
      <c r="L1451" s="3"/>
      <c r="M1451" s="3" t="s">
        <v>131</v>
      </c>
      <c r="N1451" s="3" t="str">
        <f>CONCATENATE("PRCNRA66M53D749M")</f>
        <v>PRCNRA66M53D749M</v>
      </c>
      <c r="O1451" s="3" t="s">
        <v>1580</v>
      </c>
      <c r="P1451" s="3" t="s">
        <v>36</v>
      </c>
      <c r="Q1451" s="3"/>
      <c r="R1451" s="4">
        <v>45996</v>
      </c>
      <c r="S1451" s="3" t="s">
        <v>37</v>
      </c>
      <c r="T1451" s="3" t="s">
        <v>38</v>
      </c>
      <c r="U1451" s="3" t="s">
        <v>39</v>
      </c>
      <c r="V1451" s="3">
        <v>48.08</v>
      </c>
      <c r="W1451" s="3">
        <v>20.43</v>
      </c>
      <c r="X1451" s="3">
        <v>19.350000000000001</v>
      </c>
      <c r="Y1451" s="3">
        <v>8.3000000000000007</v>
      </c>
    </row>
    <row r="1452" spans="1:25" ht="60.75" x14ac:dyDescent="0.25">
      <c r="A1452" s="3" t="s">
        <v>26</v>
      </c>
      <c r="B1452" s="3" t="s">
        <v>27</v>
      </c>
      <c r="C1452" s="3" t="s">
        <v>28</v>
      </c>
      <c r="D1452" s="3" t="s">
        <v>29</v>
      </c>
      <c r="E1452" s="3" t="s">
        <v>228</v>
      </c>
      <c r="F1452" s="3" t="s">
        <v>31</v>
      </c>
      <c r="G1452" s="3" t="s">
        <v>228</v>
      </c>
      <c r="H1452" s="3" t="s">
        <v>45</v>
      </c>
      <c r="I1452" s="3">
        <v>2025</v>
      </c>
      <c r="J1452" s="3" t="str">
        <f>CONCATENATE("54820027883")</f>
        <v>54820027883</v>
      </c>
      <c r="K1452" s="3" t="s">
        <v>33</v>
      </c>
      <c r="L1452" s="3"/>
      <c r="M1452" s="3" t="s">
        <v>131</v>
      </c>
      <c r="N1452" s="3" t="str">
        <f>CONCATENATE("BRCLDI37M55I608K")</f>
        <v>BRCLDI37M55I608K</v>
      </c>
      <c r="O1452" s="3" t="s">
        <v>1581</v>
      </c>
      <c r="P1452" s="3" t="s">
        <v>36</v>
      </c>
      <c r="Q1452" s="3"/>
      <c r="R1452" s="4">
        <v>45996</v>
      </c>
      <c r="S1452" s="3" t="s">
        <v>37</v>
      </c>
      <c r="T1452" s="3" t="s">
        <v>38</v>
      </c>
      <c r="U1452" s="3" t="s">
        <v>39</v>
      </c>
      <c r="V1452" s="3">
        <v>82.72</v>
      </c>
      <c r="W1452" s="3">
        <v>35.159999999999997</v>
      </c>
      <c r="X1452" s="3">
        <v>33.29</v>
      </c>
      <c r="Y1452" s="3">
        <v>14.27</v>
      </c>
    </row>
    <row r="1453" spans="1:25" ht="60.75" x14ac:dyDescent="0.25">
      <c r="A1453" s="3" t="s">
        <v>26</v>
      </c>
      <c r="B1453" s="3" t="s">
        <v>27</v>
      </c>
      <c r="C1453" s="3" t="s">
        <v>28</v>
      </c>
      <c r="D1453" s="3" t="s">
        <v>29</v>
      </c>
      <c r="E1453" s="3" t="s">
        <v>228</v>
      </c>
      <c r="F1453" s="3" t="s">
        <v>31</v>
      </c>
      <c r="G1453" s="3" t="s">
        <v>228</v>
      </c>
      <c r="H1453" s="3" t="s">
        <v>45</v>
      </c>
      <c r="I1453" s="3">
        <v>2025</v>
      </c>
      <c r="J1453" s="3" t="str">
        <f>CONCATENATE("54820034558")</f>
        <v>54820034558</v>
      </c>
      <c r="K1453" s="3" t="s">
        <v>33</v>
      </c>
      <c r="L1453" s="3"/>
      <c r="M1453" s="3" t="s">
        <v>131</v>
      </c>
      <c r="N1453" s="3" t="str">
        <f>CONCATENATE("CLCLGU54R08D749A")</f>
        <v>CLCLGU54R08D749A</v>
      </c>
      <c r="O1453" s="3" t="s">
        <v>1582</v>
      </c>
      <c r="P1453" s="3" t="s">
        <v>36</v>
      </c>
      <c r="Q1453" s="3"/>
      <c r="R1453" s="4">
        <v>45996</v>
      </c>
      <c r="S1453" s="3" t="s">
        <v>37</v>
      </c>
      <c r="T1453" s="3" t="s">
        <v>38</v>
      </c>
      <c r="U1453" s="3" t="s">
        <v>39</v>
      </c>
      <c r="V1453" s="3">
        <v>47.59</v>
      </c>
      <c r="W1453" s="3">
        <v>20.23</v>
      </c>
      <c r="X1453" s="3">
        <v>19.149999999999999</v>
      </c>
      <c r="Y1453" s="3">
        <v>8.2100000000000009</v>
      </c>
    </row>
    <row r="1454" spans="1:25" ht="60.75" x14ac:dyDescent="0.25">
      <c r="A1454" s="3" t="s">
        <v>26</v>
      </c>
      <c r="B1454" s="3" t="s">
        <v>27</v>
      </c>
      <c r="C1454" s="3" t="s">
        <v>28</v>
      </c>
      <c r="D1454" s="3" t="s">
        <v>29</v>
      </c>
      <c r="E1454" s="3" t="s">
        <v>47</v>
      </c>
      <c r="F1454" s="3" t="s">
        <v>31</v>
      </c>
      <c r="G1454" s="3" t="s">
        <v>47</v>
      </c>
      <c r="H1454" s="3" t="s">
        <v>48</v>
      </c>
      <c r="I1454" s="3">
        <v>2025</v>
      </c>
      <c r="J1454" s="3" t="str">
        <f>CONCATENATE("54820044904")</f>
        <v>54820044904</v>
      </c>
      <c r="K1454" s="3" t="s">
        <v>33</v>
      </c>
      <c r="L1454" s="3"/>
      <c r="M1454" s="3" t="s">
        <v>131</v>
      </c>
      <c r="N1454" s="3" t="str">
        <f>CONCATENATE("SLVDEI66S26Z133I")</f>
        <v>SLVDEI66S26Z133I</v>
      </c>
      <c r="O1454" s="3" t="s">
        <v>1583</v>
      </c>
      <c r="P1454" s="3" t="s">
        <v>36</v>
      </c>
      <c r="Q1454" s="3"/>
      <c r="R1454" s="4">
        <v>45996</v>
      </c>
      <c r="S1454" s="3" t="s">
        <v>37</v>
      </c>
      <c r="T1454" s="3" t="s">
        <v>38</v>
      </c>
      <c r="U1454" s="3" t="s">
        <v>39</v>
      </c>
      <c r="V1454" s="3">
        <v>52.03</v>
      </c>
      <c r="W1454" s="3">
        <v>22.11</v>
      </c>
      <c r="X1454" s="3">
        <v>20.94</v>
      </c>
      <c r="Y1454" s="3">
        <v>8.98</v>
      </c>
    </row>
    <row r="1455" spans="1:25" ht="60.75" x14ac:dyDescent="0.25">
      <c r="A1455" s="3" t="s">
        <v>26</v>
      </c>
      <c r="B1455" s="3" t="s">
        <v>27</v>
      </c>
      <c r="C1455" s="3" t="s">
        <v>28</v>
      </c>
      <c r="D1455" s="3" t="s">
        <v>29</v>
      </c>
      <c r="E1455" s="3" t="s">
        <v>228</v>
      </c>
      <c r="F1455" s="3" t="s">
        <v>31</v>
      </c>
      <c r="G1455" s="3" t="s">
        <v>228</v>
      </c>
      <c r="H1455" s="3" t="s">
        <v>45</v>
      </c>
      <c r="I1455" s="3">
        <v>2025</v>
      </c>
      <c r="J1455" s="3" t="str">
        <f>CONCATENATE("54820035985")</f>
        <v>54820035985</v>
      </c>
      <c r="K1455" s="3" t="s">
        <v>33</v>
      </c>
      <c r="L1455" s="3"/>
      <c r="M1455" s="3" t="s">
        <v>131</v>
      </c>
      <c r="N1455" s="3" t="str">
        <f>CONCATENATE("FNCCRL80L28D749L")</f>
        <v>FNCCRL80L28D749L</v>
      </c>
      <c r="O1455" s="3" t="s">
        <v>1584</v>
      </c>
      <c r="P1455" s="3" t="s">
        <v>36</v>
      </c>
      <c r="Q1455" s="3"/>
      <c r="R1455" s="4">
        <v>45996</v>
      </c>
      <c r="S1455" s="3" t="s">
        <v>37</v>
      </c>
      <c r="T1455" s="3" t="s">
        <v>38</v>
      </c>
      <c r="U1455" s="3" t="s">
        <v>39</v>
      </c>
      <c r="V1455" s="3">
        <v>47.93</v>
      </c>
      <c r="W1455" s="3">
        <v>20.37</v>
      </c>
      <c r="X1455" s="3">
        <v>19.29</v>
      </c>
      <c r="Y1455" s="3">
        <v>8.27</v>
      </c>
    </row>
    <row r="1456" spans="1:25" ht="60.75" x14ac:dyDescent="0.25">
      <c r="A1456" s="3" t="s">
        <v>26</v>
      </c>
      <c r="B1456" s="3" t="s">
        <v>27</v>
      </c>
      <c r="C1456" s="3" t="s">
        <v>28</v>
      </c>
      <c r="D1456" s="3" t="s">
        <v>40</v>
      </c>
      <c r="E1456" s="3" t="s">
        <v>287</v>
      </c>
      <c r="F1456" s="3" t="s">
        <v>42</v>
      </c>
      <c r="G1456" s="3" t="s">
        <v>287</v>
      </c>
      <c r="H1456" s="3" t="s">
        <v>32</v>
      </c>
      <c r="I1456" s="3">
        <v>2025</v>
      </c>
      <c r="J1456" s="3" t="str">
        <f>CONCATENATE("54820015953")</f>
        <v>54820015953</v>
      </c>
      <c r="K1456" s="3" t="s">
        <v>33</v>
      </c>
      <c r="L1456" s="3"/>
      <c r="M1456" s="3" t="s">
        <v>131</v>
      </c>
      <c r="N1456" s="3" t="str">
        <f>CONCATENATE("PFNFCT31M07M078J")</f>
        <v>PFNFCT31M07M078J</v>
      </c>
      <c r="O1456" s="3" t="s">
        <v>1585</v>
      </c>
      <c r="P1456" s="3" t="s">
        <v>36</v>
      </c>
      <c r="Q1456" s="3"/>
      <c r="R1456" s="4">
        <v>45996</v>
      </c>
      <c r="S1456" s="3" t="s">
        <v>37</v>
      </c>
      <c r="T1456" s="3" t="s">
        <v>38</v>
      </c>
      <c r="U1456" s="3" t="s">
        <v>39</v>
      </c>
      <c r="V1456" s="3">
        <v>102.48</v>
      </c>
      <c r="W1456" s="3">
        <v>43.55</v>
      </c>
      <c r="X1456" s="3">
        <v>41.25</v>
      </c>
      <c r="Y1456" s="3">
        <v>17.68</v>
      </c>
    </row>
    <row r="1457" spans="1:25" ht="72.75" x14ac:dyDescent="0.25">
      <c r="A1457" s="3" t="s">
        <v>26</v>
      </c>
      <c r="B1457" s="3" t="s">
        <v>27</v>
      </c>
      <c r="C1457" s="3" t="s">
        <v>28</v>
      </c>
      <c r="D1457" s="3" t="s">
        <v>29</v>
      </c>
      <c r="E1457" s="3" t="s">
        <v>56</v>
      </c>
      <c r="F1457" s="3" t="s">
        <v>31</v>
      </c>
      <c r="G1457" s="3" t="s">
        <v>56</v>
      </c>
      <c r="H1457" s="3" t="s">
        <v>32</v>
      </c>
      <c r="I1457" s="3">
        <v>2025</v>
      </c>
      <c r="J1457" s="3" t="str">
        <f>CONCATENATE("54820023916")</f>
        <v>54820023916</v>
      </c>
      <c r="K1457" s="3" t="s">
        <v>33</v>
      </c>
      <c r="L1457" s="3"/>
      <c r="M1457" s="3" t="s">
        <v>131</v>
      </c>
      <c r="N1457" s="3" t="str">
        <f>CONCATENATE("DMNNZR45R30D653S")</f>
        <v>DMNNZR45R30D653S</v>
      </c>
      <c r="O1457" s="3" t="s">
        <v>1586</v>
      </c>
      <c r="P1457" s="3" t="s">
        <v>36</v>
      </c>
      <c r="Q1457" s="3"/>
      <c r="R1457" s="4">
        <v>45996</v>
      </c>
      <c r="S1457" s="3" t="s">
        <v>37</v>
      </c>
      <c r="T1457" s="3" t="s">
        <v>38</v>
      </c>
      <c r="U1457" s="3" t="s">
        <v>39</v>
      </c>
      <c r="V1457" s="3">
        <v>177.34</v>
      </c>
      <c r="W1457" s="3">
        <v>75.37</v>
      </c>
      <c r="X1457" s="3">
        <v>71.38</v>
      </c>
      <c r="Y1457" s="3">
        <v>30.59</v>
      </c>
    </row>
    <row r="1458" spans="1:25" ht="36.75" x14ac:dyDescent="0.25">
      <c r="A1458" s="3" t="s">
        <v>26</v>
      </c>
      <c r="B1458" s="3" t="s">
        <v>27</v>
      </c>
      <c r="C1458" s="3" t="s">
        <v>28</v>
      </c>
      <c r="D1458" s="3" t="s">
        <v>29</v>
      </c>
      <c r="E1458" s="3" t="s">
        <v>68</v>
      </c>
      <c r="F1458" s="3" t="s">
        <v>31</v>
      </c>
      <c r="G1458" s="3" t="s">
        <v>68</v>
      </c>
      <c r="H1458" s="3" t="s">
        <v>32</v>
      </c>
      <c r="I1458" s="3">
        <v>2025</v>
      </c>
      <c r="J1458" s="3" t="str">
        <f>CONCATENATE("54820025481")</f>
        <v>54820025481</v>
      </c>
      <c r="K1458" s="3" t="s">
        <v>33</v>
      </c>
      <c r="L1458" s="3"/>
      <c r="M1458" s="3" t="s">
        <v>131</v>
      </c>
      <c r="N1458" s="3" t="str">
        <f>CONCATENATE("01527190431")</f>
        <v>01527190431</v>
      </c>
      <c r="O1458" s="3" t="s">
        <v>1587</v>
      </c>
      <c r="P1458" s="3" t="s">
        <v>36</v>
      </c>
      <c r="Q1458" s="3"/>
      <c r="R1458" s="4">
        <v>45996</v>
      </c>
      <c r="S1458" s="3" t="s">
        <v>37</v>
      </c>
      <c r="T1458" s="3" t="s">
        <v>38</v>
      </c>
      <c r="U1458" s="3" t="s">
        <v>39</v>
      </c>
      <c r="V1458" s="3">
        <v>232.6</v>
      </c>
      <c r="W1458" s="3">
        <v>98.86</v>
      </c>
      <c r="X1458" s="3">
        <v>93.62</v>
      </c>
      <c r="Y1458" s="3">
        <v>40.119999999999997</v>
      </c>
    </row>
    <row r="1459" spans="1:25" ht="60.75" x14ac:dyDescent="0.25">
      <c r="A1459" s="3" t="s">
        <v>26</v>
      </c>
      <c r="B1459" s="3" t="s">
        <v>27</v>
      </c>
      <c r="C1459" s="3" t="s">
        <v>28</v>
      </c>
      <c r="D1459" s="3" t="s">
        <v>29</v>
      </c>
      <c r="E1459" s="3" t="s">
        <v>72</v>
      </c>
      <c r="F1459" s="3" t="s">
        <v>31</v>
      </c>
      <c r="G1459" s="3" t="s">
        <v>72</v>
      </c>
      <c r="H1459" s="3" t="s">
        <v>45</v>
      </c>
      <c r="I1459" s="3">
        <v>2025</v>
      </c>
      <c r="J1459" s="3" t="str">
        <f>CONCATENATE("54820018825")</f>
        <v>54820018825</v>
      </c>
      <c r="K1459" s="3" t="s">
        <v>33</v>
      </c>
      <c r="L1459" s="3"/>
      <c r="M1459" s="3" t="s">
        <v>131</v>
      </c>
      <c r="N1459" s="3" t="str">
        <f>CONCATENATE("PRCGLN50T45D808D")</f>
        <v>PRCGLN50T45D808D</v>
      </c>
      <c r="O1459" s="3" t="s">
        <v>1588</v>
      </c>
      <c r="P1459" s="3" t="s">
        <v>36</v>
      </c>
      <c r="Q1459" s="3"/>
      <c r="R1459" s="4">
        <v>45996</v>
      </c>
      <c r="S1459" s="3" t="s">
        <v>37</v>
      </c>
      <c r="T1459" s="3" t="s">
        <v>38</v>
      </c>
      <c r="U1459" s="3" t="s">
        <v>39</v>
      </c>
      <c r="V1459" s="3">
        <v>163.75</v>
      </c>
      <c r="W1459" s="3">
        <v>69.59</v>
      </c>
      <c r="X1459" s="3">
        <v>65.91</v>
      </c>
      <c r="Y1459" s="3">
        <v>28.25</v>
      </c>
    </row>
    <row r="1460" spans="1:25" ht="36.75" x14ac:dyDescent="0.25">
      <c r="A1460" s="3" t="s">
        <v>26</v>
      </c>
      <c r="B1460" s="3" t="s">
        <v>27</v>
      </c>
      <c r="C1460" s="3" t="s">
        <v>28</v>
      </c>
      <c r="D1460" s="3" t="s">
        <v>29</v>
      </c>
      <c r="E1460" s="3" t="s">
        <v>186</v>
      </c>
      <c r="F1460" s="3" t="s">
        <v>31</v>
      </c>
      <c r="G1460" s="3" t="s">
        <v>186</v>
      </c>
      <c r="H1460" s="3" t="s">
        <v>45</v>
      </c>
      <c r="I1460" s="3">
        <v>2025</v>
      </c>
      <c r="J1460" s="3" t="str">
        <f>CONCATENATE("54820053368")</f>
        <v>54820053368</v>
      </c>
      <c r="K1460" s="3" t="s">
        <v>33</v>
      </c>
      <c r="L1460" s="3"/>
      <c r="M1460" s="3" t="s">
        <v>131</v>
      </c>
      <c r="N1460" s="3" t="str">
        <f>CONCATENATE("02545200418")</f>
        <v>02545200418</v>
      </c>
      <c r="O1460" s="3" t="s">
        <v>1589</v>
      </c>
      <c r="P1460" s="3" t="s">
        <v>36</v>
      </c>
      <c r="Q1460" s="3"/>
      <c r="R1460" s="4">
        <v>45996</v>
      </c>
      <c r="S1460" s="3" t="s">
        <v>37</v>
      </c>
      <c r="T1460" s="3" t="s">
        <v>38</v>
      </c>
      <c r="U1460" s="3" t="s">
        <v>39</v>
      </c>
      <c r="V1460" s="3">
        <v>378.6</v>
      </c>
      <c r="W1460" s="3">
        <v>160.91</v>
      </c>
      <c r="X1460" s="3">
        <v>152.38999999999999</v>
      </c>
      <c r="Y1460" s="3">
        <v>65.3</v>
      </c>
    </row>
    <row r="1461" spans="1:25" ht="60.75" x14ac:dyDescent="0.25">
      <c r="A1461" s="3" t="s">
        <v>26</v>
      </c>
      <c r="B1461" s="3" t="s">
        <v>27</v>
      </c>
      <c r="C1461" s="3" t="s">
        <v>28</v>
      </c>
      <c r="D1461" s="3" t="s">
        <v>50</v>
      </c>
      <c r="E1461" s="3" t="s">
        <v>212</v>
      </c>
      <c r="F1461" s="3" t="s">
        <v>52</v>
      </c>
      <c r="G1461" s="3" t="s">
        <v>212</v>
      </c>
      <c r="H1461" s="3" t="s">
        <v>32</v>
      </c>
      <c r="I1461" s="3">
        <v>2025</v>
      </c>
      <c r="J1461" s="3" t="str">
        <f>CONCATENATE("54820047204")</f>
        <v>54820047204</v>
      </c>
      <c r="K1461" s="3" t="s">
        <v>33</v>
      </c>
      <c r="L1461" s="3"/>
      <c r="M1461" s="3" t="s">
        <v>131</v>
      </c>
      <c r="N1461" s="3" t="str">
        <f>CONCATENATE("QCQLFR48P16I651P")</f>
        <v>QCQLFR48P16I651P</v>
      </c>
      <c r="O1461" s="3" t="s">
        <v>1590</v>
      </c>
      <c r="P1461" s="3" t="s">
        <v>36</v>
      </c>
      <c r="Q1461" s="3"/>
      <c r="R1461" s="4">
        <v>45996</v>
      </c>
      <c r="S1461" s="3" t="s">
        <v>37</v>
      </c>
      <c r="T1461" s="3" t="s">
        <v>38</v>
      </c>
      <c r="U1461" s="3" t="s">
        <v>39</v>
      </c>
      <c r="V1461" s="3">
        <v>639.9</v>
      </c>
      <c r="W1461" s="3">
        <v>271.95999999999998</v>
      </c>
      <c r="X1461" s="3">
        <v>257.56</v>
      </c>
      <c r="Y1461" s="3">
        <v>110.38</v>
      </c>
    </row>
    <row r="1462" spans="1:25" ht="60.75" x14ac:dyDescent="0.25">
      <c r="A1462" s="3" t="s">
        <v>26</v>
      </c>
      <c r="B1462" s="3" t="s">
        <v>27</v>
      </c>
      <c r="C1462" s="3" t="s">
        <v>28</v>
      </c>
      <c r="D1462" s="3" t="s">
        <v>29</v>
      </c>
      <c r="E1462" s="3" t="s">
        <v>80</v>
      </c>
      <c r="F1462" s="3" t="s">
        <v>31</v>
      </c>
      <c r="G1462" s="3" t="s">
        <v>80</v>
      </c>
      <c r="H1462" s="3" t="s">
        <v>45</v>
      </c>
      <c r="I1462" s="3">
        <v>2025</v>
      </c>
      <c r="J1462" s="3" t="str">
        <f>CONCATENATE("54820111752")</f>
        <v>54820111752</v>
      </c>
      <c r="K1462" s="3" t="s">
        <v>33</v>
      </c>
      <c r="L1462" s="3"/>
      <c r="M1462" s="3" t="s">
        <v>131</v>
      </c>
      <c r="N1462" s="3" t="str">
        <f>CONCATENATE("PRDLGU54S29Z103B")</f>
        <v>PRDLGU54S29Z103B</v>
      </c>
      <c r="O1462" s="3" t="s">
        <v>1591</v>
      </c>
      <c r="P1462" s="3" t="s">
        <v>36</v>
      </c>
      <c r="Q1462" s="3"/>
      <c r="R1462" s="4">
        <v>45996</v>
      </c>
      <c r="S1462" s="3" t="s">
        <v>37</v>
      </c>
      <c r="T1462" s="3" t="s">
        <v>38</v>
      </c>
      <c r="U1462" s="3" t="s">
        <v>39</v>
      </c>
      <c r="V1462" s="3">
        <v>112.68</v>
      </c>
      <c r="W1462" s="3">
        <v>47.89</v>
      </c>
      <c r="X1462" s="3">
        <v>45.35</v>
      </c>
      <c r="Y1462" s="3">
        <v>19.440000000000001</v>
      </c>
    </row>
    <row r="1463" spans="1:25" ht="60.75" x14ac:dyDescent="0.25">
      <c r="A1463" s="3" t="s">
        <v>26</v>
      </c>
      <c r="B1463" s="3" t="s">
        <v>27</v>
      </c>
      <c r="C1463" s="3" t="s">
        <v>28</v>
      </c>
      <c r="D1463" s="3" t="s">
        <v>29</v>
      </c>
      <c r="E1463" s="3" t="s">
        <v>72</v>
      </c>
      <c r="F1463" s="3" t="s">
        <v>31</v>
      </c>
      <c r="G1463" s="3" t="s">
        <v>72</v>
      </c>
      <c r="H1463" s="3" t="s">
        <v>45</v>
      </c>
      <c r="I1463" s="3">
        <v>2025</v>
      </c>
      <c r="J1463" s="3" t="str">
        <f>CONCATENATE("54820073093")</f>
        <v>54820073093</v>
      </c>
      <c r="K1463" s="3" t="s">
        <v>33</v>
      </c>
      <c r="L1463" s="3"/>
      <c r="M1463" s="3" t="s">
        <v>131</v>
      </c>
      <c r="N1463" s="3" t="str">
        <f>CONCATENATE("PRLRZO52T26A327U")</f>
        <v>PRLRZO52T26A327U</v>
      </c>
      <c r="O1463" s="3" t="s">
        <v>1592</v>
      </c>
      <c r="P1463" s="3" t="s">
        <v>36</v>
      </c>
      <c r="Q1463" s="3"/>
      <c r="R1463" s="4">
        <v>45996</v>
      </c>
      <c r="S1463" s="3" t="s">
        <v>37</v>
      </c>
      <c r="T1463" s="3" t="s">
        <v>38</v>
      </c>
      <c r="U1463" s="3" t="s">
        <v>39</v>
      </c>
      <c r="V1463" s="3">
        <v>378.31</v>
      </c>
      <c r="W1463" s="3">
        <v>160.78</v>
      </c>
      <c r="X1463" s="3">
        <v>152.27000000000001</v>
      </c>
      <c r="Y1463" s="3">
        <v>65.260000000000005</v>
      </c>
    </row>
    <row r="1464" spans="1:25" ht="72.75" x14ac:dyDescent="0.25">
      <c r="A1464" s="3" t="s">
        <v>26</v>
      </c>
      <c r="B1464" s="3" t="s">
        <v>27</v>
      </c>
      <c r="C1464" s="3" t="s">
        <v>28</v>
      </c>
      <c r="D1464" s="3" t="s">
        <v>29</v>
      </c>
      <c r="E1464" s="3" t="s">
        <v>47</v>
      </c>
      <c r="F1464" s="3" t="s">
        <v>31</v>
      </c>
      <c r="G1464" s="3" t="s">
        <v>47</v>
      </c>
      <c r="H1464" s="3" t="s">
        <v>48</v>
      </c>
      <c r="I1464" s="3">
        <v>2025</v>
      </c>
      <c r="J1464" s="3" t="str">
        <f>CONCATENATE("54820060629")</f>
        <v>54820060629</v>
      </c>
      <c r="K1464" s="3" t="s">
        <v>33</v>
      </c>
      <c r="L1464" s="3"/>
      <c r="M1464" s="3" t="s">
        <v>131</v>
      </c>
      <c r="N1464" s="3" t="str">
        <f>CONCATENATE("RSSMRA69B26D451M")</f>
        <v>RSSMRA69B26D451M</v>
      </c>
      <c r="O1464" s="3" t="s">
        <v>1593</v>
      </c>
      <c r="P1464" s="3" t="s">
        <v>36</v>
      </c>
      <c r="Q1464" s="3"/>
      <c r="R1464" s="4">
        <v>45996</v>
      </c>
      <c r="S1464" s="3" t="s">
        <v>37</v>
      </c>
      <c r="T1464" s="3" t="s">
        <v>38</v>
      </c>
      <c r="U1464" s="3" t="s">
        <v>39</v>
      </c>
      <c r="V1464" s="3">
        <v>744.97</v>
      </c>
      <c r="W1464" s="3">
        <v>316.61</v>
      </c>
      <c r="X1464" s="3">
        <v>299.85000000000002</v>
      </c>
      <c r="Y1464" s="3">
        <v>128.51</v>
      </c>
    </row>
    <row r="1465" spans="1:25" ht="72.75" x14ac:dyDescent="0.25">
      <c r="A1465" s="3" t="s">
        <v>26</v>
      </c>
      <c r="B1465" s="3" t="s">
        <v>27</v>
      </c>
      <c r="C1465" s="3" t="s">
        <v>28</v>
      </c>
      <c r="D1465" s="3" t="s">
        <v>91</v>
      </c>
      <c r="E1465" s="3" t="s">
        <v>151</v>
      </c>
      <c r="F1465" s="3" t="s">
        <v>93</v>
      </c>
      <c r="G1465" s="3" t="s">
        <v>151</v>
      </c>
      <c r="H1465" s="3" t="s">
        <v>45</v>
      </c>
      <c r="I1465" s="3">
        <v>2025</v>
      </c>
      <c r="J1465" s="3" t="str">
        <f>CONCATENATE("54820205877")</f>
        <v>54820205877</v>
      </c>
      <c r="K1465" s="3" t="s">
        <v>33</v>
      </c>
      <c r="L1465" s="3"/>
      <c r="M1465" s="3" t="s">
        <v>131</v>
      </c>
      <c r="N1465" s="3" t="str">
        <f>CONCATENATE("DMNSRA47H60H501V")</f>
        <v>DMNSRA47H60H501V</v>
      </c>
      <c r="O1465" s="3" t="s">
        <v>1594</v>
      </c>
      <c r="P1465" s="3" t="s">
        <v>36</v>
      </c>
      <c r="Q1465" s="3"/>
      <c r="R1465" s="4">
        <v>45996</v>
      </c>
      <c r="S1465" s="3" t="s">
        <v>37</v>
      </c>
      <c r="T1465" s="3" t="s">
        <v>38</v>
      </c>
      <c r="U1465" s="3" t="s">
        <v>39</v>
      </c>
      <c r="V1465" s="3">
        <v>441.97</v>
      </c>
      <c r="W1465" s="3">
        <v>187.84</v>
      </c>
      <c r="X1465" s="3">
        <v>177.89</v>
      </c>
      <c r="Y1465" s="3">
        <v>76.239999999999995</v>
      </c>
    </row>
    <row r="1466" spans="1:25" ht="72.75" x14ac:dyDescent="0.25">
      <c r="A1466" s="3" t="s">
        <v>26</v>
      </c>
      <c r="B1466" s="3" t="s">
        <v>27</v>
      </c>
      <c r="C1466" s="3" t="s">
        <v>28</v>
      </c>
      <c r="D1466" s="3" t="s">
        <v>29</v>
      </c>
      <c r="E1466" s="3" t="s">
        <v>80</v>
      </c>
      <c r="F1466" s="3" t="s">
        <v>31</v>
      </c>
      <c r="G1466" s="3" t="s">
        <v>80</v>
      </c>
      <c r="H1466" s="3" t="s">
        <v>45</v>
      </c>
      <c r="I1466" s="3">
        <v>2025</v>
      </c>
      <c r="J1466" s="3" t="str">
        <f>CONCATENATE("54820174800")</f>
        <v>54820174800</v>
      </c>
      <c r="K1466" s="3" t="s">
        <v>33</v>
      </c>
      <c r="L1466" s="3"/>
      <c r="M1466" s="3" t="s">
        <v>131</v>
      </c>
      <c r="N1466" s="3" t="str">
        <f>CONCATENATE("GMBGNN56B25D488J")</f>
        <v>GMBGNN56B25D488J</v>
      </c>
      <c r="O1466" s="3" t="s">
        <v>1595</v>
      </c>
      <c r="P1466" s="3" t="s">
        <v>36</v>
      </c>
      <c r="Q1466" s="3"/>
      <c r="R1466" s="4">
        <v>45996</v>
      </c>
      <c r="S1466" s="3" t="s">
        <v>37</v>
      </c>
      <c r="T1466" s="3" t="s">
        <v>38</v>
      </c>
      <c r="U1466" s="3" t="s">
        <v>39</v>
      </c>
      <c r="V1466" s="3">
        <v>815.25</v>
      </c>
      <c r="W1466" s="3">
        <v>346.48</v>
      </c>
      <c r="X1466" s="3">
        <v>328.14</v>
      </c>
      <c r="Y1466" s="3">
        <v>140.63</v>
      </c>
    </row>
    <row r="1467" spans="1:25" ht="60.75" x14ac:dyDescent="0.25">
      <c r="A1467" s="3" t="s">
        <v>26</v>
      </c>
      <c r="B1467" s="3" t="s">
        <v>27</v>
      </c>
      <c r="C1467" s="3" t="s">
        <v>28</v>
      </c>
      <c r="D1467" s="3" t="s">
        <v>29</v>
      </c>
      <c r="E1467" s="3" t="s">
        <v>47</v>
      </c>
      <c r="F1467" s="3" t="s">
        <v>31</v>
      </c>
      <c r="G1467" s="3" t="s">
        <v>47</v>
      </c>
      <c r="H1467" s="3" t="s">
        <v>48</v>
      </c>
      <c r="I1467" s="3">
        <v>2025</v>
      </c>
      <c r="J1467" s="3" t="str">
        <f>CONCATENATE("54820079298")</f>
        <v>54820079298</v>
      </c>
      <c r="K1467" s="3" t="s">
        <v>33</v>
      </c>
      <c r="L1467" s="3"/>
      <c r="M1467" s="3" t="s">
        <v>131</v>
      </c>
      <c r="N1467" s="3" t="str">
        <f>CONCATENATE("NTNLGU44M19C524C")</f>
        <v>NTNLGU44M19C524C</v>
      </c>
      <c r="O1467" s="3" t="s">
        <v>1596</v>
      </c>
      <c r="P1467" s="3" t="s">
        <v>36</v>
      </c>
      <c r="Q1467" s="3"/>
      <c r="R1467" s="4">
        <v>45996</v>
      </c>
      <c r="S1467" s="3" t="s">
        <v>37</v>
      </c>
      <c r="T1467" s="3" t="s">
        <v>38</v>
      </c>
      <c r="U1467" s="3" t="s">
        <v>39</v>
      </c>
      <c r="V1467" s="3">
        <v>49.86</v>
      </c>
      <c r="W1467" s="3">
        <v>21.19</v>
      </c>
      <c r="X1467" s="3">
        <v>20.07</v>
      </c>
      <c r="Y1467" s="3">
        <v>8.6</v>
      </c>
    </row>
    <row r="1468" spans="1:25" ht="60.75" x14ac:dyDescent="0.25">
      <c r="A1468" s="3" t="s">
        <v>26</v>
      </c>
      <c r="B1468" s="3" t="s">
        <v>27</v>
      </c>
      <c r="C1468" s="3" t="s">
        <v>28</v>
      </c>
      <c r="D1468" s="3" t="s">
        <v>50</v>
      </c>
      <c r="E1468" s="3" t="s">
        <v>60</v>
      </c>
      <c r="F1468" s="3" t="s">
        <v>52</v>
      </c>
      <c r="G1468" s="3" t="s">
        <v>60</v>
      </c>
      <c r="H1468" s="3" t="s">
        <v>45</v>
      </c>
      <c r="I1468" s="3">
        <v>2025</v>
      </c>
      <c r="J1468" s="3" t="str">
        <f>CONCATENATE("54820086053")</f>
        <v>54820086053</v>
      </c>
      <c r="K1468" s="3" t="s">
        <v>33</v>
      </c>
      <c r="L1468" s="3"/>
      <c r="M1468" s="3" t="s">
        <v>131</v>
      </c>
      <c r="N1468" s="3" t="str">
        <f>CONCATENATE("CSCLFA51M17I654J")</f>
        <v>CSCLFA51M17I654J</v>
      </c>
      <c r="O1468" s="3" t="s">
        <v>1597</v>
      </c>
      <c r="P1468" s="3" t="s">
        <v>36</v>
      </c>
      <c r="Q1468" s="3"/>
      <c r="R1468" s="4">
        <v>45996</v>
      </c>
      <c r="S1468" s="3" t="s">
        <v>37</v>
      </c>
      <c r="T1468" s="3" t="s">
        <v>38</v>
      </c>
      <c r="U1468" s="3" t="s">
        <v>39</v>
      </c>
      <c r="V1468" s="3">
        <v>119.72</v>
      </c>
      <c r="W1468" s="3">
        <v>50.88</v>
      </c>
      <c r="X1468" s="3">
        <v>48.19</v>
      </c>
      <c r="Y1468" s="3">
        <v>20.65</v>
      </c>
    </row>
    <row r="1469" spans="1:25" ht="60.75" x14ac:dyDescent="0.25">
      <c r="A1469" s="3" t="s">
        <v>26</v>
      </c>
      <c r="B1469" s="3" t="s">
        <v>27</v>
      </c>
      <c r="C1469" s="3" t="s">
        <v>28</v>
      </c>
      <c r="D1469" s="3" t="s">
        <v>104</v>
      </c>
      <c r="E1469" s="3" t="s">
        <v>661</v>
      </c>
      <c r="F1469" s="3" t="s">
        <v>104</v>
      </c>
      <c r="G1469" s="3" t="s">
        <v>661</v>
      </c>
      <c r="H1469" s="3" t="s">
        <v>45</v>
      </c>
      <c r="I1469" s="3">
        <v>2025</v>
      </c>
      <c r="J1469" s="3" t="str">
        <f>CONCATENATE("54820167614")</f>
        <v>54820167614</v>
      </c>
      <c r="K1469" s="3" t="s">
        <v>33</v>
      </c>
      <c r="L1469" s="3"/>
      <c r="M1469" s="3" t="s">
        <v>131</v>
      </c>
      <c r="N1469" s="3" t="str">
        <f>CONCATENATE("CSTTZN53A48G453D")</f>
        <v>CSTTZN53A48G453D</v>
      </c>
      <c r="O1469" s="3" t="s">
        <v>1598</v>
      </c>
      <c r="P1469" s="3" t="s">
        <v>36</v>
      </c>
      <c r="Q1469" s="3"/>
      <c r="R1469" s="4">
        <v>45996</v>
      </c>
      <c r="S1469" s="3" t="s">
        <v>37</v>
      </c>
      <c r="T1469" s="3" t="s">
        <v>38</v>
      </c>
      <c r="U1469" s="3" t="s">
        <v>39</v>
      </c>
      <c r="V1469" s="3">
        <v>175.16</v>
      </c>
      <c r="W1469" s="3">
        <v>74.44</v>
      </c>
      <c r="X1469" s="3">
        <v>70.5</v>
      </c>
      <c r="Y1469" s="3">
        <v>30.22</v>
      </c>
    </row>
    <row r="1470" spans="1:25" ht="60.75" x14ac:dyDescent="0.25">
      <c r="A1470" s="3" t="s">
        <v>26</v>
      </c>
      <c r="B1470" s="3" t="s">
        <v>27</v>
      </c>
      <c r="C1470" s="3" t="s">
        <v>28</v>
      </c>
      <c r="D1470" s="3" t="s">
        <v>50</v>
      </c>
      <c r="E1470" s="3" t="s">
        <v>252</v>
      </c>
      <c r="F1470" s="3" t="s">
        <v>52</v>
      </c>
      <c r="G1470" s="3" t="s">
        <v>252</v>
      </c>
      <c r="H1470" s="3" t="s">
        <v>45</v>
      </c>
      <c r="I1470" s="3">
        <v>2025</v>
      </c>
      <c r="J1470" s="3" t="str">
        <f>CONCATENATE("54820119102")</f>
        <v>54820119102</v>
      </c>
      <c r="K1470" s="3" t="s">
        <v>33</v>
      </c>
      <c r="L1470" s="3"/>
      <c r="M1470" s="3" t="s">
        <v>131</v>
      </c>
      <c r="N1470" s="3" t="str">
        <f>CONCATENATE("BCCLBR62L21D749Z")</f>
        <v>BCCLBR62L21D749Z</v>
      </c>
      <c r="O1470" s="3" t="s">
        <v>1599</v>
      </c>
      <c r="P1470" s="3" t="s">
        <v>36</v>
      </c>
      <c r="Q1470" s="3"/>
      <c r="R1470" s="4">
        <v>45996</v>
      </c>
      <c r="S1470" s="3" t="s">
        <v>37</v>
      </c>
      <c r="T1470" s="3" t="s">
        <v>38</v>
      </c>
      <c r="U1470" s="3" t="s">
        <v>39</v>
      </c>
      <c r="V1470" s="3">
        <v>83.36</v>
      </c>
      <c r="W1470" s="3">
        <v>35.43</v>
      </c>
      <c r="X1470" s="3">
        <v>33.549999999999997</v>
      </c>
      <c r="Y1470" s="3">
        <v>14.38</v>
      </c>
    </row>
    <row r="1471" spans="1:25" ht="60.75" x14ac:dyDescent="0.25">
      <c r="A1471" s="3" t="s">
        <v>26</v>
      </c>
      <c r="B1471" s="3" t="s">
        <v>27</v>
      </c>
      <c r="C1471" s="3" t="s">
        <v>28</v>
      </c>
      <c r="D1471" s="3" t="s">
        <v>312</v>
      </c>
      <c r="E1471" s="3" t="s">
        <v>313</v>
      </c>
      <c r="F1471" s="3" t="s">
        <v>314</v>
      </c>
      <c r="G1471" s="3" t="s">
        <v>313</v>
      </c>
      <c r="H1471" s="3" t="s">
        <v>96</v>
      </c>
      <c r="I1471" s="3">
        <v>2025</v>
      </c>
      <c r="J1471" s="3" t="str">
        <f>CONCATENATE("54820201629")</f>
        <v>54820201629</v>
      </c>
      <c r="K1471" s="3" t="s">
        <v>33</v>
      </c>
      <c r="L1471" s="3"/>
      <c r="M1471" s="3" t="s">
        <v>131</v>
      </c>
      <c r="N1471" s="3" t="str">
        <f>CONCATENATE("PRMRLB54C22H588G")</f>
        <v>PRMRLB54C22H588G</v>
      </c>
      <c r="O1471" s="3" t="s">
        <v>1600</v>
      </c>
      <c r="P1471" s="3" t="s">
        <v>36</v>
      </c>
      <c r="Q1471" s="3"/>
      <c r="R1471" s="4">
        <v>45996</v>
      </c>
      <c r="S1471" s="3" t="s">
        <v>37</v>
      </c>
      <c r="T1471" s="3" t="s">
        <v>38</v>
      </c>
      <c r="U1471" s="3" t="s">
        <v>39</v>
      </c>
      <c r="V1471" s="3">
        <v>409.51</v>
      </c>
      <c r="W1471" s="3">
        <v>174.04</v>
      </c>
      <c r="X1471" s="3">
        <v>164.83</v>
      </c>
      <c r="Y1471" s="3">
        <v>70.64</v>
      </c>
    </row>
    <row r="1472" spans="1:25" ht="60.75" x14ac:dyDescent="0.25">
      <c r="A1472" s="3" t="s">
        <v>26</v>
      </c>
      <c r="B1472" s="3" t="s">
        <v>27</v>
      </c>
      <c r="C1472" s="3" t="s">
        <v>28</v>
      </c>
      <c r="D1472" s="3" t="s">
        <v>312</v>
      </c>
      <c r="E1472" s="3" t="s">
        <v>313</v>
      </c>
      <c r="F1472" s="3" t="s">
        <v>314</v>
      </c>
      <c r="G1472" s="3" t="s">
        <v>313</v>
      </c>
      <c r="H1472" s="3" t="s">
        <v>96</v>
      </c>
      <c r="I1472" s="3">
        <v>2025</v>
      </c>
      <c r="J1472" s="3" t="str">
        <f>CONCATENATE("54820215991")</f>
        <v>54820215991</v>
      </c>
      <c r="K1472" s="3" t="s">
        <v>33</v>
      </c>
      <c r="L1472" s="3"/>
      <c r="M1472" s="3" t="s">
        <v>131</v>
      </c>
      <c r="N1472" s="3" t="str">
        <f>CONCATENATE("NGLSFN33L15H390W")</f>
        <v>NGLSFN33L15H390W</v>
      </c>
      <c r="O1472" s="3" t="s">
        <v>1601</v>
      </c>
      <c r="P1472" s="3" t="s">
        <v>36</v>
      </c>
      <c r="Q1472" s="3"/>
      <c r="R1472" s="4">
        <v>45996</v>
      </c>
      <c r="S1472" s="3" t="s">
        <v>37</v>
      </c>
      <c r="T1472" s="3" t="s">
        <v>38</v>
      </c>
      <c r="U1472" s="3" t="s">
        <v>39</v>
      </c>
      <c r="V1472" s="3">
        <v>67.64</v>
      </c>
      <c r="W1472" s="3">
        <v>28.75</v>
      </c>
      <c r="X1472" s="3">
        <v>27.23</v>
      </c>
      <c r="Y1472" s="3">
        <v>11.66</v>
      </c>
    </row>
    <row r="1473" spans="1:25" ht="60.75" x14ac:dyDescent="0.25">
      <c r="A1473" s="3" t="s">
        <v>26</v>
      </c>
      <c r="B1473" s="3" t="s">
        <v>27</v>
      </c>
      <c r="C1473" s="3" t="s">
        <v>28</v>
      </c>
      <c r="D1473" s="3" t="s">
        <v>29</v>
      </c>
      <c r="E1473" s="3" t="s">
        <v>80</v>
      </c>
      <c r="F1473" s="3" t="s">
        <v>31</v>
      </c>
      <c r="G1473" s="3" t="s">
        <v>80</v>
      </c>
      <c r="H1473" s="3" t="s">
        <v>45</v>
      </c>
      <c r="I1473" s="3">
        <v>2025</v>
      </c>
      <c r="J1473" s="3" t="str">
        <f>CONCATENATE("54820084041")</f>
        <v>54820084041</v>
      </c>
      <c r="K1473" s="3" t="s">
        <v>33</v>
      </c>
      <c r="L1473" s="3"/>
      <c r="M1473" s="3" t="s">
        <v>131</v>
      </c>
      <c r="N1473" s="3" t="str">
        <f>CONCATENATE("DMNGRL67B08D791E")</f>
        <v>DMNGRL67B08D791E</v>
      </c>
      <c r="O1473" s="3" t="s">
        <v>1602</v>
      </c>
      <c r="P1473" s="3" t="s">
        <v>36</v>
      </c>
      <c r="Q1473" s="3"/>
      <c r="R1473" s="4">
        <v>45996</v>
      </c>
      <c r="S1473" s="3" t="s">
        <v>37</v>
      </c>
      <c r="T1473" s="3" t="s">
        <v>38</v>
      </c>
      <c r="U1473" s="3" t="s">
        <v>39</v>
      </c>
      <c r="V1473" s="3">
        <v>492.4</v>
      </c>
      <c r="W1473" s="3">
        <v>209.27</v>
      </c>
      <c r="X1473" s="3">
        <v>198.19</v>
      </c>
      <c r="Y1473" s="3">
        <v>84.94</v>
      </c>
    </row>
    <row r="1474" spans="1:25" ht="60.75" x14ac:dyDescent="0.25">
      <c r="A1474" s="3" t="s">
        <v>26</v>
      </c>
      <c r="B1474" s="3" t="s">
        <v>27</v>
      </c>
      <c r="C1474" s="3" t="s">
        <v>28</v>
      </c>
      <c r="D1474" s="3" t="s">
        <v>40</v>
      </c>
      <c r="E1474" s="3" t="s">
        <v>287</v>
      </c>
      <c r="F1474" s="3" t="s">
        <v>42</v>
      </c>
      <c r="G1474" s="3" t="s">
        <v>287</v>
      </c>
      <c r="H1474" s="3" t="s">
        <v>32</v>
      </c>
      <c r="I1474" s="3">
        <v>2025</v>
      </c>
      <c r="J1474" s="3" t="str">
        <f>CONCATENATE("54820104351")</f>
        <v>54820104351</v>
      </c>
      <c r="K1474" s="3" t="s">
        <v>33</v>
      </c>
      <c r="L1474" s="3"/>
      <c r="M1474" s="3" t="s">
        <v>131</v>
      </c>
      <c r="N1474" s="3" t="str">
        <f>CONCATENATE("FRSMPL77T52B474M")</f>
        <v>FRSMPL77T52B474M</v>
      </c>
      <c r="O1474" s="3" t="s">
        <v>1603</v>
      </c>
      <c r="P1474" s="3" t="s">
        <v>36</v>
      </c>
      <c r="Q1474" s="3"/>
      <c r="R1474" s="4">
        <v>45996</v>
      </c>
      <c r="S1474" s="3" t="s">
        <v>37</v>
      </c>
      <c r="T1474" s="3" t="s">
        <v>38</v>
      </c>
      <c r="U1474" s="3" t="s">
        <v>39</v>
      </c>
      <c r="V1474" s="5">
        <v>1268.0899999999999</v>
      </c>
      <c r="W1474" s="3">
        <v>538.94000000000005</v>
      </c>
      <c r="X1474" s="3">
        <v>510.41</v>
      </c>
      <c r="Y1474" s="3">
        <v>218.74</v>
      </c>
    </row>
    <row r="1475" spans="1:25" ht="60.75" x14ac:dyDescent="0.25">
      <c r="A1475" s="3" t="s">
        <v>26</v>
      </c>
      <c r="B1475" s="3" t="s">
        <v>27</v>
      </c>
      <c r="C1475" s="3" t="s">
        <v>28</v>
      </c>
      <c r="D1475" s="3" t="s">
        <v>29</v>
      </c>
      <c r="E1475" s="3" t="s">
        <v>72</v>
      </c>
      <c r="F1475" s="3" t="s">
        <v>31</v>
      </c>
      <c r="G1475" s="3" t="s">
        <v>72</v>
      </c>
      <c r="H1475" s="3" t="s">
        <v>45</v>
      </c>
      <c r="I1475" s="3">
        <v>2025</v>
      </c>
      <c r="J1475" s="3" t="str">
        <f>CONCATENATE("54820140033")</f>
        <v>54820140033</v>
      </c>
      <c r="K1475" s="3" t="s">
        <v>33</v>
      </c>
      <c r="L1475" s="3"/>
      <c r="M1475" s="3" t="s">
        <v>131</v>
      </c>
      <c r="N1475" s="3" t="str">
        <f>CONCATENATE("BNDCLT50D11A035F")</f>
        <v>BNDCLT50D11A035F</v>
      </c>
      <c r="O1475" s="3" t="s">
        <v>1604</v>
      </c>
      <c r="P1475" s="3" t="s">
        <v>36</v>
      </c>
      <c r="Q1475" s="3"/>
      <c r="R1475" s="4">
        <v>45996</v>
      </c>
      <c r="S1475" s="3" t="s">
        <v>37</v>
      </c>
      <c r="T1475" s="3" t="s">
        <v>38</v>
      </c>
      <c r="U1475" s="3" t="s">
        <v>39</v>
      </c>
      <c r="V1475" s="3">
        <v>767.48</v>
      </c>
      <c r="W1475" s="3">
        <v>326.18</v>
      </c>
      <c r="X1475" s="3">
        <v>308.91000000000003</v>
      </c>
      <c r="Y1475" s="3">
        <v>132.38999999999999</v>
      </c>
    </row>
    <row r="1476" spans="1:25" ht="60.75" x14ac:dyDescent="0.25">
      <c r="A1476" s="3" t="s">
        <v>26</v>
      </c>
      <c r="B1476" s="3" t="s">
        <v>27</v>
      </c>
      <c r="C1476" s="3" t="s">
        <v>28</v>
      </c>
      <c r="D1476" s="3" t="s">
        <v>50</v>
      </c>
      <c r="E1476" s="3" t="s">
        <v>147</v>
      </c>
      <c r="F1476" s="3" t="s">
        <v>52</v>
      </c>
      <c r="G1476" s="3" t="s">
        <v>147</v>
      </c>
      <c r="H1476" s="3" t="s">
        <v>45</v>
      </c>
      <c r="I1476" s="3">
        <v>2025</v>
      </c>
      <c r="J1476" s="3" t="str">
        <f>CONCATENATE("54820191283")</f>
        <v>54820191283</v>
      </c>
      <c r="K1476" s="3" t="s">
        <v>33</v>
      </c>
      <c r="L1476" s="3"/>
      <c r="M1476" s="3" t="s">
        <v>131</v>
      </c>
      <c r="N1476" s="3" t="str">
        <f>CONCATENATE("BLSGNN46H03I287J")</f>
        <v>BLSGNN46H03I287J</v>
      </c>
      <c r="O1476" s="3" t="s">
        <v>1605</v>
      </c>
      <c r="P1476" s="3" t="s">
        <v>36</v>
      </c>
      <c r="Q1476" s="3"/>
      <c r="R1476" s="4">
        <v>45996</v>
      </c>
      <c r="S1476" s="3" t="s">
        <v>37</v>
      </c>
      <c r="T1476" s="3" t="s">
        <v>38</v>
      </c>
      <c r="U1476" s="3" t="s">
        <v>39</v>
      </c>
      <c r="V1476" s="3">
        <v>92.31</v>
      </c>
      <c r="W1476" s="3">
        <v>39.229999999999997</v>
      </c>
      <c r="X1476" s="3">
        <v>37.15</v>
      </c>
      <c r="Y1476" s="3">
        <v>15.93</v>
      </c>
    </row>
    <row r="1477" spans="1:25" ht="36.75" x14ac:dyDescent="0.25">
      <c r="A1477" s="3" t="s">
        <v>26</v>
      </c>
      <c r="B1477" s="3" t="s">
        <v>27</v>
      </c>
      <c r="C1477" s="3" t="s">
        <v>28</v>
      </c>
      <c r="D1477" s="3" t="s">
        <v>29</v>
      </c>
      <c r="E1477" s="3" t="s">
        <v>208</v>
      </c>
      <c r="F1477" s="3" t="s">
        <v>31</v>
      </c>
      <c r="G1477" s="3" t="s">
        <v>208</v>
      </c>
      <c r="H1477" s="3" t="s">
        <v>45</v>
      </c>
      <c r="I1477" s="3">
        <v>2025</v>
      </c>
      <c r="J1477" s="3" t="str">
        <f>CONCATENATE("54820109087")</f>
        <v>54820109087</v>
      </c>
      <c r="K1477" s="3" t="s">
        <v>33</v>
      </c>
      <c r="L1477" s="3"/>
      <c r="M1477" s="3" t="s">
        <v>131</v>
      </c>
      <c r="N1477" s="3" t="str">
        <f>CONCATENATE("02604670410")</f>
        <v>02604670410</v>
      </c>
      <c r="O1477" s="3" t="s">
        <v>1606</v>
      </c>
      <c r="P1477" s="3" t="s">
        <v>36</v>
      </c>
      <c r="Q1477" s="3"/>
      <c r="R1477" s="4">
        <v>45996</v>
      </c>
      <c r="S1477" s="3" t="s">
        <v>37</v>
      </c>
      <c r="T1477" s="3" t="s">
        <v>38</v>
      </c>
      <c r="U1477" s="3" t="s">
        <v>39</v>
      </c>
      <c r="V1477" s="3">
        <v>54.6</v>
      </c>
      <c r="W1477" s="3">
        <v>23.21</v>
      </c>
      <c r="X1477" s="3">
        <v>21.98</v>
      </c>
      <c r="Y1477" s="3">
        <v>9.41</v>
      </c>
    </row>
    <row r="1478" spans="1:25" ht="60.75" x14ac:dyDescent="0.25">
      <c r="A1478" s="3" t="s">
        <v>26</v>
      </c>
      <c r="B1478" s="3" t="s">
        <v>27</v>
      </c>
      <c r="C1478" s="3" t="s">
        <v>28</v>
      </c>
      <c r="D1478" s="3" t="s">
        <v>29</v>
      </c>
      <c r="E1478" s="3" t="s">
        <v>47</v>
      </c>
      <c r="F1478" s="3" t="s">
        <v>31</v>
      </c>
      <c r="G1478" s="3" t="s">
        <v>47</v>
      </c>
      <c r="H1478" s="3" t="s">
        <v>48</v>
      </c>
      <c r="I1478" s="3">
        <v>2025</v>
      </c>
      <c r="J1478" s="3" t="str">
        <f>CONCATENATE("54820078266")</f>
        <v>54820078266</v>
      </c>
      <c r="K1478" s="3" t="s">
        <v>33</v>
      </c>
      <c r="L1478" s="3"/>
      <c r="M1478" s="3" t="s">
        <v>131</v>
      </c>
      <c r="N1478" s="3" t="str">
        <f>CONCATENATE("FLPRRT78S49D451U")</f>
        <v>FLPRRT78S49D451U</v>
      </c>
      <c r="O1478" s="3" t="s">
        <v>1607</v>
      </c>
      <c r="P1478" s="3" t="s">
        <v>36</v>
      </c>
      <c r="Q1478" s="3"/>
      <c r="R1478" s="4">
        <v>45996</v>
      </c>
      <c r="S1478" s="3" t="s">
        <v>37</v>
      </c>
      <c r="T1478" s="3" t="s">
        <v>38</v>
      </c>
      <c r="U1478" s="3" t="s">
        <v>39</v>
      </c>
      <c r="V1478" s="3">
        <v>381.06</v>
      </c>
      <c r="W1478" s="3">
        <v>161.94999999999999</v>
      </c>
      <c r="X1478" s="3">
        <v>153.38</v>
      </c>
      <c r="Y1478" s="3">
        <v>65.73</v>
      </c>
    </row>
    <row r="1479" spans="1:25" ht="60.75" x14ac:dyDescent="0.25">
      <c r="A1479" s="3" t="s">
        <v>26</v>
      </c>
      <c r="B1479" s="3" t="s">
        <v>27</v>
      </c>
      <c r="C1479" s="3" t="s">
        <v>28</v>
      </c>
      <c r="D1479" s="3" t="s">
        <v>40</v>
      </c>
      <c r="E1479" s="3" t="s">
        <v>41</v>
      </c>
      <c r="F1479" s="3" t="s">
        <v>42</v>
      </c>
      <c r="G1479" s="3" t="s">
        <v>41</v>
      </c>
      <c r="H1479" s="3" t="s">
        <v>32</v>
      </c>
      <c r="I1479" s="3">
        <v>2025</v>
      </c>
      <c r="J1479" s="3" t="str">
        <f>CONCATENATE("54820138300")</f>
        <v>54820138300</v>
      </c>
      <c r="K1479" s="3" t="s">
        <v>33</v>
      </c>
      <c r="L1479" s="3"/>
      <c r="M1479" s="3" t="s">
        <v>131</v>
      </c>
      <c r="N1479" s="3" t="str">
        <f>CONCATENATE("SCFPRI71E19H501X")</f>
        <v>SCFPRI71E19H501X</v>
      </c>
      <c r="O1479" s="3" t="s">
        <v>1608</v>
      </c>
      <c r="P1479" s="3" t="s">
        <v>36</v>
      </c>
      <c r="Q1479" s="3"/>
      <c r="R1479" s="4">
        <v>45996</v>
      </c>
      <c r="S1479" s="3" t="s">
        <v>37</v>
      </c>
      <c r="T1479" s="3" t="s">
        <v>38</v>
      </c>
      <c r="U1479" s="3" t="s">
        <v>39</v>
      </c>
      <c r="V1479" s="3">
        <v>309.73</v>
      </c>
      <c r="W1479" s="3">
        <v>131.63999999999999</v>
      </c>
      <c r="X1479" s="3">
        <v>124.67</v>
      </c>
      <c r="Y1479" s="3">
        <v>53.42</v>
      </c>
    </row>
    <row r="1480" spans="1:25" ht="72.75" x14ac:dyDescent="0.25">
      <c r="A1480" s="3" t="s">
        <v>26</v>
      </c>
      <c r="B1480" s="3" t="s">
        <v>27</v>
      </c>
      <c r="C1480" s="3" t="s">
        <v>28</v>
      </c>
      <c r="D1480" s="3" t="s">
        <v>50</v>
      </c>
      <c r="E1480" s="3" t="s">
        <v>51</v>
      </c>
      <c r="F1480" s="3" t="s">
        <v>52</v>
      </c>
      <c r="G1480" s="3" t="s">
        <v>51</v>
      </c>
      <c r="H1480" s="3" t="s">
        <v>48</v>
      </c>
      <c r="I1480" s="3">
        <v>2025</v>
      </c>
      <c r="J1480" s="3" t="str">
        <f>CONCATENATE("54820159421")</f>
        <v>54820159421</v>
      </c>
      <c r="K1480" s="3" t="s">
        <v>33</v>
      </c>
      <c r="L1480" s="3"/>
      <c r="M1480" s="3" t="s">
        <v>131</v>
      </c>
      <c r="N1480" s="3" t="str">
        <f>CONCATENATE("GMBFNC64D12E388U")</f>
        <v>GMBFNC64D12E388U</v>
      </c>
      <c r="O1480" s="3" t="s">
        <v>1609</v>
      </c>
      <c r="P1480" s="3" t="s">
        <v>36</v>
      </c>
      <c r="Q1480" s="3"/>
      <c r="R1480" s="4">
        <v>45996</v>
      </c>
      <c r="S1480" s="3" t="s">
        <v>37</v>
      </c>
      <c r="T1480" s="3" t="s">
        <v>38</v>
      </c>
      <c r="U1480" s="3" t="s">
        <v>39</v>
      </c>
      <c r="V1480" s="3">
        <v>64.75</v>
      </c>
      <c r="W1480" s="3">
        <v>27.52</v>
      </c>
      <c r="X1480" s="3">
        <v>26.06</v>
      </c>
      <c r="Y1480" s="3">
        <v>11.17</v>
      </c>
    </row>
    <row r="1481" spans="1:25" ht="60.75" x14ac:dyDescent="0.25">
      <c r="A1481" s="3" t="s">
        <v>26</v>
      </c>
      <c r="B1481" s="3" t="s">
        <v>27</v>
      </c>
      <c r="C1481" s="3" t="s">
        <v>28</v>
      </c>
      <c r="D1481" s="3" t="s">
        <v>50</v>
      </c>
      <c r="E1481" s="3" t="s">
        <v>252</v>
      </c>
      <c r="F1481" s="3" t="s">
        <v>52</v>
      </c>
      <c r="G1481" s="3" t="s">
        <v>252</v>
      </c>
      <c r="H1481" s="3" t="s">
        <v>45</v>
      </c>
      <c r="I1481" s="3">
        <v>2025</v>
      </c>
      <c r="J1481" s="3" t="str">
        <f>CONCATENATE("54820120704")</f>
        <v>54820120704</v>
      </c>
      <c r="K1481" s="3" t="s">
        <v>33</v>
      </c>
      <c r="L1481" s="3"/>
      <c r="M1481" s="3" t="s">
        <v>131</v>
      </c>
      <c r="N1481" s="3" t="str">
        <f>CONCATENATE("BRCNEI38B20D749L")</f>
        <v>BRCNEI38B20D749L</v>
      </c>
      <c r="O1481" s="3" t="s">
        <v>1610</v>
      </c>
      <c r="P1481" s="3" t="s">
        <v>36</v>
      </c>
      <c r="Q1481" s="3"/>
      <c r="R1481" s="4">
        <v>45996</v>
      </c>
      <c r="S1481" s="3" t="s">
        <v>37</v>
      </c>
      <c r="T1481" s="3" t="s">
        <v>38</v>
      </c>
      <c r="U1481" s="3" t="s">
        <v>39</v>
      </c>
      <c r="V1481" s="3">
        <v>121.26</v>
      </c>
      <c r="W1481" s="3">
        <v>51.54</v>
      </c>
      <c r="X1481" s="3">
        <v>48.81</v>
      </c>
      <c r="Y1481" s="3">
        <v>20.91</v>
      </c>
    </row>
    <row r="1482" spans="1:25" ht="72.75" x14ac:dyDescent="0.25">
      <c r="A1482" s="3" t="s">
        <v>26</v>
      </c>
      <c r="B1482" s="3" t="s">
        <v>27</v>
      </c>
      <c r="C1482" s="3" t="s">
        <v>28</v>
      </c>
      <c r="D1482" s="3" t="s">
        <v>50</v>
      </c>
      <c r="E1482" s="3" t="s">
        <v>290</v>
      </c>
      <c r="F1482" s="3" t="s">
        <v>52</v>
      </c>
      <c r="G1482" s="3" t="s">
        <v>290</v>
      </c>
      <c r="H1482" s="3" t="s">
        <v>96</v>
      </c>
      <c r="I1482" s="3">
        <v>2025</v>
      </c>
      <c r="J1482" s="3" t="str">
        <f>CONCATENATE("54820205083")</f>
        <v>54820205083</v>
      </c>
      <c r="K1482" s="3" t="s">
        <v>33</v>
      </c>
      <c r="L1482" s="3"/>
      <c r="M1482" s="3" t="s">
        <v>131</v>
      </c>
      <c r="N1482" s="3" t="str">
        <f>CONCATENATE("MRNNZE70M16A252F")</f>
        <v>MRNNZE70M16A252F</v>
      </c>
      <c r="O1482" s="3" t="s">
        <v>1611</v>
      </c>
      <c r="P1482" s="3" t="s">
        <v>36</v>
      </c>
      <c r="Q1482" s="3"/>
      <c r="R1482" s="4">
        <v>45996</v>
      </c>
      <c r="S1482" s="3" t="s">
        <v>37</v>
      </c>
      <c r="T1482" s="3" t="s">
        <v>38</v>
      </c>
      <c r="U1482" s="3" t="s">
        <v>39</v>
      </c>
      <c r="V1482" s="3">
        <v>137.71</v>
      </c>
      <c r="W1482" s="3">
        <v>58.53</v>
      </c>
      <c r="X1482" s="3">
        <v>55.43</v>
      </c>
      <c r="Y1482" s="3">
        <v>23.75</v>
      </c>
    </row>
    <row r="1483" spans="1:25" ht="60.75" x14ac:dyDescent="0.25">
      <c r="A1483" s="3" t="s">
        <v>26</v>
      </c>
      <c r="B1483" s="3" t="s">
        <v>27</v>
      </c>
      <c r="C1483" s="3" t="s">
        <v>28</v>
      </c>
      <c r="D1483" s="3" t="s">
        <v>29</v>
      </c>
      <c r="E1483" s="3" t="s">
        <v>119</v>
      </c>
      <c r="F1483" s="3" t="s">
        <v>31</v>
      </c>
      <c r="G1483" s="3" t="s">
        <v>119</v>
      </c>
      <c r="H1483" s="3" t="s">
        <v>96</v>
      </c>
      <c r="I1483" s="3">
        <v>2025</v>
      </c>
      <c r="J1483" s="3" t="str">
        <f>CONCATENATE("54820170394")</f>
        <v>54820170394</v>
      </c>
      <c r="K1483" s="3" t="s">
        <v>33</v>
      </c>
      <c r="L1483" s="3"/>
      <c r="M1483" s="3" t="s">
        <v>131</v>
      </c>
      <c r="N1483" s="3" t="str">
        <f>CONCATENATE("GLLMRZ68B12C935N")</f>
        <v>GLLMRZ68B12C935N</v>
      </c>
      <c r="O1483" s="3" t="s">
        <v>1612</v>
      </c>
      <c r="P1483" s="3" t="s">
        <v>36</v>
      </c>
      <c r="Q1483" s="3"/>
      <c r="R1483" s="4">
        <v>45996</v>
      </c>
      <c r="S1483" s="3" t="s">
        <v>37</v>
      </c>
      <c r="T1483" s="3" t="s">
        <v>38</v>
      </c>
      <c r="U1483" s="3" t="s">
        <v>39</v>
      </c>
      <c r="V1483" s="3">
        <v>479.45</v>
      </c>
      <c r="W1483" s="3">
        <v>203.77</v>
      </c>
      <c r="X1483" s="3">
        <v>192.98</v>
      </c>
      <c r="Y1483" s="3">
        <v>82.7</v>
      </c>
    </row>
    <row r="1484" spans="1:25" ht="60.75" x14ac:dyDescent="0.25">
      <c r="A1484" s="3" t="s">
        <v>26</v>
      </c>
      <c r="B1484" s="3" t="s">
        <v>27</v>
      </c>
      <c r="C1484" s="3" t="s">
        <v>28</v>
      </c>
      <c r="D1484" s="3" t="s">
        <v>50</v>
      </c>
      <c r="E1484" s="3" t="s">
        <v>51</v>
      </c>
      <c r="F1484" s="3" t="s">
        <v>52</v>
      </c>
      <c r="G1484" s="3" t="s">
        <v>51</v>
      </c>
      <c r="H1484" s="3" t="s">
        <v>48</v>
      </c>
      <c r="I1484" s="3">
        <v>2025</v>
      </c>
      <c r="J1484" s="3" t="str">
        <f>CONCATENATE("54820175336")</f>
        <v>54820175336</v>
      </c>
      <c r="K1484" s="3" t="s">
        <v>33</v>
      </c>
      <c r="L1484" s="3"/>
      <c r="M1484" s="3" t="s">
        <v>131</v>
      </c>
      <c r="N1484" s="3" t="str">
        <f>CONCATENATE("VTLLRD83M18D451C")</f>
        <v>VTLLRD83M18D451C</v>
      </c>
      <c r="O1484" s="3" t="s">
        <v>1613</v>
      </c>
      <c r="P1484" s="3" t="s">
        <v>36</v>
      </c>
      <c r="Q1484" s="3"/>
      <c r="R1484" s="4">
        <v>45996</v>
      </c>
      <c r="S1484" s="3" t="s">
        <v>37</v>
      </c>
      <c r="T1484" s="3" t="s">
        <v>38</v>
      </c>
      <c r="U1484" s="3" t="s">
        <v>39</v>
      </c>
      <c r="V1484" s="3">
        <v>133.56</v>
      </c>
      <c r="W1484" s="3">
        <v>56.76</v>
      </c>
      <c r="X1484" s="3">
        <v>53.76</v>
      </c>
      <c r="Y1484" s="3">
        <v>23.04</v>
      </c>
    </row>
    <row r="1485" spans="1:25" ht="60.75" x14ac:dyDescent="0.25">
      <c r="A1485" s="3" t="s">
        <v>26</v>
      </c>
      <c r="B1485" s="3" t="s">
        <v>27</v>
      </c>
      <c r="C1485" s="3" t="s">
        <v>28</v>
      </c>
      <c r="D1485" s="3" t="s">
        <v>29</v>
      </c>
      <c r="E1485" s="3" t="s">
        <v>182</v>
      </c>
      <c r="F1485" s="3" t="s">
        <v>31</v>
      </c>
      <c r="G1485" s="3" t="s">
        <v>182</v>
      </c>
      <c r="H1485" s="3" t="s">
        <v>45</v>
      </c>
      <c r="I1485" s="3">
        <v>2025</v>
      </c>
      <c r="J1485" s="3" t="str">
        <f>CONCATENATE("54820102959")</f>
        <v>54820102959</v>
      </c>
      <c r="K1485" s="3" t="s">
        <v>33</v>
      </c>
      <c r="L1485" s="3"/>
      <c r="M1485" s="3" t="s">
        <v>131</v>
      </c>
      <c r="N1485" s="3" t="str">
        <f>CONCATENATE("CCCLNZ96L01L500U")</f>
        <v>CCCLNZ96L01L500U</v>
      </c>
      <c r="O1485" s="3" t="s">
        <v>1614</v>
      </c>
      <c r="P1485" s="3" t="s">
        <v>36</v>
      </c>
      <c r="Q1485" s="3"/>
      <c r="R1485" s="4">
        <v>45996</v>
      </c>
      <c r="S1485" s="3" t="s">
        <v>37</v>
      </c>
      <c r="T1485" s="3" t="s">
        <v>38</v>
      </c>
      <c r="U1485" s="3" t="s">
        <v>39</v>
      </c>
      <c r="V1485" s="3">
        <v>208.12</v>
      </c>
      <c r="W1485" s="3">
        <v>88.45</v>
      </c>
      <c r="X1485" s="3">
        <v>83.77</v>
      </c>
      <c r="Y1485" s="3">
        <v>35.9</v>
      </c>
    </row>
    <row r="1486" spans="1:25" ht="60.75" x14ac:dyDescent="0.25">
      <c r="A1486" s="3" t="s">
        <v>26</v>
      </c>
      <c r="B1486" s="3" t="s">
        <v>27</v>
      </c>
      <c r="C1486" s="3" t="s">
        <v>28</v>
      </c>
      <c r="D1486" s="3" t="s">
        <v>29</v>
      </c>
      <c r="E1486" s="3" t="s">
        <v>208</v>
      </c>
      <c r="F1486" s="3" t="s">
        <v>31</v>
      </c>
      <c r="G1486" s="3" t="s">
        <v>208</v>
      </c>
      <c r="H1486" s="3" t="s">
        <v>45</v>
      </c>
      <c r="I1486" s="3">
        <v>2025</v>
      </c>
      <c r="J1486" s="3" t="str">
        <f>CONCATENATE("54820057641")</f>
        <v>54820057641</v>
      </c>
      <c r="K1486" s="3" t="s">
        <v>33</v>
      </c>
      <c r="L1486" s="3"/>
      <c r="M1486" s="3" t="s">
        <v>131</v>
      </c>
      <c r="N1486" s="3" t="str">
        <f>CONCATENATE("PRLFLV68A09F135Q")</f>
        <v>PRLFLV68A09F135Q</v>
      </c>
      <c r="O1486" s="3" t="s">
        <v>1615</v>
      </c>
      <c r="P1486" s="3" t="s">
        <v>36</v>
      </c>
      <c r="Q1486" s="3"/>
      <c r="R1486" s="4">
        <v>45996</v>
      </c>
      <c r="S1486" s="3" t="s">
        <v>37</v>
      </c>
      <c r="T1486" s="3" t="s">
        <v>38</v>
      </c>
      <c r="U1486" s="3" t="s">
        <v>39</v>
      </c>
      <c r="V1486" s="3">
        <v>169.76</v>
      </c>
      <c r="W1486" s="3">
        <v>72.150000000000006</v>
      </c>
      <c r="X1486" s="3">
        <v>68.33</v>
      </c>
      <c r="Y1486" s="3">
        <v>29.28</v>
      </c>
    </row>
    <row r="1487" spans="1:25" ht="60.75" x14ac:dyDescent="0.25">
      <c r="A1487" s="3" t="s">
        <v>26</v>
      </c>
      <c r="B1487" s="3" t="s">
        <v>27</v>
      </c>
      <c r="C1487" s="3" t="s">
        <v>28</v>
      </c>
      <c r="D1487" s="3" t="s">
        <v>40</v>
      </c>
      <c r="E1487" s="3" t="s">
        <v>287</v>
      </c>
      <c r="F1487" s="3" t="s">
        <v>42</v>
      </c>
      <c r="G1487" s="3" t="s">
        <v>287</v>
      </c>
      <c r="H1487" s="3" t="s">
        <v>32</v>
      </c>
      <c r="I1487" s="3">
        <v>2025</v>
      </c>
      <c r="J1487" s="3" t="str">
        <f>CONCATENATE("54820014915")</f>
        <v>54820014915</v>
      </c>
      <c r="K1487" s="3" t="s">
        <v>33</v>
      </c>
      <c r="L1487" s="3"/>
      <c r="M1487" s="3" t="s">
        <v>131</v>
      </c>
      <c r="N1487" s="3" t="str">
        <f>CONCATENATE("BLLVNZ60D24B474K")</f>
        <v>BLLVNZ60D24B474K</v>
      </c>
      <c r="O1487" s="3" t="s">
        <v>1616</v>
      </c>
      <c r="P1487" s="3" t="s">
        <v>36</v>
      </c>
      <c r="Q1487" s="3"/>
      <c r="R1487" s="4">
        <v>45996</v>
      </c>
      <c r="S1487" s="3" t="s">
        <v>37</v>
      </c>
      <c r="T1487" s="3" t="s">
        <v>38</v>
      </c>
      <c r="U1487" s="3" t="s">
        <v>39</v>
      </c>
      <c r="V1487" s="3">
        <v>54.18</v>
      </c>
      <c r="W1487" s="3">
        <v>23.03</v>
      </c>
      <c r="X1487" s="3">
        <v>21.81</v>
      </c>
      <c r="Y1487" s="3">
        <v>9.34</v>
      </c>
    </row>
    <row r="1488" spans="1:25" ht="60.75" x14ac:dyDescent="0.25">
      <c r="A1488" s="3" t="s">
        <v>26</v>
      </c>
      <c r="B1488" s="3" t="s">
        <v>27</v>
      </c>
      <c r="C1488" s="3" t="s">
        <v>28</v>
      </c>
      <c r="D1488" s="3" t="s">
        <v>29</v>
      </c>
      <c r="E1488" s="3" t="s">
        <v>72</v>
      </c>
      <c r="F1488" s="3" t="s">
        <v>31</v>
      </c>
      <c r="G1488" s="3" t="s">
        <v>72</v>
      </c>
      <c r="H1488" s="3" t="s">
        <v>45</v>
      </c>
      <c r="I1488" s="3">
        <v>2025</v>
      </c>
      <c r="J1488" s="3" t="str">
        <f>CONCATENATE("54820022975")</f>
        <v>54820022975</v>
      </c>
      <c r="K1488" s="3" t="s">
        <v>33</v>
      </c>
      <c r="L1488" s="3"/>
      <c r="M1488" s="3" t="s">
        <v>131</v>
      </c>
      <c r="N1488" s="3" t="str">
        <f>CONCATENATE("PRCPLA46D17B352Y")</f>
        <v>PRCPLA46D17B352Y</v>
      </c>
      <c r="O1488" s="3" t="s">
        <v>1617</v>
      </c>
      <c r="P1488" s="3" t="s">
        <v>36</v>
      </c>
      <c r="Q1488" s="3"/>
      <c r="R1488" s="4">
        <v>45996</v>
      </c>
      <c r="S1488" s="3" t="s">
        <v>37</v>
      </c>
      <c r="T1488" s="3" t="s">
        <v>38</v>
      </c>
      <c r="U1488" s="3" t="s">
        <v>39</v>
      </c>
      <c r="V1488" s="3">
        <v>514.84</v>
      </c>
      <c r="W1488" s="3">
        <v>218.81</v>
      </c>
      <c r="X1488" s="3">
        <v>207.22</v>
      </c>
      <c r="Y1488" s="3">
        <v>88.81</v>
      </c>
    </row>
    <row r="1489" spans="1:25" ht="60.75" x14ac:dyDescent="0.25">
      <c r="A1489" s="3" t="s">
        <v>26</v>
      </c>
      <c r="B1489" s="3" t="s">
        <v>27</v>
      </c>
      <c r="C1489" s="3" t="s">
        <v>28</v>
      </c>
      <c r="D1489" s="3" t="s">
        <v>29</v>
      </c>
      <c r="E1489" s="3" t="s">
        <v>228</v>
      </c>
      <c r="F1489" s="3" t="s">
        <v>31</v>
      </c>
      <c r="G1489" s="3" t="s">
        <v>228</v>
      </c>
      <c r="H1489" s="3" t="s">
        <v>45</v>
      </c>
      <c r="I1489" s="3">
        <v>2025</v>
      </c>
      <c r="J1489" s="3" t="str">
        <f>CONCATENATE("54820050596")</f>
        <v>54820050596</v>
      </c>
      <c r="K1489" s="3" t="s">
        <v>33</v>
      </c>
      <c r="L1489" s="3"/>
      <c r="M1489" s="3" t="s">
        <v>131</v>
      </c>
      <c r="N1489" s="3" t="str">
        <f>CONCATENATE("PRSCRL64D26D488F")</f>
        <v>PRSCRL64D26D488F</v>
      </c>
      <c r="O1489" s="3" t="s">
        <v>1618</v>
      </c>
      <c r="P1489" s="3" t="s">
        <v>36</v>
      </c>
      <c r="Q1489" s="3"/>
      <c r="R1489" s="4">
        <v>45996</v>
      </c>
      <c r="S1489" s="3" t="s">
        <v>37</v>
      </c>
      <c r="T1489" s="3" t="s">
        <v>38</v>
      </c>
      <c r="U1489" s="3" t="s">
        <v>39</v>
      </c>
      <c r="V1489" s="3">
        <v>53.62</v>
      </c>
      <c r="W1489" s="3">
        <v>22.79</v>
      </c>
      <c r="X1489" s="3">
        <v>21.58</v>
      </c>
      <c r="Y1489" s="3">
        <v>9.25</v>
      </c>
    </row>
    <row r="1490" spans="1:25" ht="60.75" x14ac:dyDescent="0.25">
      <c r="A1490" s="3" t="s">
        <v>26</v>
      </c>
      <c r="B1490" s="3" t="s">
        <v>27</v>
      </c>
      <c r="C1490" s="3" t="s">
        <v>28</v>
      </c>
      <c r="D1490" s="3" t="s">
        <v>29</v>
      </c>
      <c r="E1490" s="3" t="s">
        <v>119</v>
      </c>
      <c r="F1490" s="3" t="s">
        <v>31</v>
      </c>
      <c r="G1490" s="3" t="s">
        <v>119</v>
      </c>
      <c r="H1490" s="3" t="s">
        <v>96</v>
      </c>
      <c r="I1490" s="3">
        <v>2025</v>
      </c>
      <c r="J1490" s="3" t="str">
        <f>CONCATENATE("54820022298")</f>
        <v>54820022298</v>
      </c>
      <c r="K1490" s="3" t="s">
        <v>33</v>
      </c>
      <c r="L1490" s="3"/>
      <c r="M1490" s="3" t="s">
        <v>131</v>
      </c>
      <c r="N1490" s="3" t="str">
        <f>CONCATENATE("RTNPLA58A26F509O")</f>
        <v>RTNPLA58A26F509O</v>
      </c>
      <c r="O1490" s="3" t="s">
        <v>1619</v>
      </c>
      <c r="P1490" s="3" t="s">
        <v>36</v>
      </c>
      <c r="Q1490" s="3"/>
      <c r="R1490" s="4">
        <v>45996</v>
      </c>
      <c r="S1490" s="3" t="s">
        <v>37</v>
      </c>
      <c r="T1490" s="3" t="s">
        <v>38</v>
      </c>
      <c r="U1490" s="3" t="s">
        <v>39</v>
      </c>
      <c r="V1490" s="3">
        <v>150.81</v>
      </c>
      <c r="W1490" s="3">
        <v>64.09</v>
      </c>
      <c r="X1490" s="3">
        <v>60.7</v>
      </c>
      <c r="Y1490" s="3">
        <v>26.02</v>
      </c>
    </row>
    <row r="1491" spans="1:25" ht="60.75" x14ac:dyDescent="0.25">
      <c r="A1491" s="3" t="s">
        <v>26</v>
      </c>
      <c r="B1491" s="3" t="s">
        <v>27</v>
      </c>
      <c r="C1491" s="3" t="s">
        <v>28</v>
      </c>
      <c r="D1491" s="3" t="s">
        <v>29</v>
      </c>
      <c r="E1491" s="3" t="s">
        <v>182</v>
      </c>
      <c r="F1491" s="3" t="s">
        <v>31</v>
      </c>
      <c r="G1491" s="3" t="s">
        <v>182</v>
      </c>
      <c r="H1491" s="3" t="s">
        <v>45</v>
      </c>
      <c r="I1491" s="3">
        <v>2025</v>
      </c>
      <c r="J1491" s="3" t="str">
        <f>CONCATENATE("54820062138")</f>
        <v>54820062138</v>
      </c>
      <c r="K1491" s="3" t="s">
        <v>33</v>
      </c>
      <c r="L1491" s="3"/>
      <c r="M1491" s="3" t="s">
        <v>131</v>
      </c>
      <c r="N1491" s="3" t="str">
        <f>CONCATENATE("MNTMRC57S07L500L")</f>
        <v>MNTMRC57S07L500L</v>
      </c>
      <c r="O1491" s="3" t="s">
        <v>848</v>
      </c>
      <c r="P1491" s="3" t="s">
        <v>36</v>
      </c>
      <c r="Q1491" s="3"/>
      <c r="R1491" s="4">
        <v>45996</v>
      </c>
      <c r="S1491" s="3" t="s">
        <v>37</v>
      </c>
      <c r="T1491" s="3" t="s">
        <v>38</v>
      </c>
      <c r="U1491" s="3" t="s">
        <v>39</v>
      </c>
      <c r="V1491" s="3">
        <v>226.87</v>
      </c>
      <c r="W1491" s="3">
        <v>96.42</v>
      </c>
      <c r="X1491" s="3">
        <v>91.32</v>
      </c>
      <c r="Y1491" s="3">
        <v>39.130000000000003</v>
      </c>
    </row>
    <row r="1492" spans="1:25" ht="72.75" x14ac:dyDescent="0.25">
      <c r="A1492" s="3" t="s">
        <v>26</v>
      </c>
      <c r="B1492" s="3" t="s">
        <v>27</v>
      </c>
      <c r="C1492" s="3" t="s">
        <v>28</v>
      </c>
      <c r="D1492" s="3" t="s">
        <v>29</v>
      </c>
      <c r="E1492" s="3" t="s">
        <v>47</v>
      </c>
      <c r="F1492" s="3" t="s">
        <v>31</v>
      </c>
      <c r="G1492" s="3" t="s">
        <v>47</v>
      </c>
      <c r="H1492" s="3" t="s">
        <v>48</v>
      </c>
      <c r="I1492" s="3">
        <v>2025</v>
      </c>
      <c r="J1492" s="3" t="str">
        <f>CONCATENATE("54820029723")</f>
        <v>54820029723</v>
      </c>
      <c r="K1492" s="3" t="s">
        <v>33</v>
      </c>
      <c r="L1492" s="3"/>
      <c r="M1492" s="3" t="s">
        <v>131</v>
      </c>
      <c r="N1492" s="3" t="str">
        <f>CONCATENATE("RMNLCU72L20D451P")</f>
        <v>RMNLCU72L20D451P</v>
      </c>
      <c r="O1492" s="3" t="s">
        <v>1620</v>
      </c>
      <c r="P1492" s="3" t="s">
        <v>36</v>
      </c>
      <c r="Q1492" s="3"/>
      <c r="R1492" s="4">
        <v>45996</v>
      </c>
      <c r="S1492" s="3" t="s">
        <v>37</v>
      </c>
      <c r="T1492" s="3" t="s">
        <v>38</v>
      </c>
      <c r="U1492" s="3" t="s">
        <v>39</v>
      </c>
      <c r="V1492" s="3">
        <v>88.54</v>
      </c>
      <c r="W1492" s="3">
        <v>37.630000000000003</v>
      </c>
      <c r="X1492" s="3">
        <v>35.64</v>
      </c>
      <c r="Y1492" s="3">
        <v>15.27</v>
      </c>
    </row>
    <row r="1493" spans="1:25" ht="36.75" x14ac:dyDescent="0.25">
      <c r="A1493" s="3" t="s">
        <v>26</v>
      </c>
      <c r="B1493" s="3" t="s">
        <v>27</v>
      </c>
      <c r="C1493" s="3" t="s">
        <v>28</v>
      </c>
      <c r="D1493" s="3" t="s">
        <v>157</v>
      </c>
      <c r="E1493" s="3" t="s">
        <v>158</v>
      </c>
      <c r="F1493" s="3" t="s">
        <v>159</v>
      </c>
      <c r="G1493" s="3" t="s">
        <v>158</v>
      </c>
      <c r="H1493" s="3" t="s">
        <v>45</v>
      </c>
      <c r="I1493" s="3">
        <v>2025</v>
      </c>
      <c r="J1493" s="3" t="str">
        <f>CONCATENATE("54820022280")</f>
        <v>54820022280</v>
      </c>
      <c r="K1493" s="3" t="s">
        <v>33</v>
      </c>
      <c r="L1493" s="3"/>
      <c r="M1493" s="3" t="s">
        <v>131</v>
      </c>
      <c r="N1493" s="3" t="str">
        <f>CONCATENATE("02334930415")</f>
        <v>02334930415</v>
      </c>
      <c r="O1493" s="3" t="s">
        <v>1621</v>
      </c>
      <c r="P1493" s="3" t="s">
        <v>36</v>
      </c>
      <c r="Q1493" s="3"/>
      <c r="R1493" s="4">
        <v>45996</v>
      </c>
      <c r="S1493" s="3" t="s">
        <v>37</v>
      </c>
      <c r="T1493" s="3" t="s">
        <v>38</v>
      </c>
      <c r="U1493" s="3" t="s">
        <v>39</v>
      </c>
      <c r="V1493" s="3">
        <v>106.03</v>
      </c>
      <c r="W1493" s="3">
        <v>45.06</v>
      </c>
      <c r="X1493" s="3">
        <v>42.68</v>
      </c>
      <c r="Y1493" s="3">
        <v>18.29</v>
      </c>
    </row>
    <row r="1494" spans="1:25" ht="60.75" x14ac:dyDescent="0.25">
      <c r="A1494" s="3" t="s">
        <v>26</v>
      </c>
      <c r="B1494" s="3" t="s">
        <v>27</v>
      </c>
      <c r="C1494" s="3" t="s">
        <v>28</v>
      </c>
      <c r="D1494" s="3" t="s">
        <v>29</v>
      </c>
      <c r="E1494" s="3" t="s">
        <v>72</v>
      </c>
      <c r="F1494" s="3" t="s">
        <v>31</v>
      </c>
      <c r="G1494" s="3" t="s">
        <v>72</v>
      </c>
      <c r="H1494" s="3" t="s">
        <v>45</v>
      </c>
      <c r="I1494" s="3">
        <v>2025</v>
      </c>
      <c r="J1494" s="3" t="str">
        <f>CONCATENATE("54820044599")</f>
        <v>54820044599</v>
      </c>
      <c r="K1494" s="3" t="s">
        <v>33</v>
      </c>
      <c r="L1494" s="3"/>
      <c r="M1494" s="3" t="s">
        <v>131</v>
      </c>
      <c r="N1494" s="3" t="str">
        <f>CONCATENATE("MRTPTR51C16B352S")</f>
        <v>MRTPTR51C16B352S</v>
      </c>
      <c r="O1494" s="3" t="s">
        <v>869</v>
      </c>
      <c r="P1494" s="3" t="s">
        <v>36</v>
      </c>
      <c r="Q1494" s="3"/>
      <c r="R1494" s="4">
        <v>45996</v>
      </c>
      <c r="S1494" s="3" t="s">
        <v>37</v>
      </c>
      <c r="T1494" s="3" t="s">
        <v>38</v>
      </c>
      <c r="U1494" s="3" t="s">
        <v>39</v>
      </c>
      <c r="V1494" s="5">
        <v>1014.78</v>
      </c>
      <c r="W1494" s="3">
        <v>431.28</v>
      </c>
      <c r="X1494" s="3">
        <v>408.45</v>
      </c>
      <c r="Y1494" s="3">
        <v>175.05</v>
      </c>
    </row>
    <row r="1495" spans="1:25" ht="72.75" x14ac:dyDescent="0.25">
      <c r="A1495" s="3" t="s">
        <v>26</v>
      </c>
      <c r="B1495" s="3" t="s">
        <v>27</v>
      </c>
      <c r="C1495" s="3" t="s">
        <v>28</v>
      </c>
      <c r="D1495" s="3" t="s">
        <v>29</v>
      </c>
      <c r="E1495" s="3" t="s">
        <v>80</v>
      </c>
      <c r="F1495" s="3" t="s">
        <v>31</v>
      </c>
      <c r="G1495" s="3" t="s">
        <v>80</v>
      </c>
      <c r="H1495" s="3" t="s">
        <v>45</v>
      </c>
      <c r="I1495" s="3">
        <v>2025</v>
      </c>
      <c r="J1495" s="3" t="str">
        <f>CONCATENATE("54820083399")</f>
        <v>54820083399</v>
      </c>
      <c r="K1495" s="3" t="s">
        <v>33</v>
      </c>
      <c r="L1495" s="3"/>
      <c r="M1495" s="3" t="s">
        <v>131</v>
      </c>
      <c r="N1495" s="3" t="str">
        <f>CONCATENATE("TMMGNN64C17G453W")</f>
        <v>TMMGNN64C17G453W</v>
      </c>
      <c r="O1495" s="3" t="s">
        <v>1622</v>
      </c>
      <c r="P1495" s="3" t="s">
        <v>36</v>
      </c>
      <c r="Q1495" s="3"/>
      <c r="R1495" s="4">
        <v>45996</v>
      </c>
      <c r="S1495" s="3" t="s">
        <v>37</v>
      </c>
      <c r="T1495" s="3" t="s">
        <v>38</v>
      </c>
      <c r="U1495" s="3" t="s">
        <v>39</v>
      </c>
      <c r="V1495" s="3">
        <v>266.93</v>
      </c>
      <c r="W1495" s="3">
        <v>113.45</v>
      </c>
      <c r="X1495" s="3">
        <v>107.44</v>
      </c>
      <c r="Y1495" s="3">
        <v>46.04</v>
      </c>
    </row>
    <row r="1496" spans="1:25" ht="72.75" x14ac:dyDescent="0.25">
      <c r="A1496" s="3" t="s">
        <v>26</v>
      </c>
      <c r="B1496" s="3" t="s">
        <v>27</v>
      </c>
      <c r="C1496" s="3" t="s">
        <v>28</v>
      </c>
      <c r="D1496" s="3" t="s">
        <v>50</v>
      </c>
      <c r="E1496" s="3" t="s">
        <v>149</v>
      </c>
      <c r="F1496" s="3" t="s">
        <v>52</v>
      </c>
      <c r="G1496" s="3" t="s">
        <v>149</v>
      </c>
      <c r="H1496" s="3" t="s">
        <v>96</v>
      </c>
      <c r="I1496" s="3">
        <v>2025</v>
      </c>
      <c r="J1496" s="3" t="str">
        <f>CONCATENATE("54820074265")</f>
        <v>54820074265</v>
      </c>
      <c r="K1496" s="3" t="s">
        <v>33</v>
      </c>
      <c r="L1496" s="3"/>
      <c r="M1496" s="3" t="s">
        <v>131</v>
      </c>
      <c r="N1496" s="3" t="str">
        <f>CONCATENATE("CNNMRN87S56A462T")</f>
        <v>CNNMRN87S56A462T</v>
      </c>
      <c r="O1496" s="3" t="s">
        <v>1623</v>
      </c>
      <c r="P1496" s="3" t="s">
        <v>36</v>
      </c>
      <c r="Q1496" s="3"/>
      <c r="R1496" s="4">
        <v>45996</v>
      </c>
      <c r="S1496" s="3" t="s">
        <v>37</v>
      </c>
      <c r="T1496" s="3" t="s">
        <v>38</v>
      </c>
      <c r="U1496" s="3" t="s">
        <v>39</v>
      </c>
      <c r="V1496" s="3">
        <v>655.20000000000005</v>
      </c>
      <c r="W1496" s="3">
        <v>278.45999999999998</v>
      </c>
      <c r="X1496" s="3">
        <v>263.72000000000003</v>
      </c>
      <c r="Y1496" s="3">
        <v>113.02</v>
      </c>
    </row>
    <row r="1497" spans="1:25" ht="60.75" x14ac:dyDescent="0.25">
      <c r="A1497" s="3" t="s">
        <v>26</v>
      </c>
      <c r="B1497" s="3" t="s">
        <v>27</v>
      </c>
      <c r="C1497" s="3" t="s">
        <v>28</v>
      </c>
      <c r="D1497" s="3" t="s">
        <v>29</v>
      </c>
      <c r="E1497" s="3" t="s">
        <v>208</v>
      </c>
      <c r="F1497" s="3" t="s">
        <v>31</v>
      </c>
      <c r="G1497" s="3" t="s">
        <v>208</v>
      </c>
      <c r="H1497" s="3" t="s">
        <v>45</v>
      </c>
      <c r="I1497" s="3">
        <v>2025</v>
      </c>
      <c r="J1497" s="3" t="str">
        <f>CONCATENATE("54820039466")</f>
        <v>54820039466</v>
      </c>
      <c r="K1497" s="3" t="s">
        <v>33</v>
      </c>
      <c r="L1497" s="3"/>
      <c r="M1497" s="3" t="s">
        <v>131</v>
      </c>
      <c r="N1497" s="3" t="str">
        <f>CONCATENATE("CRCPTR43B10B026C")</f>
        <v>CRCPTR43B10B026C</v>
      </c>
      <c r="O1497" s="3" t="s">
        <v>1624</v>
      </c>
      <c r="P1497" s="3" t="s">
        <v>36</v>
      </c>
      <c r="Q1497" s="3"/>
      <c r="R1497" s="4">
        <v>45996</v>
      </c>
      <c r="S1497" s="3" t="s">
        <v>37</v>
      </c>
      <c r="T1497" s="3" t="s">
        <v>38</v>
      </c>
      <c r="U1497" s="3" t="s">
        <v>39</v>
      </c>
      <c r="V1497" s="3">
        <v>65.09</v>
      </c>
      <c r="W1497" s="3">
        <v>27.66</v>
      </c>
      <c r="X1497" s="3">
        <v>26.2</v>
      </c>
      <c r="Y1497" s="3">
        <v>11.23</v>
      </c>
    </row>
    <row r="1498" spans="1:25" ht="60.75" x14ac:dyDescent="0.25">
      <c r="A1498" s="3" t="s">
        <v>26</v>
      </c>
      <c r="B1498" s="3" t="s">
        <v>27</v>
      </c>
      <c r="C1498" s="3" t="s">
        <v>28</v>
      </c>
      <c r="D1498" s="3" t="s">
        <v>29</v>
      </c>
      <c r="E1498" s="3" t="s">
        <v>119</v>
      </c>
      <c r="F1498" s="3" t="s">
        <v>31</v>
      </c>
      <c r="G1498" s="3" t="s">
        <v>119</v>
      </c>
      <c r="H1498" s="3" t="s">
        <v>96</v>
      </c>
      <c r="I1498" s="3">
        <v>2025</v>
      </c>
      <c r="J1498" s="3" t="str">
        <f>CONCATENATE("54820010624")</f>
        <v>54820010624</v>
      </c>
      <c r="K1498" s="3" t="s">
        <v>33</v>
      </c>
      <c r="L1498" s="3"/>
      <c r="M1498" s="3" t="s">
        <v>131</v>
      </c>
      <c r="N1498" s="3" t="str">
        <f>CONCATENATE("BRCMHL60R06F570W")</f>
        <v>BRCMHL60R06F570W</v>
      </c>
      <c r="O1498" s="3" t="s">
        <v>1625</v>
      </c>
      <c r="P1498" s="3" t="s">
        <v>36</v>
      </c>
      <c r="Q1498" s="3"/>
      <c r="R1498" s="4">
        <v>45996</v>
      </c>
      <c r="S1498" s="3" t="s">
        <v>37</v>
      </c>
      <c r="T1498" s="3" t="s">
        <v>38</v>
      </c>
      <c r="U1498" s="3" t="s">
        <v>39</v>
      </c>
      <c r="V1498" s="3">
        <v>121.24</v>
      </c>
      <c r="W1498" s="3">
        <v>51.53</v>
      </c>
      <c r="X1498" s="3">
        <v>48.8</v>
      </c>
      <c r="Y1498" s="3">
        <v>20.91</v>
      </c>
    </row>
    <row r="1499" spans="1:25" ht="60.75" x14ac:dyDescent="0.25">
      <c r="A1499" s="3" t="s">
        <v>26</v>
      </c>
      <c r="B1499" s="3" t="s">
        <v>27</v>
      </c>
      <c r="C1499" s="3" t="s">
        <v>28</v>
      </c>
      <c r="D1499" s="3" t="s">
        <v>29</v>
      </c>
      <c r="E1499" s="3" t="s">
        <v>119</v>
      </c>
      <c r="F1499" s="3" t="s">
        <v>31</v>
      </c>
      <c r="G1499" s="3" t="s">
        <v>119</v>
      </c>
      <c r="H1499" s="3" t="s">
        <v>96</v>
      </c>
      <c r="I1499" s="3">
        <v>2025</v>
      </c>
      <c r="J1499" s="3" t="str">
        <f>CONCATENATE("54820010715")</f>
        <v>54820010715</v>
      </c>
      <c r="K1499" s="3" t="s">
        <v>33</v>
      </c>
      <c r="L1499" s="3"/>
      <c r="M1499" s="3" t="s">
        <v>131</v>
      </c>
      <c r="N1499" s="3" t="str">
        <f>CONCATENATE("CNSGNN45B19F509O")</f>
        <v>CNSGNN45B19F509O</v>
      </c>
      <c r="O1499" s="3" t="s">
        <v>1626</v>
      </c>
      <c r="P1499" s="3" t="s">
        <v>36</v>
      </c>
      <c r="Q1499" s="3"/>
      <c r="R1499" s="4">
        <v>45996</v>
      </c>
      <c r="S1499" s="3" t="s">
        <v>37</v>
      </c>
      <c r="T1499" s="3" t="s">
        <v>38</v>
      </c>
      <c r="U1499" s="3" t="s">
        <v>39</v>
      </c>
      <c r="V1499" s="3">
        <v>200.1</v>
      </c>
      <c r="W1499" s="3">
        <v>85.04</v>
      </c>
      <c r="X1499" s="3">
        <v>80.540000000000006</v>
      </c>
      <c r="Y1499" s="3">
        <v>34.520000000000003</v>
      </c>
    </row>
    <row r="1500" spans="1:25" ht="60.75" x14ac:dyDescent="0.25">
      <c r="A1500" s="3" t="s">
        <v>26</v>
      </c>
      <c r="B1500" s="3" t="s">
        <v>27</v>
      </c>
      <c r="C1500" s="3" t="s">
        <v>28</v>
      </c>
      <c r="D1500" s="3" t="s">
        <v>29</v>
      </c>
      <c r="E1500" s="3" t="s">
        <v>233</v>
      </c>
      <c r="F1500" s="3" t="s">
        <v>31</v>
      </c>
      <c r="G1500" s="3" t="s">
        <v>233</v>
      </c>
      <c r="H1500" s="3" t="s">
        <v>96</v>
      </c>
      <c r="I1500" s="3">
        <v>2025</v>
      </c>
      <c r="J1500" s="3" t="str">
        <f>CONCATENATE("54820068671")</f>
        <v>54820068671</v>
      </c>
      <c r="K1500" s="3" t="s">
        <v>33</v>
      </c>
      <c r="L1500" s="3"/>
      <c r="M1500" s="3" t="s">
        <v>131</v>
      </c>
      <c r="N1500" s="3" t="str">
        <f>CONCATENATE("VNNCLL47P64G289E")</f>
        <v>VNNCLL47P64G289E</v>
      </c>
      <c r="O1500" s="3" t="s">
        <v>1627</v>
      </c>
      <c r="P1500" s="3" t="s">
        <v>36</v>
      </c>
      <c r="Q1500" s="3"/>
      <c r="R1500" s="4">
        <v>45996</v>
      </c>
      <c r="S1500" s="3" t="s">
        <v>37</v>
      </c>
      <c r="T1500" s="3" t="s">
        <v>38</v>
      </c>
      <c r="U1500" s="3" t="s">
        <v>39</v>
      </c>
      <c r="V1500" s="3">
        <v>70.92</v>
      </c>
      <c r="W1500" s="3">
        <v>30.14</v>
      </c>
      <c r="X1500" s="3">
        <v>28.55</v>
      </c>
      <c r="Y1500" s="3">
        <v>12.23</v>
      </c>
    </row>
    <row r="1501" spans="1:25" ht="60.75" x14ac:dyDescent="0.25">
      <c r="A1501" s="3" t="s">
        <v>26</v>
      </c>
      <c r="B1501" s="3" t="s">
        <v>27</v>
      </c>
      <c r="C1501" s="3" t="s">
        <v>28</v>
      </c>
      <c r="D1501" s="3" t="s">
        <v>29</v>
      </c>
      <c r="E1501" s="3" t="s">
        <v>119</v>
      </c>
      <c r="F1501" s="3" t="s">
        <v>31</v>
      </c>
      <c r="G1501" s="3" t="s">
        <v>119</v>
      </c>
      <c r="H1501" s="3" t="s">
        <v>96</v>
      </c>
      <c r="I1501" s="3">
        <v>2025</v>
      </c>
      <c r="J1501" s="3" t="str">
        <f>CONCATENATE("54820049937")</f>
        <v>54820049937</v>
      </c>
      <c r="K1501" s="3" t="s">
        <v>33</v>
      </c>
      <c r="L1501" s="3"/>
      <c r="M1501" s="3" t="s">
        <v>131</v>
      </c>
      <c r="N1501" s="3" t="str">
        <f>CONCATENATE("FNRMRA49M57A252X")</f>
        <v>FNRMRA49M57A252X</v>
      </c>
      <c r="O1501" s="3" t="s">
        <v>1628</v>
      </c>
      <c r="P1501" s="3" t="s">
        <v>36</v>
      </c>
      <c r="Q1501" s="3"/>
      <c r="R1501" s="4">
        <v>45996</v>
      </c>
      <c r="S1501" s="3" t="s">
        <v>37</v>
      </c>
      <c r="T1501" s="3" t="s">
        <v>38</v>
      </c>
      <c r="U1501" s="3" t="s">
        <v>39</v>
      </c>
      <c r="V1501" s="3">
        <v>193.1</v>
      </c>
      <c r="W1501" s="3">
        <v>82.07</v>
      </c>
      <c r="X1501" s="3">
        <v>77.72</v>
      </c>
      <c r="Y1501" s="3">
        <v>33.31</v>
      </c>
    </row>
    <row r="1502" spans="1:25" ht="48.75" x14ac:dyDescent="0.25">
      <c r="A1502" s="3" t="s">
        <v>26</v>
      </c>
      <c r="B1502" s="3" t="s">
        <v>27</v>
      </c>
      <c r="C1502" s="3" t="s">
        <v>28</v>
      </c>
      <c r="D1502" s="3" t="s">
        <v>29</v>
      </c>
      <c r="E1502" s="3" t="s">
        <v>136</v>
      </c>
      <c r="F1502" s="3" t="s">
        <v>31</v>
      </c>
      <c r="G1502" s="3" t="s">
        <v>136</v>
      </c>
      <c r="H1502" s="3" t="s">
        <v>48</v>
      </c>
      <c r="I1502" s="3">
        <v>2025</v>
      </c>
      <c r="J1502" s="3" t="str">
        <f>CONCATENATE("54820062575")</f>
        <v>54820062575</v>
      </c>
      <c r="K1502" s="3" t="s">
        <v>33</v>
      </c>
      <c r="L1502" s="3"/>
      <c r="M1502" s="3" t="s">
        <v>131</v>
      </c>
      <c r="N1502" s="3" t="str">
        <f>CONCATENATE("BLLTTI40P10I461P")</f>
        <v>BLLTTI40P10I461P</v>
      </c>
      <c r="O1502" s="3" t="s">
        <v>1629</v>
      </c>
      <c r="P1502" s="3" t="s">
        <v>36</v>
      </c>
      <c r="Q1502" s="3"/>
      <c r="R1502" s="4">
        <v>45996</v>
      </c>
      <c r="S1502" s="3" t="s">
        <v>37</v>
      </c>
      <c r="T1502" s="3" t="s">
        <v>38</v>
      </c>
      <c r="U1502" s="3" t="s">
        <v>39</v>
      </c>
      <c r="V1502" s="3">
        <v>202.4</v>
      </c>
      <c r="W1502" s="3">
        <v>86.02</v>
      </c>
      <c r="X1502" s="3">
        <v>81.47</v>
      </c>
      <c r="Y1502" s="3">
        <v>34.909999999999997</v>
      </c>
    </row>
    <row r="1503" spans="1:25" ht="60.75" x14ac:dyDescent="0.25">
      <c r="A1503" s="3" t="s">
        <v>26</v>
      </c>
      <c r="B1503" s="3" t="s">
        <v>27</v>
      </c>
      <c r="C1503" s="3" t="s">
        <v>28</v>
      </c>
      <c r="D1503" s="3" t="s">
        <v>29</v>
      </c>
      <c r="E1503" s="3" t="s">
        <v>56</v>
      </c>
      <c r="F1503" s="3" t="s">
        <v>31</v>
      </c>
      <c r="G1503" s="3" t="s">
        <v>56</v>
      </c>
      <c r="H1503" s="3" t="s">
        <v>32</v>
      </c>
      <c r="I1503" s="3">
        <v>2025</v>
      </c>
      <c r="J1503" s="3" t="str">
        <f>CONCATENATE("54820019369")</f>
        <v>54820019369</v>
      </c>
      <c r="K1503" s="3" t="s">
        <v>33</v>
      </c>
      <c r="L1503" s="3"/>
      <c r="M1503" s="3" t="s">
        <v>131</v>
      </c>
      <c r="N1503" s="3" t="str">
        <f>CONCATENATE("CCCGRL61M27I661P")</f>
        <v>CCCGRL61M27I661P</v>
      </c>
      <c r="O1503" s="3" t="s">
        <v>1630</v>
      </c>
      <c r="P1503" s="3" t="s">
        <v>36</v>
      </c>
      <c r="Q1503" s="3"/>
      <c r="R1503" s="4">
        <v>45996</v>
      </c>
      <c r="S1503" s="3" t="s">
        <v>37</v>
      </c>
      <c r="T1503" s="3" t="s">
        <v>38</v>
      </c>
      <c r="U1503" s="3" t="s">
        <v>39</v>
      </c>
      <c r="V1503" s="3">
        <v>875.87</v>
      </c>
      <c r="W1503" s="3">
        <v>372.24</v>
      </c>
      <c r="X1503" s="3">
        <v>352.54</v>
      </c>
      <c r="Y1503" s="3">
        <v>151.09</v>
      </c>
    </row>
    <row r="1504" spans="1:25" ht="60.75" x14ac:dyDescent="0.25">
      <c r="A1504" s="3" t="s">
        <v>26</v>
      </c>
      <c r="B1504" s="3" t="s">
        <v>27</v>
      </c>
      <c r="C1504" s="3" t="s">
        <v>28</v>
      </c>
      <c r="D1504" s="3" t="s">
        <v>40</v>
      </c>
      <c r="E1504" s="3" t="s">
        <v>41</v>
      </c>
      <c r="F1504" s="3" t="s">
        <v>42</v>
      </c>
      <c r="G1504" s="3" t="s">
        <v>41</v>
      </c>
      <c r="H1504" s="3" t="s">
        <v>32</v>
      </c>
      <c r="I1504" s="3">
        <v>2025</v>
      </c>
      <c r="J1504" s="3" t="str">
        <f>CONCATENATE("54820031547")</f>
        <v>54820031547</v>
      </c>
      <c r="K1504" s="3" t="s">
        <v>33</v>
      </c>
      <c r="L1504" s="3"/>
      <c r="M1504" s="3" t="s">
        <v>131</v>
      </c>
      <c r="N1504" s="3" t="str">
        <f>CONCATENATE("TRRMRC84E02B474U")</f>
        <v>TRRMRC84E02B474U</v>
      </c>
      <c r="O1504" s="3" t="s">
        <v>1631</v>
      </c>
      <c r="P1504" s="3" t="s">
        <v>36</v>
      </c>
      <c r="Q1504" s="3"/>
      <c r="R1504" s="4">
        <v>45996</v>
      </c>
      <c r="S1504" s="3" t="s">
        <v>37</v>
      </c>
      <c r="T1504" s="3" t="s">
        <v>38</v>
      </c>
      <c r="U1504" s="3" t="s">
        <v>39</v>
      </c>
      <c r="V1504" s="3">
        <v>590.75</v>
      </c>
      <c r="W1504" s="3">
        <v>251.07</v>
      </c>
      <c r="X1504" s="3">
        <v>237.78</v>
      </c>
      <c r="Y1504" s="3">
        <v>101.9</v>
      </c>
    </row>
    <row r="1505" spans="1:25" ht="60.75" x14ac:dyDescent="0.25">
      <c r="A1505" s="3" t="s">
        <v>26</v>
      </c>
      <c r="B1505" s="3" t="s">
        <v>27</v>
      </c>
      <c r="C1505" s="3" t="s">
        <v>28</v>
      </c>
      <c r="D1505" s="3" t="s">
        <v>29</v>
      </c>
      <c r="E1505" s="3" t="s">
        <v>119</v>
      </c>
      <c r="F1505" s="3" t="s">
        <v>31</v>
      </c>
      <c r="G1505" s="3" t="s">
        <v>119</v>
      </c>
      <c r="H1505" s="3" t="s">
        <v>96</v>
      </c>
      <c r="I1505" s="3">
        <v>2025</v>
      </c>
      <c r="J1505" s="3" t="str">
        <f>CONCATENATE("54820010491")</f>
        <v>54820010491</v>
      </c>
      <c r="K1505" s="3" t="s">
        <v>33</v>
      </c>
      <c r="L1505" s="3"/>
      <c r="M1505" s="3" t="s">
        <v>131</v>
      </c>
      <c r="N1505" s="3" t="str">
        <f>CONCATENATE("GZZMDE80P19A462U")</f>
        <v>GZZMDE80P19A462U</v>
      </c>
      <c r="O1505" s="3" t="s">
        <v>1632</v>
      </c>
      <c r="P1505" s="3" t="s">
        <v>36</v>
      </c>
      <c r="Q1505" s="3"/>
      <c r="R1505" s="4">
        <v>45996</v>
      </c>
      <c r="S1505" s="3" t="s">
        <v>37</v>
      </c>
      <c r="T1505" s="3" t="s">
        <v>38</v>
      </c>
      <c r="U1505" s="3" t="s">
        <v>39</v>
      </c>
      <c r="V1505" s="3">
        <v>97.6</v>
      </c>
      <c r="W1505" s="3">
        <v>41.48</v>
      </c>
      <c r="X1505" s="3">
        <v>39.28</v>
      </c>
      <c r="Y1505" s="3">
        <v>16.84</v>
      </c>
    </row>
    <row r="1506" spans="1:25" ht="36.75" x14ac:dyDescent="0.25">
      <c r="A1506" s="3" t="s">
        <v>26</v>
      </c>
      <c r="B1506" s="3" t="s">
        <v>27</v>
      </c>
      <c r="C1506" s="3" t="s">
        <v>28</v>
      </c>
      <c r="D1506" s="3" t="s">
        <v>40</v>
      </c>
      <c r="E1506" s="3" t="s">
        <v>54</v>
      </c>
      <c r="F1506" s="3" t="s">
        <v>42</v>
      </c>
      <c r="G1506" s="3" t="s">
        <v>54</v>
      </c>
      <c r="H1506" s="3" t="s">
        <v>45</v>
      </c>
      <c r="I1506" s="3">
        <v>2025</v>
      </c>
      <c r="J1506" s="3" t="str">
        <f>CONCATENATE("54820056122")</f>
        <v>54820056122</v>
      </c>
      <c r="K1506" s="3" t="s">
        <v>33</v>
      </c>
      <c r="L1506" s="3"/>
      <c r="M1506" s="3" t="s">
        <v>131</v>
      </c>
      <c r="N1506" s="3" t="str">
        <f>CONCATENATE("02599330418")</f>
        <v>02599330418</v>
      </c>
      <c r="O1506" s="3" t="s">
        <v>1633</v>
      </c>
      <c r="P1506" s="3" t="s">
        <v>36</v>
      </c>
      <c r="Q1506" s="3"/>
      <c r="R1506" s="4">
        <v>45996</v>
      </c>
      <c r="S1506" s="3" t="s">
        <v>37</v>
      </c>
      <c r="T1506" s="3" t="s">
        <v>38</v>
      </c>
      <c r="U1506" s="3" t="s">
        <v>39</v>
      </c>
      <c r="V1506" s="3">
        <v>794.5</v>
      </c>
      <c r="W1506" s="3">
        <v>337.66</v>
      </c>
      <c r="X1506" s="3">
        <v>319.79000000000002</v>
      </c>
      <c r="Y1506" s="3">
        <v>137.05000000000001</v>
      </c>
    </row>
    <row r="1507" spans="1:25" ht="60.75" x14ac:dyDescent="0.25">
      <c r="A1507" s="3" t="s">
        <v>26</v>
      </c>
      <c r="B1507" s="3" t="s">
        <v>27</v>
      </c>
      <c r="C1507" s="3" t="s">
        <v>28</v>
      </c>
      <c r="D1507" s="3" t="s">
        <v>29</v>
      </c>
      <c r="E1507" s="3" t="s">
        <v>186</v>
      </c>
      <c r="F1507" s="3" t="s">
        <v>31</v>
      </c>
      <c r="G1507" s="3" t="s">
        <v>186</v>
      </c>
      <c r="H1507" s="3" t="s">
        <v>45</v>
      </c>
      <c r="I1507" s="3">
        <v>2025</v>
      </c>
      <c r="J1507" s="3" t="str">
        <f>CONCATENATE("54820029335")</f>
        <v>54820029335</v>
      </c>
      <c r="K1507" s="3" t="s">
        <v>33</v>
      </c>
      <c r="L1507" s="3"/>
      <c r="M1507" s="3" t="s">
        <v>131</v>
      </c>
      <c r="N1507" s="3" t="str">
        <f>CONCATENATE("GSTLRD62H25I459F")</f>
        <v>GSTLRD62H25I459F</v>
      </c>
      <c r="O1507" s="3" t="s">
        <v>1634</v>
      </c>
      <c r="P1507" s="3" t="s">
        <v>36</v>
      </c>
      <c r="Q1507" s="3"/>
      <c r="R1507" s="4">
        <v>45996</v>
      </c>
      <c r="S1507" s="3" t="s">
        <v>37</v>
      </c>
      <c r="T1507" s="3" t="s">
        <v>38</v>
      </c>
      <c r="U1507" s="3" t="s">
        <v>39</v>
      </c>
      <c r="V1507" s="3">
        <v>586.97</v>
      </c>
      <c r="W1507" s="3">
        <v>249.46</v>
      </c>
      <c r="X1507" s="3">
        <v>236.26</v>
      </c>
      <c r="Y1507" s="3">
        <v>101.25</v>
      </c>
    </row>
    <row r="1508" spans="1:25" ht="60.75" x14ac:dyDescent="0.25">
      <c r="A1508" s="3" t="s">
        <v>26</v>
      </c>
      <c r="B1508" s="3" t="s">
        <v>27</v>
      </c>
      <c r="C1508" s="3" t="s">
        <v>28</v>
      </c>
      <c r="D1508" s="3" t="s">
        <v>29</v>
      </c>
      <c r="E1508" s="3" t="s">
        <v>136</v>
      </c>
      <c r="F1508" s="3" t="s">
        <v>31</v>
      </c>
      <c r="G1508" s="3" t="s">
        <v>136</v>
      </c>
      <c r="H1508" s="3" t="s">
        <v>48</v>
      </c>
      <c r="I1508" s="3">
        <v>2025</v>
      </c>
      <c r="J1508" s="3" t="str">
        <f>CONCATENATE("54820076732")</f>
        <v>54820076732</v>
      </c>
      <c r="K1508" s="3" t="s">
        <v>33</v>
      </c>
      <c r="L1508" s="3"/>
      <c r="M1508" s="3" t="s">
        <v>131</v>
      </c>
      <c r="N1508" s="3" t="str">
        <f>CONCATENATE("FRIGCR56A20I461T")</f>
        <v>FRIGCR56A20I461T</v>
      </c>
      <c r="O1508" s="3" t="s">
        <v>1635</v>
      </c>
      <c r="P1508" s="3" t="s">
        <v>36</v>
      </c>
      <c r="Q1508" s="3"/>
      <c r="R1508" s="4">
        <v>45996</v>
      </c>
      <c r="S1508" s="3" t="s">
        <v>37</v>
      </c>
      <c r="T1508" s="3" t="s">
        <v>38</v>
      </c>
      <c r="U1508" s="3" t="s">
        <v>39</v>
      </c>
      <c r="V1508" s="3">
        <v>213.94</v>
      </c>
      <c r="W1508" s="3">
        <v>90.92</v>
      </c>
      <c r="X1508" s="3">
        <v>86.11</v>
      </c>
      <c r="Y1508" s="3">
        <v>36.909999999999997</v>
      </c>
    </row>
    <row r="1509" spans="1:25" ht="72.75" x14ac:dyDescent="0.25">
      <c r="A1509" s="3" t="s">
        <v>26</v>
      </c>
      <c r="B1509" s="3" t="s">
        <v>27</v>
      </c>
      <c r="C1509" s="3" t="s">
        <v>28</v>
      </c>
      <c r="D1509" s="3" t="s">
        <v>29</v>
      </c>
      <c r="E1509" s="3" t="s">
        <v>119</v>
      </c>
      <c r="F1509" s="3" t="s">
        <v>31</v>
      </c>
      <c r="G1509" s="3" t="s">
        <v>119</v>
      </c>
      <c r="H1509" s="3" t="s">
        <v>96</v>
      </c>
      <c r="I1509" s="3">
        <v>2025</v>
      </c>
      <c r="J1509" s="3" t="str">
        <f>CONCATENATE("54820029657")</f>
        <v>54820029657</v>
      </c>
      <c r="K1509" s="3" t="s">
        <v>33</v>
      </c>
      <c r="L1509" s="3"/>
      <c r="M1509" s="3" t="s">
        <v>131</v>
      </c>
      <c r="N1509" s="3" t="str">
        <f>CONCATENATE("PCTGPL60H30A462R")</f>
        <v>PCTGPL60H30A462R</v>
      </c>
      <c r="O1509" s="3" t="s">
        <v>1636</v>
      </c>
      <c r="P1509" s="3" t="s">
        <v>36</v>
      </c>
      <c r="Q1509" s="3"/>
      <c r="R1509" s="4">
        <v>45996</v>
      </c>
      <c r="S1509" s="3" t="s">
        <v>37</v>
      </c>
      <c r="T1509" s="3" t="s">
        <v>38</v>
      </c>
      <c r="U1509" s="3" t="s">
        <v>39</v>
      </c>
      <c r="V1509" s="3">
        <v>93.33</v>
      </c>
      <c r="W1509" s="3">
        <v>39.67</v>
      </c>
      <c r="X1509" s="3">
        <v>37.57</v>
      </c>
      <c r="Y1509" s="3">
        <v>16.09</v>
      </c>
    </row>
    <row r="1510" spans="1:25" ht="60.75" x14ac:dyDescent="0.25">
      <c r="A1510" s="3" t="s">
        <v>26</v>
      </c>
      <c r="B1510" s="3" t="s">
        <v>27</v>
      </c>
      <c r="C1510" s="3" t="s">
        <v>28</v>
      </c>
      <c r="D1510" s="3" t="s">
        <v>29</v>
      </c>
      <c r="E1510" s="3" t="s">
        <v>136</v>
      </c>
      <c r="F1510" s="3" t="s">
        <v>31</v>
      </c>
      <c r="G1510" s="3" t="s">
        <v>136</v>
      </c>
      <c r="H1510" s="3" t="s">
        <v>48</v>
      </c>
      <c r="I1510" s="3">
        <v>2025</v>
      </c>
      <c r="J1510" s="3" t="str">
        <f>CONCATENATE("54820112321")</f>
        <v>54820112321</v>
      </c>
      <c r="K1510" s="3" t="s">
        <v>33</v>
      </c>
      <c r="L1510" s="3"/>
      <c r="M1510" s="3" t="s">
        <v>131</v>
      </c>
      <c r="N1510" s="3" t="str">
        <f>CONCATENATE("BCNPPL53A46A366L")</f>
        <v>BCNPPL53A46A366L</v>
      </c>
      <c r="O1510" s="3" t="s">
        <v>1637</v>
      </c>
      <c r="P1510" s="3" t="s">
        <v>36</v>
      </c>
      <c r="Q1510" s="3"/>
      <c r="R1510" s="4">
        <v>45996</v>
      </c>
      <c r="S1510" s="3" t="s">
        <v>37</v>
      </c>
      <c r="T1510" s="3" t="s">
        <v>38</v>
      </c>
      <c r="U1510" s="3" t="s">
        <v>39</v>
      </c>
      <c r="V1510" s="3">
        <v>65.39</v>
      </c>
      <c r="W1510" s="3">
        <v>27.79</v>
      </c>
      <c r="X1510" s="3">
        <v>26.32</v>
      </c>
      <c r="Y1510" s="3">
        <v>11.28</v>
      </c>
    </row>
    <row r="1511" spans="1:25" ht="60.75" x14ac:dyDescent="0.25">
      <c r="A1511" s="3" t="s">
        <v>26</v>
      </c>
      <c r="B1511" s="3" t="s">
        <v>27</v>
      </c>
      <c r="C1511" s="3" t="s">
        <v>28</v>
      </c>
      <c r="D1511" s="3" t="s">
        <v>91</v>
      </c>
      <c r="E1511" s="3" t="s">
        <v>92</v>
      </c>
      <c r="F1511" s="3" t="s">
        <v>93</v>
      </c>
      <c r="G1511" s="3" t="s">
        <v>92</v>
      </c>
      <c r="H1511" s="3" t="s">
        <v>32</v>
      </c>
      <c r="I1511" s="3">
        <v>2025</v>
      </c>
      <c r="J1511" s="3" t="str">
        <f>CONCATENATE("54820134671")</f>
        <v>54820134671</v>
      </c>
      <c r="K1511" s="3" t="s">
        <v>33</v>
      </c>
      <c r="L1511" s="3"/>
      <c r="M1511" s="3" t="s">
        <v>131</v>
      </c>
      <c r="N1511" s="3" t="str">
        <f>CONCATENATE("PCCLSN93S13H211Z")</f>
        <v>PCCLSN93S13H211Z</v>
      </c>
      <c r="O1511" s="3" t="s">
        <v>1638</v>
      </c>
      <c r="P1511" s="3" t="s">
        <v>36</v>
      </c>
      <c r="Q1511" s="3"/>
      <c r="R1511" s="4">
        <v>45996</v>
      </c>
      <c r="S1511" s="3" t="s">
        <v>37</v>
      </c>
      <c r="T1511" s="3" t="s">
        <v>38</v>
      </c>
      <c r="U1511" s="3" t="s">
        <v>39</v>
      </c>
      <c r="V1511" s="5">
        <v>1687.5</v>
      </c>
      <c r="W1511" s="3">
        <v>717.19</v>
      </c>
      <c r="X1511" s="3">
        <v>679.22</v>
      </c>
      <c r="Y1511" s="3">
        <v>291.08999999999997</v>
      </c>
    </row>
    <row r="1512" spans="1:25" ht="60.75" x14ac:dyDescent="0.25">
      <c r="A1512" s="3" t="s">
        <v>26</v>
      </c>
      <c r="B1512" s="3" t="s">
        <v>27</v>
      </c>
      <c r="C1512" s="3" t="s">
        <v>28</v>
      </c>
      <c r="D1512" s="3" t="s">
        <v>50</v>
      </c>
      <c r="E1512" s="3" t="s">
        <v>60</v>
      </c>
      <c r="F1512" s="3" t="s">
        <v>52</v>
      </c>
      <c r="G1512" s="3" t="s">
        <v>60</v>
      </c>
      <c r="H1512" s="3" t="s">
        <v>45</v>
      </c>
      <c r="I1512" s="3">
        <v>2025</v>
      </c>
      <c r="J1512" s="3" t="str">
        <f>CONCATENATE("54820169594")</f>
        <v>54820169594</v>
      </c>
      <c r="K1512" s="3" t="s">
        <v>33</v>
      </c>
      <c r="L1512" s="3"/>
      <c r="M1512" s="3" t="s">
        <v>131</v>
      </c>
      <c r="N1512" s="3" t="str">
        <f>CONCATENATE("TRFCLS38S10D749M")</f>
        <v>TRFCLS38S10D749M</v>
      </c>
      <c r="O1512" s="3" t="s">
        <v>1639</v>
      </c>
      <c r="P1512" s="3" t="s">
        <v>36</v>
      </c>
      <c r="Q1512" s="3"/>
      <c r="R1512" s="4">
        <v>45996</v>
      </c>
      <c r="S1512" s="3" t="s">
        <v>37</v>
      </c>
      <c r="T1512" s="3" t="s">
        <v>38</v>
      </c>
      <c r="U1512" s="3" t="s">
        <v>39</v>
      </c>
      <c r="V1512" s="3">
        <v>233.92</v>
      </c>
      <c r="W1512" s="3">
        <v>99.42</v>
      </c>
      <c r="X1512" s="3">
        <v>94.15</v>
      </c>
      <c r="Y1512" s="3">
        <v>40.35</v>
      </c>
    </row>
    <row r="1513" spans="1:25" ht="60.75" x14ac:dyDescent="0.25">
      <c r="A1513" s="3" t="s">
        <v>26</v>
      </c>
      <c r="B1513" s="3" t="s">
        <v>27</v>
      </c>
      <c r="C1513" s="3" t="s">
        <v>28</v>
      </c>
      <c r="D1513" s="3" t="s">
        <v>29</v>
      </c>
      <c r="E1513" s="3" t="s">
        <v>47</v>
      </c>
      <c r="F1513" s="3" t="s">
        <v>31</v>
      </c>
      <c r="G1513" s="3" t="s">
        <v>47</v>
      </c>
      <c r="H1513" s="3" t="s">
        <v>48</v>
      </c>
      <c r="I1513" s="3">
        <v>2025</v>
      </c>
      <c r="J1513" s="3" t="str">
        <f>CONCATENATE("54820193966")</f>
        <v>54820193966</v>
      </c>
      <c r="K1513" s="3" t="s">
        <v>33</v>
      </c>
      <c r="L1513" s="3"/>
      <c r="M1513" s="3" t="s">
        <v>131</v>
      </c>
      <c r="N1513" s="3" t="str">
        <f>CONCATENATE("PRNFBN76E66E388T")</f>
        <v>PRNFBN76E66E388T</v>
      </c>
      <c r="O1513" s="3" t="s">
        <v>1640</v>
      </c>
      <c r="P1513" s="3" t="s">
        <v>36</v>
      </c>
      <c r="Q1513" s="3"/>
      <c r="R1513" s="4">
        <v>45996</v>
      </c>
      <c r="S1513" s="3" t="s">
        <v>37</v>
      </c>
      <c r="T1513" s="3" t="s">
        <v>38</v>
      </c>
      <c r="U1513" s="3" t="s">
        <v>39</v>
      </c>
      <c r="V1513" s="3">
        <v>107.98</v>
      </c>
      <c r="W1513" s="3">
        <v>45.89</v>
      </c>
      <c r="X1513" s="3">
        <v>43.46</v>
      </c>
      <c r="Y1513" s="3">
        <v>18.63</v>
      </c>
    </row>
    <row r="1514" spans="1:25" ht="72.75" x14ac:dyDescent="0.25">
      <c r="A1514" s="3" t="s">
        <v>26</v>
      </c>
      <c r="B1514" s="3" t="s">
        <v>27</v>
      </c>
      <c r="C1514" s="3" t="s">
        <v>28</v>
      </c>
      <c r="D1514" s="3" t="s">
        <v>29</v>
      </c>
      <c r="E1514" s="3" t="s">
        <v>136</v>
      </c>
      <c r="F1514" s="3" t="s">
        <v>31</v>
      </c>
      <c r="G1514" s="3" t="s">
        <v>136</v>
      </c>
      <c r="H1514" s="3" t="s">
        <v>48</v>
      </c>
      <c r="I1514" s="3">
        <v>2025</v>
      </c>
      <c r="J1514" s="3" t="str">
        <f>CONCATENATE("54820131867")</f>
        <v>54820131867</v>
      </c>
      <c r="K1514" s="3" t="s">
        <v>33</v>
      </c>
      <c r="L1514" s="3"/>
      <c r="M1514" s="3" t="s">
        <v>131</v>
      </c>
      <c r="N1514" s="3" t="str">
        <f>CONCATENATE("CHTMRN61R64C704W")</f>
        <v>CHTMRN61R64C704W</v>
      </c>
      <c r="O1514" s="3" t="s">
        <v>1641</v>
      </c>
      <c r="P1514" s="3" t="s">
        <v>36</v>
      </c>
      <c r="Q1514" s="3"/>
      <c r="R1514" s="4">
        <v>45996</v>
      </c>
      <c r="S1514" s="3" t="s">
        <v>37</v>
      </c>
      <c r="T1514" s="3" t="s">
        <v>38</v>
      </c>
      <c r="U1514" s="3" t="s">
        <v>39</v>
      </c>
      <c r="V1514" s="3">
        <v>102.94</v>
      </c>
      <c r="W1514" s="3">
        <v>43.75</v>
      </c>
      <c r="X1514" s="3">
        <v>41.43</v>
      </c>
      <c r="Y1514" s="3">
        <v>17.760000000000002</v>
      </c>
    </row>
    <row r="1515" spans="1:25" ht="72.75" x14ac:dyDescent="0.25">
      <c r="A1515" s="3" t="s">
        <v>26</v>
      </c>
      <c r="B1515" s="3" t="s">
        <v>27</v>
      </c>
      <c r="C1515" s="3" t="s">
        <v>28</v>
      </c>
      <c r="D1515" s="3" t="s">
        <v>91</v>
      </c>
      <c r="E1515" s="3" t="s">
        <v>522</v>
      </c>
      <c r="F1515" s="3" t="s">
        <v>93</v>
      </c>
      <c r="G1515" s="3" t="s">
        <v>522</v>
      </c>
      <c r="H1515" s="3" t="s">
        <v>32</v>
      </c>
      <c r="I1515" s="3">
        <v>2025</v>
      </c>
      <c r="J1515" s="3" t="str">
        <f>CONCATENATE("54820194105")</f>
        <v>54820194105</v>
      </c>
      <c r="K1515" s="3" t="s">
        <v>33</v>
      </c>
      <c r="L1515" s="3"/>
      <c r="M1515" s="3" t="s">
        <v>131</v>
      </c>
      <c r="N1515" s="3" t="str">
        <f>CONCATENATE("PFNGCM94A03B474G")</f>
        <v>PFNGCM94A03B474G</v>
      </c>
      <c r="O1515" s="3" t="s">
        <v>1642</v>
      </c>
      <c r="P1515" s="3" t="s">
        <v>36</v>
      </c>
      <c r="Q1515" s="3"/>
      <c r="R1515" s="4">
        <v>45996</v>
      </c>
      <c r="S1515" s="3" t="s">
        <v>37</v>
      </c>
      <c r="T1515" s="3" t="s">
        <v>38</v>
      </c>
      <c r="U1515" s="3" t="s">
        <v>39</v>
      </c>
      <c r="V1515" s="5">
        <v>1301.7</v>
      </c>
      <c r="W1515" s="3">
        <v>553.22</v>
      </c>
      <c r="X1515" s="3">
        <v>523.92999999999995</v>
      </c>
      <c r="Y1515" s="3">
        <v>224.55</v>
      </c>
    </row>
    <row r="1516" spans="1:25" ht="60.75" x14ac:dyDescent="0.25">
      <c r="A1516" s="3" t="s">
        <v>26</v>
      </c>
      <c r="B1516" s="3" t="s">
        <v>27</v>
      </c>
      <c r="C1516" s="3" t="s">
        <v>28</v>
      </c>
      <c r="D1516" s="3" t="s">
        <v>29</v>
      </c>
      <c r="E1516" s="3" t="s">
        <v>80</v>
      </c>
      <c r="F1516" s="3" t="s">
        <v>31</v>
      </c>
      <c r="G1516" s="3" t="s">
        <v>80</v>
      </c>
      <c r="H1516" s="3" t="s">
        <v>45</v>
      </c>
      <c r="I1516" s="3">
        <v>2025</v>
      </c>
      <c r="J1516" s="3" t="str">
        <f>CONCATENATE("54820067798")</f>
        <v>54820067798</v>
      </c>
      <c r="K1516" s="3" t="s">
        <v>33</v>
      </c>
      <c r="L1516" s="3"/>
      <c r="M1516" s="3" t="s">
        <v>131</v>
      </c>
      <c r="N1516" s="3" t="str">
        <f>CONCATENATE("MLRMRA37S12G453M")</f>
        <v>MLRMRA37S12G453M</v>
      </c>
      <c r="O1516" s="3" t="s">
        <v>1643</v>
      </c>
      <c r="P1516" s="3" t="s">
        <v>36</v>
      </c>
      <c r="Q1516" s="3"/>
      <c r="R1516" s="4">
        <v>45996</v>
      </c>
      <c r="S1516" s="3" t="s">
        <v>37</v>
      </c>
      <c r="T1516" s="3" t="s">
        <v>38</v>
      </c>
      <c r="U1516" s="3" t="s">
        <v>39</v>
      </c>
      <c r="V1516" s="3">
        <v>101.57</v>
      </c>
      <c r="W1516" s="3">
        <v>43.17</v>
      </c>
      <c r="X1516" s="3">
        <v>40.880000000000003</v>
      </c>
      <c r="Y1516" s="3">
        <v>17.52</v>
      </c>
    </row>
    <row r="1517" spans="1:25" ht="60.75" x14ac:dyDescent="0.25">
      <c r="A1517" s="3" t="s">
        <v>26</v>
      </c>
      <c r="B1517" s="3" t="s">
        <v>27</v>
      </c>
      <c r="C1517" s="3" t="s">
        <v>28</v>
      </c>
      <c r="D1517" s="3" t="s">
        <v>29</v>
      </c>
      <c r="E1517" s="3" t="s">
        <v>186</v>
      </c>
      <c r="F1517" s="3" t="s">
        <v>31</v>
      </c>
      <c r="G1517" s="3" t="s">
        <v>186</v>
      </c>
      <c r="H1517" s="3" t="s">
        <v>45</v>
      </c>
      <c r="I1517" s="3">
        <v>2025</v>
      </c>
      <c r="J1517" s="3" t="str">
        <f>CONCATENATE("54820069539")</f>
        <v>54820069539</v>
      </c>
      <c r="K1517" s="3" t="s">
        <v>33</v>
      </c>
      <c r="L1517" s="3"/>
      <c r="M1517" s="3" t="s">
        <v>131</v>
      </c>
      <c r="N1517" s="3" t="str">
        <f>CONCATENATE("NNNDNL82L16I459P")</f>
        <v>NNNDNL82L16I459P</v>
      </c>
      <c r="O1517" s="3" t="s">
        <v>1644</v>
      </c>
      <c r="P1517" s="3" t="s">
        <v>36</v>
      </c>
      <c r="Q1517" s="3"/>
      <c r="R1517" s="4">
        <v>45996</v>
      </c>
      <c r="S1517" s="3" t="s">
        <v>37</v>
      </c>
      <c r="T1517" s="3" t="s">
        <v>38</v>
      </c>
      <c r="U1517" s="3" t="s">
        <v>39</v>
      </c>
      <c r="V1517" s="3">
        <v>333.57</v>
      </c>
      <c r="W1517" s="3">
        <v>141.77000000000001</v>
      </c>
      <c r="X1517" s="3">
        <v>134.26</v>
      </c>
      <c r="Y1517" s="3">
        <v>57.54</v>
      </c>
    </row>
    <row r="1518" spans="1:25" ht="60.75" x14ac:dyDescent="0.25">
      <c r="A1518" s="3" t="s">
        <v>26</v>
      </c>
      <c r="B1518" s="3" t="s">
        <v>27</v>
      </c>
      <c r="C1518" s="3" t="s">
        <v>28</v>
      </c>
      <c r="D1518" s="3" t="s">
        <v>40</v>
      </c>
      <c r="E1518" s="3" t="s">
        <v>287</v>
      </c>
      <c r="F1518" s="3" t="s">
        <v>42</v>
      </c>
      <c r="G1518" s="3" t="s">
        <v>287</v>
      </c>
      <c r="H1518" s="3" t="s">
        <v>32</v>
      </c>
      <c r="I1518" s="3">
        <v>2025</v>
      </c>
      <c r="J1518" s="3" t="str">
        <f>CONCATENATE("54820015342")</f>
        <v>54820015342</v>
      </c>
      <c r="K1518" s="3" t="s">
        <v>33</v>
      </c>
      <c r="L1518" s="3"/>
      <c r="M1518" s="3" t="s">
        <v>131</v>
      </c>
      <c r="N1518" s="3" t="str">
        <f>CONCATENATE("CPRGRG59S27B474X")</f>
        <v>CPRGRG59S27B474X</v>
      </c>
      <c r="O1518" s="3" t="s">
        <v>1645</v>
      </c>
      <c r="P1518" s="3" t="s">
        <v>36</v>
      </c>
      <c r="Q1518" s="3"/>
      <c r="R1518" s="4">
        <v>45996</v>
      </c>
      <c r="S1518" s="3" t="s">
        <v>37</v>
      </c>
      <c r="T1518" s="3" t="s">
        <v>38</v>
      </c>
      <c r="U1518" s="3" t="s">
        <v>39</v>
      </c>
      <c r="V1518" s="3">
        <v>94.41</v>
      </c>
      <c r="W1518" s="3">
        <v>40.119999999999997</v>
      </c>
      <c r="X1518" s="3">
        <v>38</v>
      </c>
      <c r="Y1518" s="3">
        <v>16.29</v>
      </c>
    </row>
    <row r="1519" spans="1:25" ht="36.75" x14ac:dyDescent="0.25">
      <c r="A1519" s="3" t="s">
        <v>26</v>
      </c>
      <c r="B1519" s="3" t="s">
        <v>27</v>
      </c>
      <c r="C1519" s="3" t="s">
        <v>28</v>
      </c>
      <c r="D1519" s="3" t="s">
        <v>40</v>
      </c>
      <c r="E1519" s="3" t="s">
        <v>54</v>
      </c>
      <c r="F1519" s="3" t="s">
        <v>42</v>
      </c>
      <c r="G1519" s="3" t="s">
        <v>54</v>
      </c>
      <c r="H1519" s="3" t="s">
        <v>45</v>
      </c>
      <c r="I1519" s="3">
        <v>2025</v>
      </c>
      <c r="J1519" s="3" t="str">
        <f>CONCATENATE("54820021654")</f>
        <v>54820021654</v>
      </c>
      <c r="K1519" s="3" t="s">
        <v>33</v>
      </c>
      <c r="L1519" s="3"/>
      <c r="M1519" s="3" t="s">
        <v>131</v>
      </c>
      <c r="N1519" s="3" t="str">
        <f>CONCATENATE("01346270414")</f>
        <v>01346270414</v>
      </c>
      <c r="O1519" s="3" t="s">
        <v>1646</v>
      </c>
      <c r="P1519" s="3" t="s">
        <v>36</v>
      </c>
      <c r="Q1519" s="3"/>
      <c r="R1519" s="4">
        <v>45996</v>
      </c>
      <c r="S1519" s="3" t="s">
        <v>37</v>
      </c>
      <c r="T1519" s="3" t="s">
        <v>38</v>
      </c>
      <c r="U1519" s="3" t="s">
        <v>39</v>
      </c>
      <c r="V1519" s="3">
        <v>69.62</v>
      </c>
      <c r="W1519" s="3">
        <v>29.59</v>
      </c>
      <c r="X1519" s="3">
        <v>28.02</v>
      </c>
      <c r="Y1519" s="3">
        <v>12.01</v>
      </c>
    </row>
    <row r="1520" spans="1:25" ht="60.75" x14ac:dyDescent="0.25">
      <c r="A1520" s="3" t="s">
        <v>26</v>
      </c>
      <c r="B1520" s="3" t="s">
        <v>27</v>
      </c>
      <c r="C1520" s="3" t="s">
        <v>28</v>
      </c>
      <c r="D1520" s="3" t="s">
        <v>29</v>
      </c>
      <c r="E1520" s="3" t="s">
        <v>72</v>
      </c>
      <c r="F1520" s="3" t="s">
        <v>31</v>
      </c>
      <c r="G1520" s="3" t="s">
        <v>72</v>
      </c>
      <c r="H1520" s="3" t="s">
        <v>45</v>
      </c>
      <c r="I1520" s="3">
        <v>2025</v>
      </c>
      <c r="J1520" s="3" t="str">
        <f>CONCATENATE("54820009089")</f>
        <v>54820009089</v>
      </c>
      <c r="K1520" s="3" t="s">
        <v>33</v>
      </c>
      <c r="L1520" s="3"/>
      <c r="M1520" s="3" t="s">
        <v>131</v>
      </c>
      <c r="N1520" s="3" t="str">
        <f>CONCATENATE("GRLLRN52P65B352T")</f>
        <v>GRLLRN52P65B352T</v>
      </c>
      <c r="O1520" s="3" t="s">
        <v>1647</v>
      </c>
      <c r="P1520" s="3" t="s">
        <v>36</v>
      </c>
      <c r="Q1520" s="3"/>
      <c r="R1520" s="4">
        <v>45996</v>
      </c>
      <c r="S1520" s="3" t="s">
        <v>37</v>
      </c>
      <c r="T1520" s="3" t="s">
        <v>38</v>
      </c>
      <c r="U1520" s="3" t="s">
        <v>39</v>
      </c>
      <c r="V1520" s="3">
        <v>95.97</v>
      </c>
      <c r="W1520" s="3">
        <v>40.79</v>
      </c>
      <c r="X1520" s="3">
        <v>38.630000000000003</v>
      </c>
      <c r="Y1520" s="3">
        <v>16.55</v>
      </c>
    </row>
    <row r="1521" spans="1:25" ht="60.75" x14ac:dyDescent="0.25">
      <c r="A1521" s="3" t="s">
        <v>26</v>
      </c>
      <c r="B1521" s="3" t="s">
        <v>27</v>
      </c>
      <c r="C1521" s="3" t="s">
        <v>28</v>
      </c>
      <c r="D1521" s="3" t="s">
        <v>29</v>
      </c>
      <c r="E1521" s="3" t="s">
        <v>186</v>
      </c>
      <c r="F1521" s="3" t="s">
        <v>31</v>
      </c>
      <c r="G1521" s="3" t="s">
        <v>186</v>
      </c>
      <c r="H1521" s="3" t="s">
        <v>45</v>
      </c>
      <c r="I1521" s="3">
        <v>2025</v>
      </c>
      <c r="J1521" s="3" t="str">
        <f>CONCATENATE("54820026331")</f>
        <v>54820026331</v>
      </c>
      <c r="K1521" s="3" t="s">
        <v>33</v>
      </c>
      <c r="L1521" s="3"/>
      <c r="M1521" s="3" t="s">
        <v>131</v>
      </c>
      <c r="N1521" s="3" t="str">
        <f>CONCATENATE("MTAGCR61P02G627A")</f>
        <v>MTAGCR61P02G627A</v>
      </c>
      <c r="O1521" s="3" t="s">
        <v>1648</v>
      </c>
      <c r="P1521" s="3" t="s">
        <v>36</v>
      </c>
      <c r="Q1521" s="3"/>
      <c r="R1521" s="4">
        <v>45996</v>
      </c>
      <c r="S1521" s="3" t="s">
        <v>37</v>
      </c>
      <c r="T1521" s="3" t="s">
        <v>38</v>
      </c>
      <c r="U1521" s="3" t="s">
        <v>39</v>
      </c>
      <c r="V1521" s="3">
        <v>165.29</v>
      </c>
      <c r="W1521" s="3">
        <v>70.25</v>
      </c>
      <c r="X1521" s="3">
        <v>66.53</v>
      </c>
      <c r="Y1521" s="3">
        <v>28.51</v>
      </c>
    </row>
    <row r="1522" spans="1:25" ht="60.75" x14ac:dyDescent="0.25">
      <c r="A1522" s="3" t="s">
        <v>26</v>
      </c>
      <c r="B1522" s="3" t="s">
        <v>27</v>
      </c>
      <c r="C1522" s="3" t="s">
        <v>28</v>
      </c>
      <c r="D1522" s="3" t="s">
        <v>104</v>
      </c>
      <c r="E1522" s="3" t="s">
        <v>268</v>
      </c>
      <c r="F1522" s="3" t="s">
        <v>104</v>
      </c>
      <c r="G1522" s="3" t="s">
        <v>268</v>
      </c>
      <c r="H1522" s="3" t="s">
        <v>32</v>
      </c>
      <c r="I1522" s="3">
        <v>2025</v>
      </c>
      <c r="J1522" s="3" t="str">
        <f>CONCATENATE("54820013511")</f>
        <v>54820013511</v>
      </c>
      <c r="K1522" s="3" t="s">
        <v>33</v>
      </c>
      <c r="L1522" s="3"/>
      <c r="M1522" s="3" t="s">
        <v>131</v>
      </c>
      <c r="N1522" s="3" t="str">
        <f>CONCATENATE("LBNLFR54P22M078C")</f>
        <v>LBNLFR54P22M078C</v>
      </c>
      <c r="O1522" s="3" t="s">
        <v>1649</v>
      </c>
      <c r="P1522" s="3" t="s">
        <v>36</v>
      </c>
      <c r="Q1522" s="3"/>
      <c r="R1522" s="4">
        <v>45996</v>
      </c>
      <c r="S1522" s="3" t="s">
        <v>37</v>
      </c>
      <c r="T1522" s="3" t="s">
        <v>38</v>
      </c>
      <c r="U1522" s="3" t="s">
        <v>39</v>
      </c>
      <c r="V1522" s="3">
        <v>667.22</v>
      </c>
      <c r="W1522" s="3">
        <v>283.57</v>
      </c>
      <c r="X1522" s="3">
        <v>268.56</v>
      </c>
      <c r="Y1522" s="3">
        <v>115.09</v>
      </c>
    </row>
    <row r="1523" spans="1:25" ht="60.75" x14ac:dyDescent="0.25">
      <c r="A1523" s="3" t="s">
        <v>26</v>
      </c>
      <c r="B1523" s="3" t="s">
        <v>27</v>
      </c>
      <c r="C1523" s="3" t="s">
        <v>28</v>
      </c>
      <c r="D1523" s="3" t="s">
        <v>29</v>
      </c>
      <c r="E1523" s="3" t="s">
        <v>47</v>
      </c>
      <c r="F1523" s="3" t="s">
        <v>31</v>
      </c>
      <c r="G1523" s="3" t="s">
        <v>47</v>
      </c>
      <c r="H1523" s="3" t="s">
        <v>48</v>
      </c>
      <c r="I1523" s="3">
        <v>2025</v>
      </c>
      <c r="J1523" s="3" t="str">
        <f>CONCATENATE("54820038377")</f>
        <v>54820038377</v>
      </c>
      <c r="K1523" s="3" t="s">
        <v>33</v>
      </c>
      <c r="L1523" s="3"/>
      <c r="M1523" s="3" t="s">
        <v>131</v>
      </c>
      <c r="N1523" s="3" t="str">
        <f>CONCATENATE("TVLCLD59P13D451U")</f>
        <v>TVLCLD59P13D451U</v>
      </c>
      <c r="O1523" s="3" t="s">
        <v>1650</v>
      </c>
      <c r="P1523" s="3" t="s">
        <v>36</v>
      </c>
      <c r="Q1523" s="3"/>
      <c r="R1523" s="4">
        <v>45996</v>
      </c>
      <c r="S1523" s="3" t="s">
        <v>37</v>
      </c>
      <c r="T1523" s="3" t="s">
        <v>38</v>
      </c>
      <c r="U1523" s="3" t="s">
        <v>39</v>
      </c>
      <c r="V1523" s="3">
        <v>254.36</v>
      </c>
      <c r="W1523" s="3">
        <v>108.1</v>
      </c>
      <c r="X1523" s="3">
        <v>102.38</v>
      </c>
      <c r="Y1523" s="3">
        <v>43.88</v>
      </c>
    </row>
    <row r="1524" spans="1:25" ht="60.75" x14ac:dyDescent="0.25">
      <c r="A1524" s="3" t="s">
        <v>26</v>
      </c>
      <c r="B1524" s="3" t="s">
        <v>27</v>
      </c>
      <c r="C1524" s="3" t="s">
        <v>28</v>
      </c>
      <c r="D1524" s="3" t="s">
        <v>50</v>
      </c>
      <c r="E1524" s="3" t="s">
        <v>60</v>
      </c>
      <c r="F1524" s="3" t="s">
        <v>52</v>
      </c>
      <c r="G1524" s="3" t="s">
        <v>60</v>
      </c>
      <c r="H1524" s="3" t="s">
        <v>45</v>
      </c>
      <c r="I1524" s="3">
        <v>2025</v>
      </c>
      <c r="J1524" s="3" t="str">
        <f>CONCATENATE("54820162318")</f>
        <v>54820162318</v>
      </c>
      <c r="K1524" s="3" t="s">
        <v>33</v>
      </c>
      <c r="L1524" s="3"/>
      <c r="M1524" s="3" t="s">
        <v>131</v>
      </c>
      <c r="N1524" s="3" t="str">
        <f>CONCATENATE("PNTRNI64T04I654Y")</f>
        <v>PNTRNI64T04I654Y</v>
      </c>
      <c r="O1524" s="3" t="s">
        <v>1651</v>
      </c>
      <c r="P1524" s="3" t="s">
        <v>36</v>
      </c>
      <c r="Q1524" s="3"/>
      <c r="R1524" s="4">
        <v>45996</v>
      </c>
      <c r="S1524" s="3" t="s">
        <v>37</v>
      </c>
      <c r="T1524" s="3" t="s">
        <v>38</v>
      </c>
      <c r="U1524" s="3" t="s">
        <v>39</v>
      </c>
      <c r="V1524" s="3">
        <v>187.22</v>
      </c>
      <c r="W1524" s="3">
        <v>79.569999999999993</v>
      </c>
      <c r="X1524" s="3">
        <v>75.36</v>
      </c>
      <c r="Y1524" s="3">
        <v>32.29</v>
      </c>
    </row>
    <row r="1525" spans="1:25" ht="72.75" x14ac:dyDescent="0.25">
      <c r="A1525" s="3" t="s">
        <v>26</v>
      </c>
      <c r="B1525" s="3" t="s">
        <v>27</v>
      </c>
      <c r="C1525" s="3" t="s">
        <v>28</v>
      </c>
      <c r="D1525" s="3" t="s">
        <v>29</v>
      </c>
      <c r="E1525" s="3" t="s">
        <v>119</v>
      </c>
      <c r="F1525" s="3" t="s">
        <v>31</v>
      </c>
      <c r="G1525" s="3" t="s">
        <v>119</v>
      </c>
      <c r="H1525" s="3" t="s">
        <v>96</v>
      </c>
      <c r="I1525" s="3">
        <v>2025</v>
      </c>
      <c r="J1525" s="3" t="str">
        <f>CONCATENATE("54820019104")</f>
        <v>54820019104</v>
      </c>
      <c r="K1525" s="3" t="s">
        <v>33</v>
      </c>
      <c r="L1525" s="3"/>
      <c r="M1525" s="3" t="s">
        <v>131</v>
      </c>
      <c r="N1525" s="3" t="str">
        <f>CONCATENATE("PPLMRC96M19A252W")</f>
        <v>PPLMRC96M19A252W</v>
      </c>
      <c r="O1525" s="3" t="s">
        <v>1652</v>
      </c>
      <c r="P1525" s="3" t="s">
        <v>36</v>
      </c>
      <c r="Q1525" s="3"/>
      <c r="R1525" s="4">
        <v>45996</v>
      </c>
      <c r="S1525" s="3" t="s">
        <v>37</v>
      </c>
      <c r="T1525" s="3" t="s">
        <v>38</v>
      </c>
      <c r="U1525" s="3" t="s">
        <v>39</v>
      </c>
      <c r="V1525" s="3">
        <v>169.98</v>
      </c>
      <c r="W1525" s="3">
        <v>72.239999999999995</v>
      </c>
      <c r="X1525" s="3">
        <v>68.42</v>
      </c>
      <c r="Y1525" s="3">
        <v>29.32</v>
      </c>
    </row>
    <row r="1526" spans="1:25" ht="72.75" x14ac:dyDescent="0.25">
      <c r="A1526" s="3" t="s">
        <v>26</v>
      </c>
      <c r="B1526" s="3" t="s">
        <v>27</v>
      </c>
      <c r="C1526" s="3" t="s">
        <v>28</v>
      </c>
      <c r="D1526" s="3" t="s">
        <v>50</v>
      </c>
      <c r="E1526" s="3" t="s">
        <v>173</v>
      </c>
      <c r="F1526" s="3" t="s">
        <v>52</v>
      </c>
      <c r="G1526" s="3" t="s">
        <v>173</v>
      </c>
      <c r="H1526" s="3" t="s">
        <v>45</v>
      </c>
      <c r="I1526" s="3">
        <v>2025</v>
      </c>
      <c r="J1526" s="3" t="str">
        <f>CONCATENATE("54820036280")</f>
        <v>54820036280</v>
      </c>
      <c r="K1526" s="3" t="s">
        <v>33</v>
      </c>
      <c r="L1526" s="3"/>
      <c r="M1526" s="3" t="s">
        <v>131</v>
      </c>
      <c r="N1526" s="3" t="str">
        <f>CONCATENATE("PRNBRN52A27G627H")</f>
        <v>PRNBRN52A27G627H</v>
      </c>
      <c r="O1526" s="3" t="s">
        <v>1653</v>
      </c>
      <c r="P1526" s="3" t="s">
        <v>36</v>
      </c>
      <c r="Q1526" s="3"/>
      <c r="R1526" s="4">
        <v>45996</v>
      </c>
      <c r="S1526" s="3" t="s">
        <v>37</v>
      </c>
      <c r="T1526" s="3" t="s">
        <v>38</v>
      </c>
      <c r="U1526" s="3" t="s">
        <v>39</v>
      </c>
      <c r="V1526" s="3">
        <v>205.74</v>
      </c>
      <c r="W1526" s="3">
        <v>87.44</v>
      </c>
      <c r="X1526" s="3">
        <v>82.81</v>
      </c>
      <c r="Y1526" s="3">
        <v>35.49</v>
      </c>
    </row>
    <row r="1527" spans="1:25" ht="60.75" x14ac:dyDescent="0.25">
      <c r="A1527" s="3" t="s">
        <v>26</v>
      </c>
      <c r="B1527" s="3" t="s">
        <v>27</v>
      </c>
      <c r="C1527" s="3" t="s">
        <v>28</v>
      </c>
      <c r="D1527" s="3" t="s">
        <v>29</v>
      </c>
      <c r="E1527" s="3" t="s">
        <v>119</v>
      </c>
      <c r="F1527" s="3" t="s">
        <v>31</v>
      </c>
      <c r="G1527" s="3" t="s">
        <v>119</v>
      </c>
      <c r="H1527" s="3" t="s">
        <v>96</v>
      </c>
      <c r="I1527" s="3">
        <v>2025</v>
      </c>
      <c r="J1527" s="3" t="str">
        <f>CONCATENATE("54820012463")</f>
        <v>54820012463</v>
      </c>
      <c r="K1527" s="3" t="s">
        <v>33</v>
      </c>
      <c r="L1527" s="3"/>
      <c r="M1527" s="3" t="s">
        <v>131</v>
      </c>
      <c r="N1527" s="3" t="str">
        <f>CONCATENATE("TDRTZN58E31A252Y")</f>
        <v>TDRTZN58E31A252Y</v>
      </c>
      <c r="O1527" s="3" t="s">
        <v>1654</v>
      </c>
      <c r="P1527" s="3" t="s">
        <v>36</v>
      </c>
      <c r="Q1527" s="3"/>
      <c r="R1527" s="4">
        <v>45996</v>
      </c>
      <c r="S1527" s="3" t="s">
        <v>37</v>
      </c>
      <c r="T1527" s="3" t="s">
        <v>38</v>
      </c>
      <c r="U1527" s="3" t="s">
        <v>39</v>
      </c>
      <c r="V1527" s="3">
        <v>53.99</v>
      </c>
      <c r="W1527" s="3">
        <v>22.95</v>
      </c>
      <c r="X1527" s="3">
        <v>21.73</v>
      </c>
      <c r="Y1527" s="3">
        <v>9.31</v>
      </c>
    </row>
    <row r="1528" spans="1:25" ht="60.75" x14ac:dyDescent="0.25">
      <c r="A1528" s="3" t="s">
        <v>26</v>
      </c>
      <c r="B1528" s="3" t="s">
        <v>27</v>
      </c>
      <c r="C1528" s="3" t="s">
        <v>28</v>
      </c>
      <c r="D1528" s="3" t="s">
        <v>29</v>
      </c>
      <c r="E1528" s="3" t="s">
        <v>186</v>
      </c>
      <c r="F1528" s="3" t="s">
        <v>31</v>
      </c>
      <c r="G1528" s="3" t="s">
        <v>186</v>
      </c>
      <c r="H1528" s="3" t="s">
        <v>45</v>
      </c>
      <c r="I1528" s="3">
        <v>2025</v>
      </c>
      <c r="J1528" s="3" t="str">
        <f>CONCATENATE("54820027248")</f>
        <v>54820027248</v>
      </c>
      <c r="K1528" s="3" t="s">
        <v>33</v>
      </c>
      <c r="L1528" s="3"/>
      <c r="M1528" s="3" t="s">
        <v>131</v>
      </c>
      <c r="N1528" s="3" t="str">
        <f>CONCATENATE("CRBLRT67T21E785K")</f>
        <v>CRBLRT67T21E785K</v>
      </c>
      <c r="O1528" s="3" t="s">
        <v>1655</v>
      </c>
      <c r="P1528" s="3" t="s">
        <v>36</v>
      </c>
      <c r="Q1528" s="3"/>
      <c r="R1528" s="4">
        <v>45996</v>
      </c>
      <c r="S1528" s="3" t="s">
        <v>37</v>
      </c>
      <c r="T1528" s="3" t="s">
        <v>38</v>
      </c>
      <c r="U1528" s="3" t="s">
        <v>39</v>
      </c>
      <c r="V1528" s="3">
        <v>298.89</v>
      </c>
      <c r="W1528" s="3">
        <v>127.03</v>
      </c>
      <c r="X1528" s="3">
        <v>120.3</v>
      </c>
      <c r="Y1528" s="3">
        <v>51.56</v>
      </c>
    </row>
    <row r="1529" spans="1:25" ht="60.75" x14ac:dyDescent="0.25">
      <c r="A1529" s="3" t="s">
        <v>26</v>
      </c>
      <c r="B1529" s="3" t="s">
        <v>27</v>
      </c>
      <c r="C1529" s="3" t="s">
        <v>28</v>
      </c>
      <c r="D1529" s="3" t="s">
        <v>50</v>
      </c>
      <c r="E1529" s="3" t="s">
        <v>173</v>
      </c>
      <c r="F1529" s="3" t="s">
        <v>52</v>
      </c>
      <c r="G1529" s="3" t="s">
        <v>173</v>
      </c>
      <c r="H1529" s="3" t="s">
        <v>45</v>
      </c>
      <c r="I1529" s="3">
        <v>2025</v>
      </c>
      <c r="J1529" s="3" t="str">
        <f>CONCATENATE("54820066428")</f>
        <v>54820066428</v>
      </c>
      <c r="K1529" s="3" t="s">
        <v>33</v>
      </c>
      <c r="L1529" s="3"/>
      <c r="M1529" s="3" t="s">
        <v>131</v>
      </c>
      <c r="N1529" s="3" t="str">
        <f>CONCATENATE("SNTMRA53D19I681F")</f>
        <v>SNTMRA53D19I681F</v>
      </c>
      <c r="O1529" s="3" t="s">
        <v>1656</v>
      </c>
      <c r="P1529" s="3" t="s">
        <v>36</v>
      </c>
      <c r="Q1529" s="3"/>
      <c r="R1529" s="4">
        <v>45996</v>
      </c>
      <c r="S1529" s="3" t="s">
        <v>37</v>
      </c>
      <c r="T1529" s="3" t="s">
        <v>38</v>
      </c>
      <c r="U1529" s="3" t="s">
        <v>39</v>
      </c>
      <c r="V1529" s="3">
        <v>136.69999999999999</v>
      </c>
      <c r="W1529" s="3">
        <v>58.1</v>
      </c>
      <c r="X1529" s="3">
        <v>55.02</v>
      </c>
      <c r="Y1529" s="3">
        <v>23.58</v>
      </c>
    </row>
    <row r="1530" spans="1:25" ht="60.75" x14ac:dyDescent="0.25">
      <c r="A1530" s="3" t="s">
        <v>26</v>
      </c>
      <c r="B1530" s="3" t="s">
        <v>27</v>
      </c>
      <c r="C1530" s="3" t="s">
        <v>28</v>
      </c>
      <c r="D1530" s="3" t="s">
        <v>29</v>
      </c>
      <c r="E1530" s="3" t="s">
        <v>186</v>
      </c>
      <c r="F1530" s="3" t="s">
        <v>31</v>
      </c>
      <c r="G1530" s="3" t="s">
        <v>186</v>
      </c>
      <c r="H1530" s="3" t="s">
        <v>45</v>
      </c>
      <c r="I1530" s="3">
        <v>2025</v>
      </c>
      <c r="J1530" s="3" t="str">
        <f>CONCATENATE("54820026497")</f>
        <v>54820026497</v>
      </c>
      <c r="K1530" s="3" t="s">
        <v>33</v>
      </c>
      <c r="L1530" s="3"/>
      <c r="M1530" s="3" t="s">
        <v>131</v>
      </c>
      <c r="N1530" s="3" t="str">
        <f>CONCATENATE("BLDDVD91L29I459W")</f>
        <v>BLDDVD91L29I459W</v>
      </c>
      <c r="O1530" s="3" t="s">
        <v>1657</v>
      </c>
      <c r="P1530" s="3" t="s">
        <v>36</v>
      </c>
      <c r="Q1530" s="3"/>
      <c r="R1530" s="4">
        <v>45996</v>
      </c>
      <c r="S1530" s="3" t="s">
        <v>37</v>
      </c>
      <c r="T1530" s="3" t="s">
        <v>38</v>
      </c>
      <c r="U1530" s="3" t="s">
        <v>39</v>
      </c>
      <c r="V1530" s="3">
        <v>761.44</v>
      </c>
      <c r="W1530" s="3">
        <v>323.61</v>
      </c>
      <c r="X1530" s="3">
        <v>306.48</v>
      </c>
      <c r="Y1530" s="3">
        <v>131.35</v>
      </c>
    </row>
    <row r="1531" spans="1:25" ht="60.75" x14ac:dyDescent="0.25">
      <c r="A1531" s="3" t="s">
        <v>26</v>
      </c>
      <c r="B1531" s="3" t="s">
        <v>27</v>
      </c>
      <c r="C1531" s="3" t="s">
        <v>28</v>
      </c>
      <c r="D1531" s="3" t="s">
        <v>29</v>
      </c>
      <c r="E1531" s="3" t="s">
        <v>182</v>
      </c>
      <c r="F1531" s="3" t="s">
        <v>31</v>
      </c>
      <c r="G1531" s="3" t="s">
        <v>182</v>
      </c>
      <c r="H1531" s="3" t="s">
        <v>45</v>
      </c>
      <c r="I1531" s="3">
        <v>2025</v>
      </c>
      <c r="J1531" s="3" t="str">
        <f>CONCATENATE("54820047170")</f>
        <v>54820047170</v>
      </c>
      <c r="K1531" s="3" t="s">
        <v>33</v>
      </c>
      <c r="L1531" s="3"/>
      <c r="M1531" s="3" t="s">
        <v>131</v>
      </c>
      <c r="N1531" s="3" t="str">
        <f>CONCATENATE("BLDTMS99M11L500R")</f>
        <v>BLDTMS99M11L500R</v>
      </c>
      <c r="O1531" s="3" t="s">
        <v>1658</v>
      </c>
      <c r="P1531" s="3" t="s">
        <v>36</v>
      </c>
      <c r="Q1531" s="3"/>
      <c r="R1531" s="4">
        <v>45996</v>
      </c>
      <c r="S1531" s="3" t="s">
        <v>37</v>
      </c>
      <c r="T1531" s="3" t="s">
        <v>38</v>
      </c>
      <c r="U1531" s="3" t="s">
        <v>39</v>
      </c>
      <c r="V1531" s="3">
        <v>132.18</v>
      </c>
      <c r="W1531" s="3">
        <v>56.18</v>
      </c>
      <c r="X1531" s="3">
        <v>53.2</v>
      </c>
      <c r="Y1531" s="3">
        <v>22.8</v>
      </c>
    </row>
    <row r="1532" spans="1:25" ht="60.75" x14ac:dyDescent="0.25">
      <c r="A1532" s="3" t="s">
        <v>26</v>
      </c>
      <c r="B1532" s="3" t="s">
        <v>27</v>
      </c>
      <c r="C1532" s="3" t="s">
        <v>28</v>
      </c>
      <c r="D1532" s="3" t="s">
        <v>29</v>
      </c>
      <c r="E1532" s="3" t="s">
        <v>47</v>
      </c>
      <c r="F1532" s="3" t="s">
        <v>31</v>
      </c>
      <c r="G1532" s="3" t="s">
        <v>47</v>
      </c>
      <c r="H1532" s="3" t="s">
        <v>48</v>
      </c>
      <c r="I1532" s="3">
        <v>2025</v>
      </c>
      <c r="J1532" s="3" t="str">
        <f>CONCATENATE("54820085337")</f>
        <v>54820085337</v>
      </c>
      <c r="K1532" s="3" t="s">
        <v>33</v>
      </c>
      <c r="L1532" s="3"/>
      <c r="M1532" s="3" t="s">
        <v>131</v>
      </c>
      <c r="N1532" s="3" t="str">
        <f>CONCATENATE("MRNGLL68S53D451K")</f>
        <v>MRNGLL68S53D451K</v>
      </c>
      <c r="O1532" s="3" t="s">
        <v>1659</v>
      </c>
      <c r="P1532" s="3" t="s">
        <v>36</v>
      </c>
      <c r="Q1532" s="3"/>
      <c r="R1532" s="4">
        <v>45996</v>
      </c>
      <c r="S1532" s="3" t="s">
        <v>37</v>
      </c>
      <c r="T1532" s="3" t="s">
        <v>38</v>
      </c>
      <c r="U1532" s="3" t="s">
        <v>39</v>
      </c>
      <c r="V1532" s="3">
        <v>476.13</v>
      </c>
      <c r="W1532" s="3">
        <v>202.36</v>
      </c>
      <c r="X1532" s="3">
        <v>191.64</v>
      </c>
      <c r="Y1532" s="3">
        <v>82.13</v>
      </c>
    </row>
    <row r="1533" spans="1:25" ht="60.75" x14ac:dyDescent="0.25">
      <c r="A1533" s="3" t="s">
        <v>26</v>
      </c>
      <c r="B1533" s="3" t="s">
        <v>27</v>
      </c>
      <c r="C1533" s="3" t="s">
        <v>28</v>
      </c>
      <c r="D1533" s="3" t="s">
        <v>29</v>
      </c>
      <c r="E1533" s="3" t="s">
        <v>56</v>
      </c>
      <c r="F1533" s="3" t="s">
        <v>31</v>
      </c>
      <c r="G1533" s="3" t="s">
        <v>56</v>
      </c>
      <c r="H1533" s="3" t="s">
        <v>32</v>
      </c>
      <c r="I1533" s="3">
        <v>2025</v>
      </c>
      <c r="J1533" s="3" t="str">
        <f>CONCATENATE("54820110846")</f>
        <v>54820110846</v>
      </c>
      <c r="K1533" s="3" t="s">
        <v>33</v>
      </c>
      <c r="L1533" s="3"/>
      <c r="M1533" s="3" t="s">
        <v>131</v>
      </c>
      <c r="N1533" s="3" t="str">
        <f>CONCATENATE("BNEFST46E18D628L")</f>
        <v>BNEFST46E18D628L</v>
      </c>
      <c r="O1533" s="3" t="s">
        <v>1660</v>
      </c>
      <c r="P1533" s="3" t="s">
        <v>36</v>
      </c>
      <c r="Q1533" s="3"/>
      <c r="R1533" s="4">
        <v>45996</v>
      </c>
      <c r="S1533" s="3" t="s">
        <v>37</v>
      </c>
      <c r="T1533" s="3" t="s">
        <v>38</v>
      </c>
      <c r="U1533" s="3" t="s">
        <v>39</v>
      </c>
      <c r="V1533" s="3">
        <v>101.26</v>
      </c>
      <c r="W1533" s="3">
        <v>43.04</v>
      </c>
      <c r="X1533" s="3">
        <v>40.76</v>
      </c>
      <c r="Y1533" s="3">
        <v>17.46</v>
      </c>
    </row>
    <row r="1534" spans="1:25" ht="60.75" x14ac:dyDescent="0.25">
      <c r="A1534" s="3" t="s">
        <v>26</v>
      </c>
      <c r="B1534" s="3" t="s">
        <v>27</v>
      </c>
      <c r="C1534" s="3" t="s">
        <v>28</v>
      </c>
      <c r="D1534" s="3" t="s">
        <v>50</v>
      </c>
      <c r="E1534" s="3" t="s">
        <v>173</v>
      </c>
      <c r="F1534" s="3" t="s">
        <v>52</v>
      </c>
      <c r="G1534" s="3" t="s">
        <v>173</v>
      </c>
      <c r="H1534" s="3" t="s">
        <v>45</v>
      </c>
      <c r="I1534" s="3">
        <v>2025</v>
      </c>
      <c r="J1534" s="3" t="str">
        <f>CONCATENATE("54820076856")</f>
        <v>54820076856</v>
      </c>
      <c r="K1534" s="3" t="s">
        <v>33</v>
      </c>
      <c r="L1534" s="3"/>
      <c r="M1534" s="3" t="s">
        <v>131</v>
      </c>
      <c r="N1534" s="3" t="str">
        <f>CONCATENATE("TPOGLI03M52L500L")</f>
        <v>TPOGLI03M52L500L</v>
      </c>
      <c r="O1534" s="3" t="s">
        <v>1661</v>
      </c>
      <c r="P1534" s="3" t="s">
        <v>36</v>
      </c>
      <c r="Q1534" s="3"/>
      <c r="R1534" s="4">
        <v>45996</v>
      </c>
      <c r="S1534" s="3" t="s">
        <v>37</v>
      </c>
      <c r="T1534" s="3" t="s">
        <v>38</v>
      </c>
      <c r="U1534" s="3" t="s">
        <v>39</v>
      </c>
      <c r="V1534" s="3">
        <v>86.77</v>
      </c>
      <c r="W1534" s="3">
        <v>36.880000000000003</v>
      </c>
      <c r="X1534" s="3">
        <v>34.92</v>
      </c>
      <c r="Y1534" s="3">
        <v>14.97</v>
      </c>
    </row>
    <row r="1535" spans="1:25" ht="60.75" x14ac:dyDescent="0.25">
      <c r="A1535" s="3" t="s">
        <v>26</v>
      </c>
      <c r="B1535" s="3" t="s">
        <v>27</v>
      </c>
      <c r="C1535" s="3" t="s">
        <v>28</v>
      </c>
      <c r="D1535" s="3" t="s">
        <v>29</v>
      </c>
      <c r="E1535" s="3" t="s">
        <v>47</v>
      </c>
      <c r="F1535" s="3" t="s">
        <v>31</v>
      </c>
      <c r="G1535" s="3" t="s">
        <v>47</v>
      </c>
      <c r="H1535" s="3" t="s">
        <v>48</v>
      </c>
      <c r="I1535" s="3">
        <v>2025</v>
      </c>
      <c r="J1535" s="3" t="str">
        <f>CONCATENATE("54820048798")</f>
        <v>54820048798</v>
      </c>
      <c r="K1535" s="3" t="s">
        <v>33</v>
      </c>
      <c r="L1535" s="3"/>
      <c r="M1535" s="3" t="s">
        <v>131</v>
      </c>
      <c r="N1535" s="3" t="str">
        <f>CONCATENATE("GNTRNZ55T08D451Q")</f>
        <v>GNTRNZ55T08D451Q</v>
      </c>
      <c r="O1535" s="3" t="s">
        <v>1662</v>
      </c>
      <c r="P1535" s="3" t="s">
        <v>36</v>
      </c>
      <c r="Q1535" s="3"/>
      <c r="R1535" s="4">
        <v>45996</v>
      </c>
      <c r="S1535" s="3" t="s">
        <v>37</v>
      </c>
      <c r="T1535" s="3" t="s">
        <v>38</v>
      </c>
      <c r="U1535" s="3" t="s">
        <v>39</v>
      </c>
      <c r="V1535" s="3">
        <v>93.64</v>
      </c>
      <c r="W1535" s="3">
        <v>39.799999999999997</v>
      </c>
      <c r="X1535" s="3">
        <v>37.69</v>
      </c>
      <c r="Y1535" s="3">
        <v>16.149999999999999</v>
      </c>
    </row>
    <row r="1536" spans="1:25" ht="36.75" x14ac:dyDescent="0.25">
      <c r="A1536" s="3" t="s">
        <v>26</v>
      </c>
      <c r="B1536" s="3" t="s">
        <v>27</v>
      </c>
      <c r="C1536" s="3" t="s">
        <v>28</v>
      </c>
      <c r="D1536" s="3" t="s">
        <v>91</v>
      </c>
      <c r="E1536" s="3" t="s">
        <v>522</v>
      </c>
      <c r="F1536" s="3" t="s">
        <v>93</v>
      </c>
      <c r="G1536" s="3" t="s">
        <v>522</v>
      </c>
      <c r="H1536" s="3" t="s">
        <v>32</v>
      </c>
      <c r="I1536" s="3">
        <v>2025</v>
      </c>
      <c r="J1536" s="3" t="str">
        <f>CONCATENATE("54820068176")</f>
        <v>54820068176</v>
      </c>
      <c r="K1536" s="3" t="s">
        <v>33</v>
      </c>
      <c r="L1536" s="3"/>
      <c r="M1536" s="3" t="s">
        <v>131</v>
      </c>
      <c r="N1536" s="3" t="str">
        <f>CONCATENATE("00604160432")</f>
        <v>00604160432</v>
      </c>
      <c r="O1536" s="3" t="s">
        <v>1663</v>
      </c>
      <c r="P1536" s="3" t="s">
        <v>36</v>
      </c>
      <c r="Q1536" s="3"/>
      <c r="R1536" s="4">
        <v>45996</v>
      </c>
      <c r="S1536" s="3" t="s">
        <v>37</v>
      </c>
      <c r="T1536" s="3" t="s">
        <v>38</v>
      </c>
      <c r="U1536" s="3" t="s">
        <v>39</v>
      </c>
      <c r="V1536" s="3">
        <v>320.95</v>
      </c>
      <c r="W1536" s="3">
        <v>136.4</v>
      </c>
      <c r="X1536" s="3">
        <v>129.18</v>
      </c>
      <c r="Y1536" s="3">
        <v>55.37</v>
      </c>
    </row>
    <row r="1537" spans="1:25" ht="60.75" x14ac:dyDescent="0.25">
      <c r="A1537" s="3" t="s">
        <v>26</v>
      </c>
      <c r="B1537" s="3" t="s">
        <v>27</v>
      </c>
      <c r="C1537" s="3" t="s">
        <v>28</v>
      </c>
      <c r="D1537" s="3" t="s">
        <v>50</v>
      </c>
      <c r="E1537" s="3" t="s">
        <v>173</v>
      </c>
      <c r="F1537" s="3" t="s">
        <v>52</v>
      </c>
      <c r="G1537" s="3" t="s">
        <v>173</v>
      </c>
      <c r="H1537" s="3" t="s">
        <v>45</v>
      </c>
      <c r="I1537" s="3">
        <v>2025</v>
      </c>
      <c r="J1537" s="3" t="str">
        <f>CONCATENATE("54820083217")</f>
        <v>54820083217</v>
      </c>
      <c r="K1537" s="3" t="s">
        <v>33</v>
      </c>
      <c r="L1537" s="3"/>
      <c r="M1537" s="3" t="s">
        <v>131</v>
      </c>
      <c r="N1537" s="3" t="str">
        <f>CONCATENATE("MDRGPP56C19F467G")</f>
        <v>MDRGPP56C19F467G</v>
      </c>
      <c r="O1537" s="3" t="s">
        <v>1664</v>
      </c>
      <c r="P1537" s="3" t="s">
        <v>36</v>
      </c>
      <c r="Q1537" s="3"/>
      <c r="R1537" s="4">
        <v>45996</v>
      </c>
      <c r="S1537" s="3" t="s">
        <v>37</v>
      </c>
      <c r="T1537" s="3" t="s">
        <v>38</v>
      </c>
      <c r="U1537" s="3" t="s">
        <v>39</v>
      </c>
      <c r="V1537" s="3">
        <v>71.349999999999994</v>
      </c>
      <c r="W1537" s="3">
        <v>30.32</v>
      </c>
      <c r="X1537" s="3">
        <v>28.72</v>
      </c>
      <c r="Y1537" s="3">
        <v>12.31</v>
      </c>
    </row>
    <row r="1538" spans="1:25" ht="60.75" x14ac:dyDescent="0.25">
      <c r="A1538" s="3" t="s">
        <v>26</v>
      </c>
      <c r="B1538" s="3" t="s">
        <v>27</v>
      </c>
      <c r="C1538" s="3" t="s">
        <v>28</v>
      </c>
      <c r="D1538" s="3" t="s">
        <v>29</v>
      </c>
      <c r="E1538" s="3" t="s">
        <v>119</v>
      </c>
      <c r="F1538" s="3" t="s">
        <v>31</v>
      </c>
      <c r="G1538" s="3" t="s">
        <v>119</v>
      </c>
      <c r="H1538" s="3" t="s">
        <v>96</v>
      </c>
      <c r="I1538" s="3">
        <v>2025</v>
      </c>
      <c r="J1538" s="3" t="str">
        <f>CONCATENATE("54820067293")</f>
        <v>54820067293</v>
      </c>
      <c r="K1538" s="3" t="s">
        <v>33</v>
      </c>
      <c r="L1538" s="3"/>
      <c r="M1538" s="3" t="s">
        <v>131</v>
      </c>
      <c r="N1538" s="3" t="str">
        <f>CONCATENATE("SRTZEI52S13F509D")</f>
        <v>SRTZEI52S13F509D</v>
      </c>
      <c r="O1538" s="3" t="s">
        <v>1665</v>
      </c>
      <c r="P1538" s="3" t="s">
        <v>36</v>
      </c>
      <c r="Q1538" s="3"/>
      <c r="R1538" s="4">
        <v>45996</v>
      </c>
      <c r="S1538" s="3" t="s">
        <v>37</v>
      </c>
      <c r="T1538" s="3" t="s">
        <v>38</v>
      </c>
      <c r="U1538" s="3" t="s">
        <v>39</v>
      </c>
      <c r="V1538" s="3">
        <v>376.8</v>
      </c>
      <c r="W1538" s="3">
        <v>160.13999999999999</v>
      </c>
      <c r="X1538" s="3">
        <v>151.66</v>
      </c>
      <c r="Y1538" s="3">
        <v>65</v>
      </c>
    </row>
    <row r="1539" spans="1:25" ht="60.75" x14ac:dyDescent="0.25">
      <c r="A1539" s="3" t="s">
        <v>26</v>
      </c>
      <c r="B1539" s="3" t="s">
        <v>27</v>
      </c>
      <c r="C1539" s="3" t="s">
        <v>28</v>
      </c>
      <c r="D1539" s="3" t="s">
        <v>50</v>
      </c>
      <c r="E1539" s="3" t="s">
        <v>60</v>
      </c>
      <c r="F1539" s="3" t="s">
        <v>52</v>
      </c>
      <c r="G1539" s="3" t="s">
        <v>60</v>
      </c>
      <c r="H1539" s="3" t="s">
        <v>45</v>
      </c>
      <c r="I1539" s="3">
        <v>2025</v>
      </c>
      <c r="J1539" s="3" t="str">
        <f>CONCATENATE("54820108964")</f>
        <v>54820108964</v>
      </c>
      <c r="K1539" s="3" t="s">
        <v>33</v>
      </c>
      <c r="L1539" s="3"/>
      <c r="M1539" s="3" t="s">
        <v>131</v>
      </c>
      <c r="N1539" s="3" t="str">
        <f>CONCATENATE("CNIDFN37T67G453O")</f>
        <v>CNIDFN37T67G453O</v>
      </c>
      <c r="O1539" s="3" t="s">
        <v>1666</v>
      </c>
      <c r="P1539" s="3" t="s">
        <v>36</v>
      </c>
      <c r="Q1539" s="3"/>
      <c r="R1539" s="4">
        <v>45996</v>
      </c>
      <c r="S1539" s="3" t="s">
        <v>37</v>
      </c>
      <c r="T1539" s="3" t="s">
        <v>38</v>
      </c>
      <c r="U1539" s="3" t="s">
        <v>39</v>
      </c>
      <c r="V1539" s="3">
        <v>69.69</v>
      </c>
      <c r="W1539" s="3">
        <v>29.62</v>
      </c>
      <c r="X1539" s="3">
        <v>28.05</v>
      </c>
      <c r="Y1539" s="3">
        <v>12.02</v>
      </c>
    </row>
    <row r="1540" spans="1:25" ht="60.75" x14ac:dyDescent="0.25">
      <c r="A1540" s="3" t="s">
        <v>26</v>
      </c>
      <c r="B1540" s="3" t="s">
        <v>27</v>
      </c>
      <c r="C1540" s="3" t="s">
        <v>28</v>
      </c>
      <c r="D1540" s="3" t="s">
        <v>29</v>
      </c>
      <c r="E1540" s="3" t="s">
        <v>68</v>
      </c>
      <c r="F1540" s="3" t="s">
        <v>31</v>
      </c>
      <c r="G1540" s="3" t="s">
        <v>68</v>
      </c>
      <c r="H1540" s="3" t="s">
        <v>32</v>
      </c>
      <c r="I1540" s="3">
        <v>2025</v>
      </c>
      <c r="J1540" s="3" t="str">
        <f>CONCATENATE("54820076559")</f>
        <v>54820076559</v>
      </c>
      <c r="K1540" s="3" t="s">
        <v>33</v>
      </c>
      <c r="L1540" s="3"/>
      <c r="M1540" s="3" t="s">
        <v>131</v>
      </c>
      <c r="N1540" s="3" t="str">
        <f>CONCATENATE("GVNGLI59R08B474T")</f>
        <v>GVNGLI59R08B474T</v>
      </c>
      <c r="O1540" s="3" t="s">
        <v>1667</v>
      </c>
      <c r="P1540" s="3" t="s">
        <v>36</v>
      </c>
      <c r="Q1540" s="3"/>
      <c r="R1540" s="4">
        <v>45996</v>
      </c>
      <c r="S1540" s="3" t="s">
        <v>37</v>
      </c>
      <c r="T1540" s="3" t="s">
        <v>38</v>
      </c>
      <c r="U1540" s="3" t="s">
        <v>39</v>
      </c>
      <c r="V1540" s="3">
        <v>79.94</v>
      </c>
      <c r="W1540" s="3">
        <v>33.97</v>
      </c>
      <c r="X1540" s="3">
        <v>32.18</v>
      </c>
      <c r="Y1540" s="3">
        <v>13.79</v>
      </c>
    </row>
    <row r="1541" spans="1:25" ht="72.75" x14ac:dyDescent="0.25">
      <c r="A1541" s="3" t="s">
        <v>26</v>
      </c>
      <c r="B1541" s="3" t="s">
        <v>27</v>
      </c>
      <c r="C1541" s="3" t="s">
        <v>28</v>
      </c>
      <c r="D1541" s="3" t="s">
        <v>50</v>
      </c>
      <c r="E1541" s="3" t="s">
        <v>147</v>
      </c>
      <c r="F1541" s="3" t="s">
        <v>52</v>
      </c>
      <c r="G1541" s="3" t="s">
        <v>147</v>
      </c>
      <c r="H1541" s="3" t="s">
        <v>45</v>
      </c>
      <c r="I1541" s="3">
        <v>2025</v>
      </c>
      <c r="J1541" s="3" t="str">
        <f>CONCATENATE("54820117445")</f>
        <v>54820117445</v>
      </c>
      <c r="K1541" s="3" t="s">
        <v>33</v>
      </c>
      <c r="L1541" s="3"/>
      <c r="M1541" s="3" t="s">
        <v>131</v>
      </c>
      <c r="N1541" s="3" t="str">
        <f>CONCATENATE("LVRSRA82B50D488V")</f>
        <v>LVRSRA82B50D488V</v>
      </c>
      <c r="O1541" s="3" t="s">
        <v>1668</v>
      </c>
      <c r="P1541" s="3" t="s">
        <v>36</v>
      </c>
      <c r="Q1541" s="3"/>
      <c r="R1541" s="4">
        <v>45996</v>
      </c>
      <c r="S1541" s="3" t="s">
        <v>37</v>
      </c>
      <c r="T1541" s="3" t="s">
        <v>38</v>
      </c>
      <c r="U1541" s="3" t="s">
        <v>39</v>
      </c>
      <c r="V1541" s="3">
        <v>352.21</v>
      </c>
      <c r="W1541" s="3">
        <v>149.69</v>
      </c>
      <c r="X1541" s="3">
        <v>141.76</v>
      </c>
      <c r="Y1541" s="3">
        <v>60.76</v>
      </c>
    </row>
    <row r="1542" spans="1:25" ht="60.75" x14ac:dyDescent="0.25">
      <c r="A1542" s="3" t="s">
        <v>26</v>
      </c>
      <c r="B1542" s="3" t="s">
        <v>27</v>
      </c>
      <c r="C1542" s="3" t="s">
        <v>28</v>
      </c>
      <c r="D1542" s="3" t="s">
        <v>29</v>
      </c>
      <c r="E1542" s="3" t="s">
        <v>119</v>
      </c>
      <c r="F1542" s="3" t="s">
        <v>31</v>
      </c>
      <c r="G1542" s="3" t="s">
        <v>119</v>
      </c>
      <c r="H1542" s="3" t="s">
        <v>96</v>
      </c>
      <c r="I1542" s="3">
        <v>2025</v>
      </c>
      <c r="J1542" s="3" t="str">
        <f>CONCATENATE("54820053772")</f>
        <v>54820053772</v>
      </c>
      <c r="K1542" s="3" t="s">
        <v>33</v>
      </c>
      <c r="L1542" s="3"/>
      <c r="M1542" s="3" t="s">
        <v>131</v>
      </c>
      <c r="N1542" s="3" t="str">
        <f>CONCATENATE("RCLMRZ67E12A252H")</f>
        <v>RCLMRZ67E12A252H</v>
      </c>
      <c r="O1542" s="3" t="s">
        <v>1669</v>
      </c>
      <c r="P1542" s="3" t="s">
        <v>36</v>
      </c>
      <c r="Q1542" s="3"/>
      <c r="R1542" s="4">
        <v>45996</v>
      </c>
      <c r="S1542" s="3" t="s">
        <v>37</v>
      </c>
      <c r="T1542" s="3" t="s">
        <v>38</v>
      </c>
      <c r="U1542" s="3" t="s">
        <v>39</v>
      </c>
      <c r="V1542" s="3">
        <v>185.68</v>
      </c>
      <c r="W1542" s="3">
        <v>78.91</v>
      </c>
      <c r="X1542" s="3">
        <v>74.739999999999995</v>
      </c>
      <c r="Y1542" s="3">
        <v>32.03</v>
      </c>
    </row>
    <row r="1543" spans="1:25" ht="60.75" x14ac:dyDescent="0.25">
      <c r="A1543" s="3" t="s">
        <v>26</v>
      </c>
      <c r="B1543" s="3" t="s">
        <v>27</v>
      </c>
      <c r="C1543" s="3" t="s">
        <v>28</v>
      </c>
      <c r="D1543" s="3" t="s">
        <v>50</v>
      </c>
      <c r="E1543" s="3" t="s">
        <v>147</v>
      </c>
      <c r="F1543" s="3" t="s">
        <v>52</v>
      </c>
      <c r="G1543" s="3" t="s">
        <v>147</v>
      </c>
      <c r="H1543" s="3" t="s">
        <v>45</v>
      </c>
      <c r="I1543" s="3">
        <v>2025</v>
      </c>
      <c r="J1543" s="3" t="str">
        <f>CONCATENATE("54820076542")</f>
        <v>54820076542</v>
      </c>
      <c r="K1543" s="3" t="s">
        <v>33</v>
      </c>
      <c r="L1543" s="3"/>
      <c r="M1543" s="3" t="s">
        <v>131</v>
      </c>
      <c r="N1543" s="3" t="str">
        <f>CONCATENATE("SMNGFR36M03L500N")</f>
        <v>SMNGFR36M03L500N</v>
      </c>
      <c r="O1543" s="3" t="s">
        <v>1670</v>
      </c>
      <c r="P1543" s="3" t="s">
        <v>36</v>
      </c>
      <c r="Q1543" s="3"/>
      <c r="R1543" s="4">
        <v>45996</v>
      </c>
      <c r="S1543" s="3" t="s">
        <v>37</v>
      </c>
      <c r="T1543" s="3" t="s">
        <v>38</v>
      </c>
      <c r="U1543" s="3" t="s">
        <v>39</v>
      </c>
      <c r="V1543" s="3">
        <v>426.45</v>
      </c>
      <c r="W1543" s="3">
        <v>181.24</v>
      </c>
      <c r="X1543" s="3">
        <v>171.65</v>
      </c>
      <c r="Y1543" s="3">
        <v>73.56</v>
      </c>
    </row>
    <row r="1544" spans="1:25" ht="60.75" x14ac:dyDescent="0.25">
      <c r="A1544" s="3" t="s">
        <v>26</v>
      </c>
      <c r="B1544" s="3" t="s">
        <v>27</v>
      </c>
      <c r="C1544" s="3" t="s">
        <v>28</v>
      </c>
      <c r="D1544" s="3" t="s">
        <v>50</v>
      </c>
      <c r="E1544" s="3" t="s">
        <v>1133</v>
      </c>
      <c r="F1544" s="3" t="s">
        <v>52</v>
      </c>
      <c r="G1544" s="3" t="s">
        <v>1133</v>
      </c>
      <c r="H1544" s="3" t="s">
        <v>45</v>
      </c>
      <c r="I1544" s="3">
        <v>2025</v>
      </c>
      <c r="J1544" s="3" t="str">
        <f>CONCATENATE("54820088273")</f>
        <v>54820088273</v>
      </c>
      <c r="K1544" s="3" t="s">
        <v>33</v>
      </c>
      <c r="L1544" s="3"/>
      <c r="M1544" s="3" t="s">
        <v>131</v>
      </c>
      <c r="N1544" s="3" t="str">
        <f>CONCATENATE("MNNPGS66P03E785Q")</f>
        <v>MNNPGS66P03E785Q</v>
      </c>
      <c r="O1544" s="3" t="s">
        <v>1671</v>
      </c>
      <c r="P1544" s="3" t="s">
        <v>36</v>
      </c>
      <c r="Q1544" s="3"/>
      <c r="R1544" s="4">
        <v>45996</v>
      </c>
      <c r="S1544" s="3" t="s">
        <v>37</v>
      </c>
      <c r="T1544" s="3" t="s">
        <v>38</v>
      </c>
      <c r="U1544" s="3" t="s">
        <v>39</v>
      </c>
      <c r="V1544" s="3">
        <v>74.66</v>
      </c>
      <c r="W1544" s="3">
        <v>31.73</v>
      </c>
      <c r="X1544" s="3">
        <v>30.05</v>
      </c>
      <c r="Y1544" s="3">
        <v>12.88</v>
      </c>
    </row>
    <row r="1545" spans="1:25" ht="72.75" x14ac:dyDescent="0.25">
      <c r="A1545" s="3" t="s">
        <v>26</v>
      </c>
      <c r="B1545" s="3" t="s">
        <v>27</v>
      </c>
      <c r="C1545" s="3" t="s">
        <v>28</v>
      </c>
      <c r="D1545" s="3" t="s">
        <v>29</v>
      </c>
      <c r="E1545" s="3" t="s">
        <v>136</v>
      </c>
      <c r="F1545" s="3" t="s">
        <v>31</v>
      </c>
      <c r="G1545" s="3" t="s">
        <v>136</v>
      </c>
      <c r="H1545" s="3" t="s">
        <v>48</v>
      </c>
      <c r="I1545" s="3">
        <v>2025</v>
      </c>
      <c r="J1545" s="3" t="str">
        <f>CONCATENATE("54820112123")</f>
        <v>54820112123</v>
      </c>
      <c r="K1545" s="3" t="s">
        <v>33</v>
      </c>
      <c r="L1545" s="3"/>
      <c r="M1545" s="3" t="s">
        <v>131</v>
      </c>
      <c r="N1545" s="3" t="str">
        <f>CONCATENATE("BZZRND55A01D965U")</f>
        <v>BZZRND55A01D965U</v>
      </c>
      <c r="O1545" s="3" t="s">
        <v>1672</v>
      </c>
      <c r="P1545" s="3" t="s">
        <v>36</v>
      </c>
      <c r="Q1545" s="3"/>
      <c r="R1545" s="4">
        <v>45996</v>
      </c>
      <c r="S1545" s="3" t="s">
        <v>37</v>
      </c>
      <c r="T1545" s="3" t="s">
        <v>38</v>
      </c>
      <c r="U1545" s="3" t="s">
        <v>39</v>
      </c>
      <c r="V1545" s="3">
        <v>390.66</v>
      </c>
      <c r="W1545" s="3">
        <v>166.03</v>
      </c>
      <c r="X1545" s="3">
        <v>157.24</v>
      </c>
      <c r="Y1545" s="3">
        <v>67.39</v>
      </c>
    </row>
    <row r="1546" spans="1:25" ht="72.75" x14ac:dyDescent="0.25">
      <c r="A1546" s="3" t="s">
        <v>26</v>
      </c>
      <c r="B1546" s="3" t="s">
        <v>27</v>
      </c>
      <c r="C1546" s="3" t="s">
        <v>28</v>
      </c>
      <c r="D1546" s="3" t="s">
        <v>29</v>
      </c>
      <c r="E1546" s="3" t="s">
        <v>119</v>
      </c>
      <c r="F1546" s="3" t="s">
        <v>31</v>
      </c>
      <c r="G1546" s="3" t="s">
        <v>119</v>
      </c>
      <c r="H1546" s="3" t="s">
        <v>96</v>
      </c>
      <c r="I1546" s="3">
        <v>2025</v>
      </c>
      <c r="J1546" s="3" t="str">
        <f>CONCATENATE("54820040076")</f>
        <v>54820040076</v>
      </c>
      <c r="K1546" s="3" t="s">
        <v>33</v>
      </c>
      <c r="L1546" s="3"/>
      <c r="M1546" s="3" t="s">
        <v>131</v>
      </c>
      <c r="N1546" s="3" t="str">
        <f>CONCATENATE("MLNTNN71M01A252W")</f>
        <v>MLNTNN71M01A252W</v>
      </c>
      <c r="O1546" s="3" t="s">
        <v>1673</v>
      </c>
      <c r="P1546" s="3" t="s">
        <v>36</v>
      </c>
      <c r="Q1546" s="3"/>
      <c r="R1546" s="4">
        <v>45996</v>
      </c>
      <c r="S1546" s="3" t="s">
        <v>37</v>
      </c>
      <c r="T1546" s="3" t="s">
        <v>38</v>
      </c>
      <c r="U1546" s="3" t="s">
        <v>39</v>
      </c>
      <c r="V1546" s="3">
        <v>85.91</v>
      </c>
      <c r="W1546" s="3">
        <v>36.51</v>
      </c>
      <c r="X1546" s="3">
        <v>34.58</v>
      </c>
      <c r="Y1546" s="3">
        <v>14.82</v>
      </c>
    </row>
    <row r="1547" spans="1:25" ht="60.75" x14ac:dyDescent="0.25">
      <c r="A1547" s="3" t="s">
        <v>26</v>
      </c>
      <c r="B1547" s="3" t="s">
        <v>27</v>
      </c>
      <c r="C1547" s="3" t="s">
        <v>28</v>
      </c>
      <c r="D1547" s="3" t="s">
        <v>50</v>
      </c>
      <c r="E1547" s="3" t="s">
        <v>225</v>
      </c>
      <c r="F1547" s="3" t="s">
        <v>52</v>
      </c>
      <c r="G1547" s="3" t="s">
        <v>225</v>
      </c>
      <c r="H1547" s="3" t="s">
        <v>96</v>
      </c>
      <c r="I1547" s="3">
        <v>2025</v>
      </c>
      <c r="J1547" s="3" t="str">
        <f>CONCATENATE("54820052774")</f>
        <v>54820052774</v>
      </c>
      <c r="K1547" s="3" t="s">
        <v>33</v>
      </c>
      <c r="L1547" s="3"/>
      <c r="M1547" s="3" t="s">
        <v>131</v>
      </c>
      <c r="N1547" s="3" t="str">
        <f>CONCATENATE("MRCMRC88R29A252F")</f>
        <v>MRCMRC88R29A252F</v>
      </c>
      <c r="O1547" s="3" t="s">
        <v>1674</v>
      </c>
      <c r="P1547" s="3" t="s">
        <v>36</v>
      </c>
      <c r="Q1547" s="3"/>
      <c r="R1547" s="4">
        <v>45996</v>
      </c>
      <c r="S1547" s="3" t="s">
        <v>37</v>
      </c>
      <c r="T1547" s="3" t="s">
        <v>38</v>
      </c>
      <c r="U1547" s="3" t="s">
        <v>39</v>
      </c>
      <c r="V1547" s="3">
        <v>187.3</v>
      </c>
      <c r="W1547" s="3">
        <v>79.599999999999994</v>
      </c>
      <c r="X1547" s="3">
        <v>75.39</v>
      </c>
      <c r="Y1547" s="3">
        <v>32.31</v>
      </c>
    </row>
    <row r="1548" spans="1:25" ht="72.75" x14ac:dyDescent="0.25">
      <c r="A1548" s="3" t="s">
        <v>26</v>
      </c>
      <c r="B1548" s="3" t="s">
        <v>27</v>
      </c>
      <c r="C1548" s="3" t="s">
        <v>28</v>
      </c>
      <c r="D1548" s="3" t="s">
        <v>29</v>
      </c>
      <c r="E1548" s="3" t="s">
        <v>228</v>
      </c>
      <c r="F1548" s="3" t="s">
        <v>31</v>
      </c>
      <c r="G1548" s="3" t="s">
        <v>228</v>
      </c>
      <c r="H1548" s="3" t="s">
        <v>45</v>
      </c>
      <c r="I1548" s="3">
        <v>2025</v>
      </c>
      <c r="J1548" s="3" t="str">
        <f>CONCATENATE("54820056536")</f>
        <v>54820056536</v>
      </c>
      <c r="K1548" s="3" t="s">
        <v>33</v>
      </c>
      <c r="L1548" s="3"/>
      <c r="M1548" s="3" t="s">
        <v>131</v>
      </c>
      <c r="N1548" s="3" t="str">
        <f>CONCATENATE("SGUDNL65H03D749B")</f>
        <v>SGUDNL65H03D749B</v>
      </c>
      <c r="O1548" s="3" t="s">
        <v>1675</v>
      </c>
      <c r="P1548" s="3" t="s">
        <v>36</v>
      </c>
      <c r="Q1548" s="3"/>
      <c r="R1548" s="4">
        <v>45996</v>
      </c>
      <c r="S1548" s="3" t="s">
        <v>37</v>
      </c>
      <c r="T1548" s="3" t="s">
        <v>38</v>
      </c>
      <c r="U1548" s="3" t="s">
        <v>39</v>
      </c>
      <c r="V1548" s="3">
        <v>793.73</v>
      </c>
      <c r="W1548" s="3">
        <v>337.34</v>
      </c>
      <c r="X1548" s="3">
        <v>319.48</v>
      </c>
      <c r="Y1548" s="3">
        <v>136.91</v>
      </c>
    </row>
    <row r="1549" spans="1:25" ht="72.75" x14ac:dyDescent="0.25">
      <c r="A1549" s="3" t="s">
        <v>26</v>
      </c>
      <c r="B1549" s="3" t="s">
        <v>27</v>
      </c>
      <c r="C1549" s="3" t="s">
        <v>28</v>
      </c>
      <c r="D1549" s="3" t="s">
        <v>50</v>
      </c>
      <c r="E1549" s="3" t="s">
        <v>60</v>
      </c>
      <c r="F1549" s="3" t="s">
        <v>52</v>
      </c>
      <c r="G1549" s="3" t="s">
        <v>60</v>
      </c>
      <c r="H1549" s="3" t="s">
        <v>45</v>
      </c>
      <c r="I1549" s="3">
        <v>2025</v>
      </c>
      <c r="J1549" s="3" t="str">
        <f>CONCATENATE("54820110648")</f>
        <v>54820110648</v>
      </c>
      <c r="K1549" s="3" t="s">
        <v>33</v>
      </c>
      <c r="L1549" s="3"/>
      <c r="M1549" s="3" t="s">
        <v>131</v>
      </c>
      <c r="N1549" s="3" t="str">
        <f>CONCATENATE("CLMFNC49B21B352V")</f>
        <v>CLMFNC49B21B352V</v>
      </c>
      <c r="O1549" s="3" t="s">
        <v>1676</v>
      </c>
      <c r="P1549" s="3" t="s">
        <v>36</v>
      </c>
      <c r="Q1549" s="3"/>
      <c r="R1549" s="4">
        <v>45996</v>
      </c>
      <c r="S1549" s="3" t="s">
        <v>37</v>
      </c>
      <c r="T1549" s="3" t="s">
        <v>38</v>
      </c>
      <c r="U1549" s="3" t="s">
        <v>39</v>
      </c>
      <c r="V1549" s="3">
        <v>96.93</v>
      </c>
      <c r="W1549" s="3">
        <v>41.2</v>
      </c>
      <c r="X1549" s="3">
        <v>39.01</v>
      </c>
      <c r="Y1549" s="3">
        <v>16.72</v>
      </c>
    </row>
    <row r="1550" spans="1:25" ht="60.75" x14ac:dyDescent="0.25">
      <c r="A1550" s="3" t="s">
        <v>26</v>
      </c>
      <c r="B1550" s="3" t="s">
        <v>27</v>
      </c>
      <c r="C1550" s="3" t="s">
        <v>28</v>
      </c>
      <c r="D1550" s="3" t="s">
        <v>50</v>
      </c>
      <c r="E1550" s="3" t="s">
        <v>252</v>
      </c>
      <c r="F1550" s="3" t="s">
        <v>52</v>
      </c>
      <c r="G1550" s="3" t="s">
        <v>252</v>
      </c>
      <c r="H1550" s="3" t="s">
        <v>45</v>
      </c>
      <c r="I1550" s="3">
        <v>2025</v>
      </c>
      <c r="J1550" s="3" t="str">
        <f>CONCATENATE("54820121298")</f>
        <v>54820121298</v>
      </c>
      <c r="K1550" s="3" t="s">
        <v>33</v>
      </c>
      <c r="L1550" s="3"/>
      <c r="M1550" s="3" t="s">
        <v>131</v>
      </c>
      <c r="N1550" s="3" t="str">
        <f>CONCATENATE("DAIDGI91L20D749W")</f>
        <v>DAIDGI91L20D749W</v>
      </c>
      <c r="O1550" s="3" t="s">
        <v>1677</v>
      </c>
      <c r="P1550" s="3" t="s">
        <v>36</v>
      </c>
      <c r="Q1550" s="3"/>
      <c r="R1550" s="4">
        <v>45996</v>
      </c>
      <c r="S1550" s="3" t="s">
        <v>37</v>
      </c>
      <c r="T1550" s="3" t="s">
        <v>38</v>
      </c>
      <c r="U1550" s="3" t="s">
        <v>39</v>
      </c>
      <c r="V1550" s="3">
        <v>199.91</v>
      </c>
      <c r="W1550" s="3">
        <v>84.96</v>
      </c>
      <c r="X1550" s="3">
        <v>80.459999999999994</v>
      </c>
      <c r="Y1550" s="3">
        <v>34.49</v>
      </c>
    </row>
    <row r="1551" spans="1:25" ht="60.75" x14ac:dyDescent="0.25">
      <c r="A1551" s="3" t="s">
        <v>26</v>
      </c>
      <c r="B1551" s="3" t="s">
        <v>27</v>
      </c>
      <c r="C1551" s="3" t="s">
        <v>28</v>
      </c>
      <c r="D1551" s="3" t="s">
        <v>29</v>
      </c>
      <c r="E1551" s="3" t="s">
        <v>228</v>
      </c>
      <c r="F1551" s="3" t="s">
        <v>31</v>
      </c>
      <c r="G1551" s="3" t="s">
        <v>228</v>
      </c>
      <c r="H1551" s="3" t="s">
        <v>45</v>
      </c>
      <c r="I1551" s="3">
        <v>2025</v>
      </c>
      <c r="J1551" s="3" t="str">
        <f>CONCATENATE("54820057252")</f>
        <v>54820057252</v>
      </c>
      <c r="K1551" s="3" t="s">
        <v>33</v>
      </c>
      <c r="L1551" s="3"/>
      <c r="M1551" s="3" t="s">
        <v>131</v>
      </c>
      <c r="N1551" s="3" t="str">
        <f>CONCATENATE("LZZDVD73L05D488O")</f>
        <v>LZZDVD73L05D488O</v>
      </c>
      <c r="O1551" s="3" t="s">
        <v>1678</v>
      </c>
      <c r="P1551" s="3" t="s">
        <v>36</v>
      </c>
      <c r="Q1551" s="3"/>
      <c r="R1551" s="4">
        <v>45996</v>
      </c>
      <c r="S1551" s="3" t="s">
        <v>37</v>
      </c>
      <c r="T1551" s="3" t="s">
        <v>38</v>
      </c>
      <c r="U1551" s="3" t="s">
        <v>39</v>
      </c>
      <c r="V1551" s="3">
        <v>249.78</v>
      </c>
      <c r="W1551" s="3">
        <v>106.16</v>
      </c>
      <c r="X1551" s="3">
        <v>100.54</v>
      </c>
      <c r="Y1551" s="3">
        <v>43.08</v>
      </c>
    </row>
    <row r="1552" spans="1:25" ht="60.75" x14ac:dyDescent="0.25">
      <c r="A1552" s="3" t="s">
        <v>26</v>
      </c>
      <c r="B1552" s="3" t="s">
        <v>27</v>
      </c>
      <c r="C1552" s="3" t="s">
        <v>28</v>
      </c>
      <c r="D1552" s="3" t="s">
        <v>29</v>
      </c>
      <c r="E1552" s="3" t="s">
        <v>72</v>
      </c>
      <c r="F1552" s="3" t="s">
        <v>31</v>
      </c>
      <c r="G1552" s="3" t="s">
        <v>72</v>
      </c>
      <c r="H1552" s="3" t="s">
        <v>45</v>
      </c>
      <c r="I1552" s="3">
        <v>2025</v>
      </c>
      <c r="J1552" s="3" t="str">
        <f>CONCATENATE("54820067871")</f>
        <v>54820067871</v>
      </c>
      <c r="K1552" s="3" t="s">
        <v>33</v>
      </c>
      <c r="L1552" s="3"/>
      <c r="M1552" s="3" t="s">
        <v>131</v>
      </c>
      <c r="N1552" s="3" t="str">
        <f>CONCATENATE("TRFMRC78P62B352T")</f>
        <v>TRFMRC78P62B352T</v>
      </c>
      <c r="O1552" s="3" t="s">
        <v>1679</v>
      </c>
      <c r="P1552" s="3" t="s">
        <v>36</v>
      </c>
      <c r="Q1552" s="3"/>
      <c r="R1552" s="4">
        <v>45996</v>
      </c>
      <c r="S1552" s="3" t="s">
        <v>37</v>
      </c>
      <c r="T1552" s="3" t="s">
        <v>38</v>
      </c>
      <c r="U1552" s="3" t="s">
        <v>39</v>
      </c>
      <c r="V1552" s="3">
        <v>80.59</v>
      </c>
      <c r="W1552" s="3">
        <v>34.25</v>
      </c>
      <c r="X1552" s="3">
        <v>32.44</v>
      </c>
      <c r="Y1552" s="3">
        <v>13.9</v>
      </c>
    </row>
    <row r="1553" spans="1:25" ht="60.75" x14ac:dyDescent="0.25">
      <c r="A1553" s="3" t="s">
        <v>26</v>
      </c>
      <c r="B1553" s="3" t="s">
        <v>27</v>
      </c>
      <c r="C1553" s="3" t="s">
        <v>28</v>
      </c>
      <c r="D1553" s="3" t="s">
        <v>29</v>
      </c>
      <c r="E1553" s="3" t="s">
        <v>56</v>
      </c>
      <c r="F1553" s="3" t="s">
        <v>31</v>
      </c>
      <c r="G1553" s="3" t="s">
        <v>56</v>
      </c>
      <c r="H1553" s="3" t="s">
        <v>32</v>
      </c>
      <c r="I1553" s="3">
        <v>2025</v>
      </c>
      <c r="J1553" s="3" t="str">
        <f>CONCATENATE("54820091509")</f>
        <v>54820091509</v>
      </c>
      <c r="K1553" s="3" t="s">
        <v>33</v>
      </c>
      <c r="L1553" s="3"/>
      <c r="M1553" s="3" t="s">
        <v>131</v>
      </c>
      <c r="N1553" s="3" t="str">
        <f>CONCATENATE("LCRMLN78S70B474K")</f>
        <v>LCRMLN78S70B474K</v>
      </c>
      <c r="O1553" s="3" t="s">
        <v>1680</v>
      </c>
      <c r="P1553" s="3" t="s">
        <v>36</v>
      </c>
      <c r="Q1553" s="3"/>
      <c r="R1553" s="4">
        <v>45996</v>
      </c>
      <c r="S1553" s="3" t="s">
        <v>37</v>
      </c>
      <c r="T1553" s="3" t="s">
        <v>38</v>
      </c>
      <c r="U1553" s="3" t="s">
        <v>39</v>
      </c>
      <c r="V1553" s="3">
        <v>438.29</v>
      </c>
      <c r="W1553" s="3">
        <v>186.27</v>
      </c>
      <c r="X1553" s="3">
        <v>176.41</v>
      </c>
      <c r="Y1553" s="3">
        <v>75.61</v>
      </c>
    </row>
    <row r="1554" spans="1:25" ht="36.75" x14ac:dyDescent="0.25">
      <c r="A1554" s="3" t="s">
        <v>26</v>
      </c>
      <c r="B1554" s="3" t="s">
        <v>27</v>
      </c>
      <c r="C1554" s="3" t="s">
        <v>28</v>
      </c>
      <c r="D1554" s="3" t="s">
        <v>50</v>
      </c>
      <c r="E1554" s="3" t="s">
        <v>147</v>
      </c>
      <c r="F1554" s="3" t="s">
        <v>52</v>
      </c>
      <c r="G1554" s="3" t="s">
        <v>147</v>
      </c>
      <c r="H1554" s="3" t="s">
        <v>45</v>
      </c>
      <c r="I1554" s="3">
        <v>2025</v>
      </c>
      <c r="J1554" s="3" t="str">
        <f>CONCATENATE("54820101621")</f>
        <v>54820101621</v>
      </c>
      <c r="K1554" s="3" t="s">
        <v>33</v>
      </c>
      <c r="L1554" s="3"/>
      <c r="M1554" s="3" t="s">
        <v>131</v>
      </c>
      <c r="N1554" s="3" t="str">
        <f>CONCATENATE("02008350411")</f>
        <v>02008350411</v>
      </c>
      <c r="O1554" s="3" t="s">
        <v>1681</v>
      </c>
      <c r="P1554" s="3" t="s">
        <v>36</v>
      </c>
      <c r="Q1554" s="3"/>
      <c r="R1554" s="4">
        <v>45996</v>
      </c>
      <c r="S1554" s="3" t="s">
        <v>37</v>
      </c>
      <c r="T1554" s="3" t="s">
        <v>38</v>
      </c>
      <c r="U1554" s="3" t="s">
        <v>39</v>
      </c>
      <c r="V1554" s="3">
        <v>215.29</v>
      </c>
      <c r="W1554" s="3">
        <v>91.5</v>
      </c>
      <c r="X1554" s="3">
        <v>86.65</v>
      </c>
      <c r="Y1554" s="3">
        <v>37.14</v>
      </c>
    </row>
    <row r="1555" spans="1:25" ht="72.75" x14ac:dyDescent="0.25">
      <c r="A1555" s="3" t="s">
        <v>26</v>
      </c>
      <c r="B1555" s="3" t="s">
        <v>27</v>
      </c>
      <c r="C1555" s="3" t="s">
        <v>28</v>
      </c>
      <c r="D1555" s="3" t="s">
        <v>50</v>
      </c>
      <c r="E1555" s="3" t="s">
        <v>60</v>
      </c>
      <c r="F1555" s="3" t="s">
        <v>52</v>
      </c>
      <c r="G1555" s="3" t="s">
        <v>60</v>
      </c>
      <c r="H1555" s="3" t="s">
        <v>45</v>
      </c>
      <c r="I1555" s="3">
        <v>2025</v>
      </c>
      <c r="J1555" s="3" t="str">
        <f>CONCATENATE("54820108410")</f>
        <v>54820108410</v>
      </c>
      <c r="K1555" s="3" t="s">
        <v>33</v>
      </c>
      <c r="L1555" s="3"/>
      <c r="M1555" s="3" t="s">
        <v>131</v>
      </c>
      <c r="N1555" s="3" t="str">
        <f>CONCATENATE("BGNDNL64M63G453H")</f>
        <v>BGNDNL64M63G453H</v>
      </c>
      <c r="O1555" s="3" t="s">
        <v>1682</v>
      </c>
      <c r="P1555" s="3" t="s">
        <v>36</v>
      </c>
      <c r="Q1555" s="3"/>
      <c r="R1555" s="4">
        <v>45996</v>
      </c>
      <c r="S1555" s="3" t="s">
        <v>37</v>
      </c>
      <c r="T1555" s="3" t="s">
        <v>38</v>
      </c>
      <c r="U1555" s="3" t="s">
        <v>39</v>
      </c>
      <c r="V1555" s="3">
        <v>61.31</v>
      </c>
      <c r="W1555" s="3">
        <v>26.06</v>
      </c>
      <c r="X1555" s="3">
        <v>24.68</v>
      </c>
      <c r="Y1555" s="3">
        <v>10.57</v>
      </c>
    </row>
    <row r="1556" spans="1:25" ht="72.75" x14ac:dyDescent="0.25">
      <c r="A1556" s="3" t="s">
        <v>26</v>
      </c>
      <c r="B1556" s="3" t="s">
        <v>27</v>
      </c>
      <c r="C1556" s="3" t="s">
        <v>28</v>
      </c>
      <c r="D1556" s="3" t="s">
        <v>29</v>
      </c>
      <c r="E1556" s="3" t="s">
        <v>56</v>
      </c>
      <c r="F1556" s="3" t="s">
        <v>31</v>
      </c>
      <c r="G1556" s="3" t="s">
        <v>56</v>
      </c>
      <c r="H1556" s="3" t="s">
        <v>32</v>
      </c>
      <c r="I1556" s="3">
        <v>2025</v>
      </c>
      <c r="J1556" s="3" t="str">
        <f>CONCATENATE("54820099536")</f>
        <v>54820099536</v>
      </c>
      <c r="K1556" s="3" t="s">
        <v>33</v>
      </c>
      <c r="L1556" s="3"/>
      <c r="M1556" s="3" t="s">
        <v>131</v>
      </c>
      <c r="N1556" s="3" t="str">
        <f>CONCATENATE("MNTVLN44B53D853M")</f>
        <v>MNTVLN44B53D853M</v>
      </c>
      <c r="O1556" s="3" t="s">
        <v>1683</v>
      </c>
      <c r="P1556" s="3" t="s">
        <v>36</v>
      </c>
      <c r="Q1556" s="3"/>
      <c r="R1556" s="4">
        <v>45996</v>
      </c>
      <c r="S1556" s="3" t="s">
        <v>37</v>
      </c>
      <c r="T1556" s="3" t="s">
        <v>38</v>
      </c>
      <c r="U1556" s="3" t="s">
        <v>39</v>
      </c>
      <c r="V1556" s="3">
        <v>296.62</v>
      </c>
      <c r="W1556" s="3">
        <v>126.06</v>
      </c>
      <c r="X1556" s="3">
        <v>119.39</v>
      </c>
      <c r="Y1556" s="3">
        <v>51.17</v>
      </c>
    </row>
    <row r="1557" spans="1:25" ht="60.75" x14ac:dyDescent="0.25">
      <c r="A1557" s="3" t="s">
        <v>26</v>
      </c>
      <c r="B1557" s="3" t="s">
        <v>27</v>
      </c>
      <c r="C1557" s="3" t="s">
        <v>28</v>
      </c>
      <c r="D1557" s="3" t="s">
        <v>50</v>
      </c>
      <c r="E1557" s="3" t="s">
        <v>51</v>
      </c>
      <c r="F1557" s="3" t="s">
        <v>52</v>
      </c>
      <c r="G1557" s="3" t="s">
        <v>51</v>
      </c>
      <c r="H1557" s="3" t="s">
        <v>48</v>
      </c>
      <c r="I1557" s="3">
        <v>2025</v>
      </c>
      <c r="J1557" s="3" t="str">
        <f>CONCATENATE("54820126263")</f>
        <v>54820126263</v>
      </c>
      <c r="K1557" s="3" t="s">
        <v>33</v>
      </c>
      <c r="L1557" s="3"/>
      <c r="M1557" s="3" t="s">
        <v>131</v>
      </c>
      <c r="N1557" s="3" t="str">
        <f>CONCATENATE("CBCMCL63M04I461D")</f>
        <v>CBCMCL63M04I461D</v>
      </c>
      <c r="O1557" s="3" t="s">
        <v>1684</v>
      </c>
      <c r="P1557" s="3" t="s">
        <v>36</v>
      </c>
      <c r="Q1557" s="3"/>
      <c r="R1557" s="4">
        <v>45996</v>
      </c>
      <c r="S1557" s="3" t="s">
        <v>37</v>
      </c>
      <c r="T1557" s="3" t="s">
        <v>38</v>
      </c>
      <c r="U1557" s="3" t="s">
        <v>39</v>
      </c>
      <c r="V1557" s="3">
        <v>977.75</v>
      </c>
      <c r="W1557" s="3">
        <v>415.54</v>
      </c>
      <c r="X1557" s="3">
        <v>393.54</v>
      </c>
      <c r="Y1557" s="3">
        <v>168.67</v>
      </c>
    </row>
    <row r="1558" spans="1:25" ht="72.75" x14ac:dyDescent="0.25">
      <c r="A1558" s="3" t="s">
        <v>26</v>
      </c>
      <c r="B1558" s="3" t="s">
        <v>27</v>
      </c>
      <c r="C1558" s="3" t="s">
        <v>28</v>
      </c>
      <c r="D1558" s="3" t="s">
        <v>29</v>
      </c>
      <c r="E1558" s="3" t="s">
        <v>119</v>
      </c>
      <c r="F1558" s="3" t="s">
        <v>31</v>
      </c>
      <c r="G1558" s="3" t="s">
        <v>119</v>
      </c>
      <c r="H1558" s="3" t="s">
        <v>96</v>
      </c>
      <c r="I1558" s="3">
        <v>2025</v>
      </c>
      <c r="J1558" s="3" t="str">
        <f>CONCATENATE("54820067814")</f>
        <v>54820067814</v>
      </c>
      <c r="K1558" s="3" t="s">
        <v>33</v>
      </c>
      <c r="L1558" s="3"/>
      <c r="M1558" s="3" t="s">
        <v>131</v>
      </c>
      <c r="N1558" s="3" t="str">
        <f>CONCATENATE("MRNMRN55E49B352C")</f>
        <v>MRNMRN55E49B352C</v>
      </c>
      <c r="O1558" s="3" t="s">
        <v>1685</v>
      </c>
      <c r="P1558" s="3" t="s">
        <v>36</v>
      </c>
      <c r="Q1558" s="3"/>
      <c r="R1558" s="4">
        <v>45996</v>
      </c>
      <c r="S1558" s="3" t="s">
        <v>37</v>
      </c>
      <c r="T1558" s="3" t="s">
        <v>38</v>
      </c>
      <c r="U1558" s="3" t="s">
        <v>39</v>
      </c>
      <c r="V1558" s="3">
        <v>160.44</v>
      </c>
      <c r="W1558" s="3">
        <v>68.19</v>
      </c>
      <c r="X1558" s="3">
        <v>64.58</v>
      </c>
      <c r="Y1558" s="3">
        <v>27.67</v>
      </c>
    </row>
    <row r="1559" spans="1:25" ht="60.75" x14ac:dyDescent="0.25">
      <c r="A1559" s="3" t="s">
        <v>26</v>
      </c>
      <c r="B1559" s="3" t="s">
        <v>27</v>
      </c>
      <c r="C1559" s="3" t="s">
        <v>28</v>
      </c>
      <c r="D1559" s="3" t="s">
        <v>29</v>
      </c>
      <c r="E1559" s="3" t="s">
        <v>233</v>
      </c>
      <c r="F1559" s="3" t="s">
        <v>31</v>
      </c>
      <c r="G1559" s="3" t="s">
        <v>233</v>
      </c>
      <c r="H1559" s="3" t="s">
        <v>96</v>
      </c>
      <c r="I1559" s="3">
        <v>2025</v>
      </c>
      <c r="J1559" s="3" t="str">
        <f>CONCATENATE("54820063854")</f>
        <v>54820063854</v>
      </c>
      <c r="K1559" s="3" t="s">
        <v>33</v>
      </c>
      <c r="L1559" s="3"/>
      <c r="M1559" s="3" t="s">
        <v>131</v>
      </c>
      <c r="N1559" s="3" t="str">
        <f>CONCATENATE("PGNNLL55H21H390O")</f>
        <v>PGNNLL55H21H390O</v>
      </c>
      <c r="O1559" s="3" t="s">
        <v>1686</v>
      </c>
      <c r="P1559" s="3" t="s">
        <v>36</v>
      </c>
      <c r="Q1559" s="3"/>
      <c r="R1559" s="4">
        <v>45996</v>
      </c>
      <c r="S1559" s="3" t="s">
        <v>37</v>
      </c>
      <c r="T1559" s="3" t="s">
        <v>38</v>
      </c>
      <c r="U1559" s="3" t="s">
        <v>39</v>
      </c>
      <c r="V1559" s="3">
        <v>289.37</v>
      </c>
      <c r="W1559" s="3">
        <v>122.98</v>
      </c>
      <c r="X1559" s="3">
        <v>116.47</v>
      </c>
      <c r="Y1559" s="3">
        <v>49.92</v>
      </c>
    </row>
    <row r="1560" spans="1:25" ht="60.75" x14ac:dyDescent="0.25">
      <c r="A1560" s="3" t="s">
        <v>26</v>
      </c>
      <c r="B1560" s="3" t="s">
        <v>27</v>
      </c>
      <c r="C1560" s="3" t="s">
        <v>28</v>
      </c>
      <c r="D1560" s="3" t="s">
        <v>29</v>
      </c>
      <c r="E1560" s="3" t="s">
        <v>182</v>
      </c>
      <c r="F1560" s="3" t="s">
        <v>31</v>
      </c>
      <c r="G1560" s="3" t="s">
        <v>182</v>
      </c>
      <c r="H1560" s="3" t="s">
        <v>45</v>
      </c>
      <c r="I1560" s="3">
        <v>2025</v>
      </c>
      <c r="J1560" s="3" t="str">
        <f>CONCATENATE("54820086889")</f>
        <v>54820086889</v>
      </c>
      <c r="K1560" s="3" t="s">
        <v>33</v>
      </c>
      <c r="L1560" s="3"/>
      <c r="M1560" s="3" t="s">
        <v>131</v>
      </c>
      <c r="N1560" s="3" t="str">
        <f>CONCATENATE("CNCFBA71S21I459Z")</f>
        <v>CNCFBA71S21I459Z</v>
      </c>
      <c r="O1560" s="3" t="s">
        <v>1687</v>
      </c>
      <c r="P1560" s="3" t="s">
        <v>36</v>
      </c>
      <c r="Q1560" s="3"/>
      <c r="R1560" s="4">
        <v>45996</v>
      </c>
      <c r="S1560" s="3" t="s">
        <v>37</v>
      </c>
      <c r="T1560" s="3" t="s">
        <v>38</v>
      </c>
      <c r="U1560" s="3" t="s">
        <v>39</v>
      </c>
      <c r="V1560" s="3">
        <v>163.66</v>
      </c>
      <c r="W1560" s="3">
        <v>69.56</v>
      </c>
      <c r="X1560" s="3">
        <v>65.87</v>
      </c>
      <c r="Y1560" s="3">
        <v>28.23</v>
      </c>
    </row>
    <row r="1561" spans="1:25" ht="36.75" x14ac:dyDescent="0.25">
      <c r="A1561" s="3" t="s">
        <v>26</v>
      </c>
      <c r="B1561" s="3" t="s">
        <v>27</v>
      </c>
      <c r="C1561" s="3" t="s">
        <v>28</v>
      </c>
      <c r="D1561" s="3" t="s">
        <v>50</v>
      </c>
      <c r="E1561" s="3" t="s">
        <v>147</v>
      </c>
      <c r="F1561" s="3" t="s">
        <v>52</v>
      </c>
      <c r="G1561" s="3" t="s">
        <v>147</v>
      </c>
      <c r="H1561" s="3" t="s">
        <v>45</v>
      </c>
      <c r="I1561" s="3">
        <v>2025</v>
      </c>
      <c r="J1561" s="3" t="str">
        <f>CONCATENATE("54820099544")</f>
        <v>54820099544</v>
      </c>
      <c r="K1561" s="3" t="s">
        <v>33</v>
      </c>
      <c r="L1561" s="3"/>
      <c r="M1561" s="3" t="s">
        <v>131</v>
      </c>
      <c r="N1561" s="3" t="str">
        <f>CONCATENATE("01487790410")</f>
        <v>01487790410</v>
      </c>
      <c r="O1561" s="3" t="s">
        <v>1688</v>
      </c>
      <c r="P1561" s="3" t="s">
        <v>36</v>
      </c>
      <c r="Q1561" s="3"/>
      <c r="R1561" s="4">
        <v>45996</v>
      </c>
      <c r="S1561" s="3" t="s">
        <v>37</v>
      </c>
      <c r="T1561" s="3" t="s">
        <v>38</v>
      </c>
      <c r="U1561" s="3" t="s">
        <v>39</v>
      </c>
      <c r="V1561" s="3">
        <v>515.17999999999995</v>
      </c>
      <c r="W1561" s="3">
        <v>218.95</v>
      </c>
      <c r="X1561" s="3">
        <v>207.36</v>
      </c>
      <c r="Y1561" s="3">
        <v>88.87</v>
      </c>
    </row>
    <row r="1562" spans="1:25" ht="60.75" x14ac:dyDescent="0.25">
      <c r="A1562" s="3" t="s">
        <v>26</v>
      </c>
      <c r="B1562" s="3" t="s">
        <v>27</v>
      </c>
      <c r="C1562" s="3" t="s">
        <v>28</v>
      </c>
      <c r="D1562" s="3" t="s">
        <v>29</v>
      </c>
      <c r="E1562" s="3" t="s">
        <v>56</v>
      </c>
      <c r="F1562" s="3" t="s">
        <v>31</v>
      </c>
      <c r="G1562" s="3" t="s">
        <v>56</v>
      </c>
      <c r="H1562" s="3" t="s">
        <v>32</v>
      </c>
      <c r="I1562" s="3">
        <v>2025</v>
      </c>
      <c r="J1562" s="3" t="str">
        <f>CONCATENATE("54820042114")</f>
        <v>54820042114</v>
      </c>
      <c r="K1562" s="3" t="s">
        <v>33</v>
      </c>
      <c r="L1562" s="3"/>
      <c r="M1562" s="3" t="s">
        <v>131</v>
      </c>
      <c r="N1562" s="3" t="str">
        <f>CONCATENATE("CRSGLN81T22B474U")</f>
        <v>CRSGLN81T22B474U</v>
      </c>
      <c r="O1562" s="3" t="s">
        <v>1689</v>
      </c>
      <c r="P1562" s="3" t="s">
        <v>36</v>
      </c>
      <c r="Q1562" s="3"/>
      <c r="R1562" s="4">
        <v>45996</v>
      </c>
      <c r="S1562" s="3" t="s">
        <v>37</v>
      </c>
      <c r="T1562" s="3" t="s">
        <v>38</v>
      </c>
      <c r="U1562" s="3" t="s">
        <v>39</v>
      </c>
      <c r="V1562" s="3">
        <v>682.96</v>
      </c>
      <c r="W1562" s="3">
        <v>290.26</v>
      </c>
      <c r="X1562" s="3">
        <v>274.89</v>
      </c>
      <c r="Y1562" s="3">
        <v>117.81</v>
      </c>
    </row>
    <row r="1563" spans="1:25" ht="60.75" x14ac:dyDescent="0.25">
      <c r="A1563" s="3" t="s">
        <v>26</v>
      </c>
      <c r="B1563" s="3" t="s">
        <v>27</v>
      </c>
      <c r="C1563" s="3" t="s">
        <v>28</v>
      </c>
      <c r="D1563" s="3" t="s">
        <v>29</v>
      </c>
      <c r="E1563" s="3" t="s">
        <v>119</v>
      </c>
      <c r="F1563" s="3" t="s">
        <v>31</v>
      </c>
      <c r="G1563" s="3" t="s">
        <v>119</v>
      </c>
      <c r="H1563" s="3" t="s">
        <v>96</v>
      </c>
      <c r="I1563" s="3">
        <v>2025</v>
      </c>
      <c r="J1563" s="3" t="str">
        <f>CONCATENATE("54820068424")</f>
        <v>54820068424</v>
      </c>
      <c r="K1563" s="3" t="s">
        <v>33</v>
      </c>
      <c r="L1563" s="3"/>
      <c r="M1563" s="3" t="s">
        <v>131</v>
      </c>
      <c r="N1563" s="3" t="str">
        <f>CONCATENATE("MSLSST56D16L992V")</f>
        <v>MSLSST56D16L992V</v>
      </c>
      <c r="O1563" s="3" t="s">
        <v>1690</v>
      </c>
      <c r="P1563" s="3" t="s">
        <v>36</v>
      </c>
      <c r="Q1563" s="3"/>
      <c r="R1563" s="4">
        <v>45996</v>
      </c>
      <c r="S1563" s="3" t="s">
        <v>37</v>
      </c>
      <c r="T1563" s="3" t="s">
        <v>38</v>
      </c>
      <c r="U1563" s="3" t="s">
        <v>39</v>
      </c>
      <c r="V1563" s="3">
        <v>414.69</v>
      </c>
      <c r="W1563" s="3">
        <v>176.24</v>
      </c>
      <c r="X1563" s="3">
        <v>166.91</v>
      </c>
      <c r="Y1563" s="3">
        <v>71.540000000000006</v>
      </c>
    </row>
    <row r="1564" spans="1:25" ht="60.75" x14ac:dyDescent="0.25">
      <c r="A1564" s="3" t="s">
        <v>26</v>
      </c>
      <c r="B1564" s="3" t="s">
        <v>27</v>
      </c>
      <c r="C1564" s="3" t="s">
        <v>28</v>
      </c>
      <c r="D1564" s="3" t="s">
        <v>50</v>
      </c>
      <c r="E1564" s="3" t="s">
        <v>173</v>
      </c>
      <c r="F1564" s="3" t="s">
        <v>52</v>
      </c>
      <c r="G1564" s="3" t="s">
        <v>173</v>
      </c>
      <c r="H1564" s="3" t="s">
        <v>45</v>
      </c>
      <c r="I1564" s="3">
        <v>2025</v>
      </c>
      <c r="J1564" s="3" t="str">
        <f>CONCATENATE("54820048566")</f>
        <v>54820048566</v>
      </c>
      <c r="K1564" s="3" t="s">
        <v>33</v>
      </c>
      <c r="L1564" s="3"/>
      <c r="M1564" s="3" t="s">
        <v>131</v>
      </c>
      <c r="N1564" s="3" t="str">
        <f>CONCATENATE("BLDBRN49A28F467N")</f>
        <v>BLDBRN49A28F467N</v>
      </c>
      <c r="O1564" s="3" t="s">
        <v>1691</v>
      </c>
      <c r="P1564" s="3" t="s">
        <v>36</v>
      </c>
      <c r="Q1564" s="3"/>
      <c r="R1564" s="4">
        <v>45996</v>
      </c>
      <c r="S1564" s="3" t="s">
        <v>37</v>
      </c>
      <c r="T1564" s="3" t="s">
        <v>38</v>
      </c>
      <c r="U1564" s="3" t="s">
        <v>39</v>
      </c>
      <c r="V1564" s="3">
        <v>274.27</v>
      </c>
      <c r="W1564" s="3">
        <v>116.56</v>
      </c>
      <c r="X1564" s="3">
        <v>110.39</v>
      </c>
      <c r="Y1564" s="3">
        <v>47.32</v>
      </c>
    </row>
    <row r="1565" spans="1:25" ht="60.75" x14ac:dyDescent="0.25">
      <c r="A1565" s="3" t="s">
        <v>26</v>
      </c>
      <c r="B1565" s="3" t="s">
        <v>27</v>
      </c>
      <c r="C1565" s="3" t="s">
        <v>28</v>
      </c>
      <c r="D1565" s="3" t="s">
        <v>40</v>
      </c>
      <c r="E1565" s="3" t="s">
        <v>287</v>
      </c>
      <c r="F1565" s="3" t="s">
        <v>42</v>
      </c>
      <c r="G1565" s="3" t="s">
        <v>287</v>
      </c>
      <c r="H1565" s="3" t="s">
        <v>32</v>
      </c>
      <c r="I1565" s="3">
        <v>2025</v>
      </c>
      <c r="J1565" s="3" t="str">
        <f>CONCATENATE("54820014766")</f>
        <v>54820014766</v>
      </c>
      <c r="K1565" s="3" t="s">
        <v>33</v>
      </c>
      <c r="L1565" s="3"/>
      <c r="M1565" s="3" t="s">
        <v>131</v>
      </c>
      <c r="N1565" s="3" t="str">
        <f>CONCATENATE("BLDSFN61T26B474F")</f>
        <v>BLDSFN61T26B474F</v>
      </c>
      <c r="O1565" s="3" t="s">
        <v>1692</v>
      </c>
      <c r="P1565" s="3" t="s">
        <v>36</v>
      </c>
      <c r="Q1565" s="3"/>
      <c r="R1565" s="4">
        <v>45996</v>
      </c>
      <c r="S1565" s="3" t="s">
        <v>37</v>
      </c>
      <c r="T1565" s="3" t="s">
        <v>38</v>
      </c>
      <c r="U1565" s="3" t="s">
        <v>39</v>
      </c>
      <c r="V1565" s="3">
        <v>178.49</v>
      </c>
      <c r="W1565" s="3">
        <v>75.86</v>
      </c>
      <c r="X1565" s="3">
        <v>71.84</v>
      </c>
      <c r="Y1565" s="3">
        <v>30.79</v>
      </c>
    </row>
    <row r="1566" spans="1:25" ht="60.75" x14ac:dyDescent="0.25">
      <c r="A1566" s="3" t="s">
        <v>26</v>
      </c>
      <c r="B1566" s="3" t="s">
        <v>27</v>
      </c>
      <c r="C1566" s="3" t="s">
        <v>28</v>
      </c>
      <c r="D1566" s="3" t="s">
        <v>29</v>
      </c>
      <c r="E1566" s="3" t="s">
        <v>119</v>
      </c>
      <c r="F1566" s="3" t="s">
        <v>31</v>
      </c>
      <c r="G1566" s="3" t="s">
        <v>119</v>
      </c>
      <c r="H1566" s="3" t="s">
        <v>96</v>
      </c>
      <c r="I1566" s="3">
        <v>2025</v>
      </c>
      <c r="J1566" s="3" t="str">
        <f>CONCATENATE("54820100847")</f>
        <v>54820100847</v>
      </c>
      <c r="K1566" s="3" t="s">
        <v>33</v>
      </c>
      <c r="L1566" s="3"/>
      <c r="M1566" s="3" t="s">
        <v>131</v>
      </c>
      <c r="N1566" s="3" t="str">
        <f>CONCATENATE("FLNMRA76L19A252Y")</f>
        <v>FLNMRA76L19A252Y</v>
      </c>
      <c r="O1566" s="3" t="s">
        <v>1693</v>
      </c>
      <c r="P1566" s="3" t="s">
        <v>36</v>
      </c>
      <c r="Q1566" s="3"/>
      <c r="R1566" s="4">
        <v>45996</v>
      </c>
      <c r="S1566" s="3" t="s">
        <v>37</v>
      </c>
      <c r="T1566" s="3" t="s">
        <v>38</v>
      </c>
      <c r="U1566" s="3" t="s">
        <v>39</v>
      </c>
      <c r="V1566" s="3">
        <v>80.2</v>
      </c>
      <c r="W1566" s="3">
        <v>34.090000000000003</v>
      </c>
      <c r="X1566" s="3">
        <v>32.28</v>
      </c>
      <c r="Y1566" s="3">
        <v>13.83</v>
      </c>
    </row>
    <row r="1567" spans="1:25" ht="60.75" x14ac:dyDescent="0.25">
      <c r="A1567" s="3" t="s">
        <v>26</v>
      </c>
      <c r="B1567" s="3" t="s">
        <v>27</v>
      </c>
      <c r="C1567" s="3" t="s">
        <v>28</v>
      </c>
      <c r="D1567" s="3" t="s">
        <v>50</v>
      </c>
      <c r="E1567" s="3" t="s">
        <v>60</v>
      </c>
      <c r="F1567" s="3" t="s">
        <v>52</v>
      </c>
      <c r="G1567" s="3" t="s">
        <v>60</v>
      </c>
      <c r="H1567" s="3" t="s">
        <v>45</v>
      </c>
      <c r="I1567" s="3">
        <v>2025</v>
      </c>
      <c r="J1567" s="3" t="str">
        <f>CONCATENATE("54820102454")</f>
        <v>54820102454</v>
      </c>
      <c r="K1567" s="3" t="s">
        <v>33</v>
      </c>
      <c r="L1567" s="3"/>
      <c r="M1567" s="3" t="s">
        <v>131</v>
      </c>
      <c r="N1567" s="3" t="str">
        <f>CONCATENATE("BLPSVN59H51B352N")</f>
        <v>BLPSVN59H51B352N</v>
      </c>
      <c r="O1567" s="3" t="s">
        <v>1694</v>
      </c>
      <c r="P1567" s="3" t="s">
        <v>36</v>
      </c>
      <c r="Q1567" s="3"/>
      <c r="R1567" s="4">
        <v>45996</v>
      </c>
      <c r="S1567" s="3" t="s">
        <v>37</v>
      </c>
      <c r="T1567" s="3" t="s">
        <v>38</v>
      </c>
      <c r="U1567" s="3" t="s">
        <v>39</v>
      </c>
      <c r="V1567" s="3">
        <v>123.39</v>
      </c>
      <c r="W1567" s="3">
        <v>52.44</v>
      </c>
      <c r="X1567" s="3">
        <v>49.66</v>
      </c>
      <c r="Y1567" s="3">
        <v>21.29</v>
      </c>
    </row>
    <row r="1568" spans="1:25" ht="60.75" x14ac:dyDescent="0.25">
      <c r="A1568" s="3" t="s">
        <v>26</v>
      </c>
      <c r="B1568" s="3" t="s">
        <v>27</v>
      </c>
      <c r="C1568" s="3" t="s">
        <v>28</v>
      </c>
      <c r="D1568" s="3" t="s">
        <v>50</v>
      </c>
      <c r="E1568" s="3" t="s">
        <v>290</v>
      </c>
      <c r="F1568" s="3" t="s">
        <v>52</v>
      </c>
      <c r="G1568" s="3" t="s">
        <v>290</v>
      </c>
      <c r="H1568" s="3" t="s">
        <v>96</v>
      </c>
      <c r="I1568" s="3">
        <v>2025</v>
      </c>
      <c r="J1568" s="3" t="str">
        <f>CONCATENATE("54820168307")</f>
        <v>54820168307</v>
      </c>
      <c r="K1568" s="3" t="s">
        <v>33</v>
      </c>
      <c r="L1568" s="3"/>
      <c r="M1568" s="3" t="s">
        <v>131</v>
      </c>
      <c r="N1568" s="3" t="str">
        <f>CONCATENATE("CNTLSN98D09I156X")</f>
        <v>CNTLSN98D09I156X</v>
      </c>
      <c r="O1568" s="3" t="s">
        <v>1695</v>
      </c>
      <c r="P1568" s="3" t="s">
        <v>36</v>
      </c>
      <c r="Q1568" s="3"/>
      <c r="R1568" s="4">
        <v>45996</v>
      </c>
      <c r="S1568" s="3" t="s">
        <v>37</v>
      </c>
      <c r="T1568" s="3" t="s">
        <v>38</v>
      </c>
      <c r="U1568" s="3" t="s">
        <v>39</v>
      </c>
      <c r="V1568" s="3">
        <v>113.2</v>
      </c>
      <c r="W1568" s="3">
        <v>48.11</v>
      </c>
      <c r="X1568" s="3">
        <v>45.56</v>
      </c>
      <c r="Y1568" s="3">
        <v>19.53</v>
      </c>
    </row>
    <row r="1569" spans="1:25" ht="60.75" x14ac:dyDescent="0.25">
      <c r="A1569" s="3" t="s">
        <v>26</v>
      </c>
      <c r="B1569" s="3" t="s">
        <v>27</v>
      </c>
      <c r="C1569" s="3" t="s">
        <v>28</v>
      </c>
      <c r="D1569" s="3" t="s">
        <v>29</v>
      </c>
      <c r="E1569" s="3" t="s">
        <v>47</v>
      </c>
      <c r="F1569" s="3" t="s">
        <v>31</v>
      </c>
      <c r="G1569" s="3" t="s">
        <v>47</v>
      </c>
      <c r="H1569" s="3" t="s">
        <v>48</v>
      </c>
      <c r="I1569" s="3">
        <v>2025</v>
      </c>
      <c r="J1569" s="3" t="str">
        <f>CONCATENATE("54820188206")</f>
        <v>54820188206</v>
      </c>
      <c r="K1569" s="3" t="s">
        <v>33</v>
      </c>
      <c r="L1569" s="3"/>
      <c r="M1569" s="3" t="s">
        <v>131</v>
      </c>
      <c r="N1569" s="3" t="str">
        <f>CONCATENATE("BROSML95L11D451T")</f>
        <v>BROSML95L11D451T</v>
      </c>
      <c r="O1569" s="3" t="s">
        <v>1696</v>
      </c>
      <c r="P1569" s="3" t="s">
        <v>36</v>
      </c>
      <c r="Q1569" s="3"/>
      <c r="R1569" s="4">
        <v>45996</v>
      </c>
      <c r="S1569" s="3" t="s">
        <v>37</v>
      </c>
      <c r="T1569" s="3" t="s">
        <v>38</v>
      </c>
      <c r="U1569" s="3" t="s">
        <v>39</v>
      </c>
      <c r="V1569" s="3">
        <v>117.11</v>
      </c>
      <c r="W1569" s="3">
        <v>49.77</v>
      </c>
      <c r="X1569" s="3">
        <v>47.14</v>
      </c>
      <c r="Y1569" s="3">
        <v>20.2</v>
      </c>
    </row>
    <row r="1570" spans="1:25" ht="60.75" x14ac:dyDescent="0.25">
      <c r="A1570" s="3" t="s">
        <v>26</v>
      </c>
      <c r="B1570" s="3" t="s">
        <v>27</v>
      </c>
      <c r="C1570" s="3" t="s">
        <v>28</v>
      </c>
      <c r="D1570" s="3" t="s">
        <v>29</v>
      </c>
      <c r="E1570" s="3" t="s">
        <v>208</v>
      </c>
      <c r="F1570" s="3" t="s">
        <v>31</v>
      </c>
      <c r="G1570" s="3" t="s">
        <v>208</v>
      </c>
      <c r="H1570" s="3" t="s">
        <v>45</v>
      </c>
      <c r="I1570" s="3">
        <v>2025</v>
      </c>
      <c r="J1570" s="3" t="str">
        <f>CONCATENATE("54820171186")</f>
        <v>54820171186</v>
      </c>
      <c r="K1570" s="3" t="s">
        <v>33</v>
      </c>
      <c r="L1570" s="3"/>
      <c r="M1570" s="3" t="s">
        <v>131</v>
      </c>
      <c r="N1570" s="3" t="str">
        <f>CONCATENATE("RMNMTT03L17L500G")</f>
        <v>RMNMTT03L17L500G</v>
      </c>
      <c r="O1570" s="3" t="s">
        <v>1697</v>
      </c>
      <c r="P1570" s="3" t="s">
        <v>36</v>
      </c>
      <c r="Q1570" s="3"/>
      <c r="R1570" s="4">
        <v>45996</v>
      </c>
      <c r="S1570" s="3" t="s">
        <v>37</v>
      </c>
      <c r="T1570" s="3" t="s">
        <v>38</v>
      </c>
      <c r="U1570" s="3" t="s">
        <v>39</v>
      </c>
      <c r="V1570" s="3">
        <v>59.92</v>
      </c>
      <c r="W1570" s="3">
        <v>25.47</v>
      </c>
      <c r="X1570" s="3">
        <v>24.12</v>
      </c>
      <c r="Y1570" s="3">
        <v>10.33</v>
      </c>
    </row>
    <row r="1571" spans="1:25" ht="36.75" x14ac:dyDescent="0.25">
      <c r="A1571" s="3" t="s">
        <v>26</v>
      </c>
      <c r="B1571" s="3" t="s">
        <v>27</v>
      </c>
      <c r="C1571" s="3" t="s">
        <v>28</v>
      </c>
      <c r="D1571" s="3" t="s">
        <v>91</v>
      </c>
      <c r="E1571" s="3" t="s">
        <v>522</v>
      </c>
      <c r="F1571" s="3" t="s">
        <v>93</v>
      </c>
      <c r="G1571" s="3" t="s">
        <v>522</v>
      </c>
      <c r="H1571" s="3" t="s">
        <v>32</v>
      </c>
      <c r="I1571" s="3">
        <v>2025</v>
      </c>
      <c r="J1571" s="3" t="str">
        <f>CONCATENATE("54820179627")</f>
        <v>54820179627</v>
      </c>
      <c r="K1571" s="3" t="s">
        <v>33</v>
      </c>
      <c r="L1571" s="3"/>
      <c r="M1571" s="3" t="s">
        <v>131</v>
      </c>
      <c r="N1571" s="3" t="str">
        <f>CONCATENATE("02090120433")</f>
        <v>02090120433</v>
      </c>
      <c r="O1571" s="3" t="s">
        <v>1698</v>
      </c>
      <c r="P1571" s="3" t="s">
        <v>36</v>
      </c>
      <c r="Q1571" s="3"/>
      <c r="R1571" s="4">
        <v>45996</v>
      </c>
      <c r="S1571" s="3" t="s">
        <v>37</v>
      </c>
      <c r="T1571" s="3" t="s">
        <v>38</v>
      </c>
      <c r="U1571" s="3" t="s">
        <v>39</v>
      </c>
      <c r="V1571" s="5">
        <v>1134.6300000000001</v>
      </c>
      <c r="W1571" s="3">
        <v>482.22</v>
      </c>
      <c r="X1571" s="3">
        <v>456.69</v>
      </c>
      <c r="Y1571" s="3">
        <v>195.72</v>
      </c>
    </row>
    <row r="1572" spans="1:25" ht="36.75" x14ac:dyDescent="0.25">
      <c r="A1572" s="3" t="s">
        <v>26</v>
      </c>
      <c r="B1572" s="3" t="s">
        <v>27</v>
      </c>
      <c r="C1572" s="3" t="s">
        <v>28</v>
      </c>
      <c r="D1572" s="3" t="s">
        <v>29</v>
      </c>
      <c r="E1572" s="3" t="s">
        <v>80</v>
      </c>
      <c r="F1572" s="3" t="s">
        <v>31</v>
      </c>
      <c r="G1572" s="3" t="s">
        <v>80</v>
      </c>
      <c r="H1572" s="3" t="s">
        <v>45</v>
      </c>
      <c r="I1572" s="3">
        <v>2025</v>
      </c>
      <c r="J1572" s="3" t="str">
        <f>CONCATENATE("54820366331")</f>
        <v>54820366331</v>
      </c>
      <c r="K1572" s="3" t="s">
        <v>33</v>
      </c>
      <c r="L1572" s="3"/>
      <c r="M1572" s="3" t="s">
        <v>131</v>
      </c>
      <c r="N1572" s="3" t="str">
        <f>CONCATENATE("00398210419")</f>
        <v>00398210419</v>
      </c>
      <c r="O1572" s="3" t="s">
        <v>1699</v>
      </c>
      <c r="P1572" s="3" t="s">
        <v>36</v>
      </c>
      <c r="Q1572" s="3"/>
      <c r="R1572" s="4">
        <v>45996</v>
      </c>
      <c r="S1572" s="3" t="s">
        <v>37</v>
      </c>
      <c r="T1572" s="3" t="s">
        <v>38</v>
      </c>
      <c r="U1572" s="3" t="s">
        <v>39</v>
      </c>
      <c r="V1572" s="3">
        <v>860.17</v>
      </c>
      <c r="W1572" s="3">
        <v>365.57</v>
      </c>
      <c r="X1572" s="3">
        <v>346.22</v>
      </c>
      <c r="Y1572" s="3">
        <v>148.38</v>
      </c>
    </row>
    <row r="1573" spans="1:25" ht="60.75" x14ac:dyDescent="0.25">
      <c r="A1573" s="3" t="s">
        <v>26</v>
      </c>
      <c r="B1573" s="3" t="s">
        <v>27</v>
      </c>
      <c r="C1573" s="3" t="s">
        <v>28</v>
      </c>
      <c r="D1573" s="3" t="s">
        <v>312</v>
      </c>
      <c r="E1573" s="3" t="s">
        <v>313</v>
      </c>
      <c r="F1573" s="3" t="s">
        <v>314</v>
      </c>
      <c r="G1573" s="3" t="s">
        <v>313</v>
      </c>
      <c r="H1573" s="3" t="s">
        <v>96</v>
      </c>
      <c r="I1573" s="3">
        <v>2025</v>
      </c>
      <c r="J1573" s="3" t="str">
        <f>CONCATENATE("54820284559")</f>
        <v>54820284559</v>
      </c>
      <c r="K1573" s="3" t="s">
        <v>33</v>
      </c>
      <c r="L1573" s="3"/>
      <c r="M1573" s="3" t="s">
        <v>131</v>
      </c>
      <c r="N1573" s="3" t="str">
        <f>CONCATENATE("TCCNDR00C20A252E")</f>
        <v>TCCNDR00C20A252E</v>
      </c>
      <c r="O1573" s="3" t="s">
        <v>1700</v>
      </c>
      <c r="P1573" s="3" t="s">
        <v>36</v>
      </c>
      <c r="Q1573" s="3"/>
      <c r="R1573" s="4">
        <v>45996</v>
      </c>
      <c r="S1573" s="3" t="s">
        <v>37</v>
      </c>
      <c r="T1573" s="3" t="s">
        <v>38</v>
      </c>
      <c r="U1573" s="3" t="s">
        <v>39</v>
      </c>
      <c r="V1573" s="3">
        <v>907.98</v>
      </c>
      <c r="W1573" s="3">
        <v>385.89</v>
      </c>
      <c r="X1573" s="3">
        <v>365.46</v>
      </c>
      <c r="Y1573" s="3">
        <v>156.63</v>
      </c>
    </row>
    <row r="1574" spans="1:25" ht="60.75" x14ac:dyDescent="0.25">
      <c r="A1574" s="3" t="s">
        <v>26</v>
      </c>
      <c r="B1574" s="3" t="s">
        <v>27</v>
      </c>
      <c r="C1574" s="3" t="s">
        <v>28</v>
      </c>
      <c r="D1574" s="3" t="s">
        <v>91</v>
      </c>
      <c r="E1574" s="3" t="s">
        <v>151</v>
      </c>
      <c r="F1574" s="3" t="s">
        <v>93</v>
      </c>
      <c r="G1574" s="3" t="s">
        <v>151</v>
      </c>
      <c r="H1574" s="3" t="s">
        <v>45</v>
      </c>
      <c r="I1574" s="3">
        <v>2025</v>
      </c>
      <c r="J1574" s="3" t="str">
        <f>CONCATENATE("54820221494")</f>
        <v>54820221494</v>
      </c>
      <c r="K1574" s="3" t="s">
        <v>33</v>
      </c>
      <c r="L1574" s="3"/>
      <c r="M1574" s="3" t="s">
        <v>131</v>
      </c>
      <c r="N1574" s="3" t="str">
        <f>CONCATENATE("CRRPLB46L05C920E")</f>
        <v>CRRPLB46L05C920E</v>
      </c>
      <c r="O1574" s="3" t="s">
        <v>1701</v>
      </c>
      <c r="P1574" s="3" t="s">
        <v>36</v>
      </c>
      <c r="Q1574" s="3"/>
      <c r="R1574" s="4">
        <v>45996</v>
      </c>
      <c r="S1574" s="3" t="s">
        <v>37</v>
      </c>
      <c r="T1574" s="3" t="s">
        <v>38</v>
      </c>
      <c r="U1574" s="3" t="s">
        <v>39</v>
      </c>
      <c r="V1574" s="3">
        <v>350.79</v>
      </c>
      <c r="W1574" s="3">
        <v>149.09</v>
      </c>
      <c r="X1574" s="3">
        <v>141.19</v>
      </c>
      <c r="Y1574" s="3">
        <v>60.51</v>
      </c>
    </row>
    <row r="1575" spans="1:25" ht="72.75" x14ac:dyDescent="0.25">
      <c r="A1575" s="3" t="s">
        <v>26</v>
      </c>
      <c r="B1575" s="3" t="s">
        <v>27</v>
      </c>
      <c r="C1575" s="3" t="s">
        <v>28</v>
      </c>
      <c r="D1575" s="3" t="s">
        <v>104</v>
      </c>
      <c r="E1575" s="3" t="s">
        <v>691</v>
      </c>
      <c r="F1575" s="3" t="s">
        <v>104</v>
      </c>
      <c r="G1575" s="3" t="s">
        <v>691</v>
      </c>
      <c r="H1575" s="3" t="s">
        <v>48</v>
      </c>
      <c r="I1575" s="3">
        <v>2025</v>
      </c>
      <c r="J1575" s="3" t="str">
        <f>CONCATENATE("54820367750")</f>
        <v>54820367750</v>
      </c>
      <c r="K1575" s="3" t="s">
        <v>33</v>
      </c>
      <c r="L1575" s="3"/>
      <c r="M1575" s="3" t="s">
        <v>131</v>
      </c>
      <c r="N1575" s="3" t="str">
        <f>CONCATENATE("CMRMRN44C25I653W")</f>
        <v>CMRMRN44C25I653W</v>
      </c>
      <c r="O1575" s="3" t="s">
        <v>1702</v>
      </c>
      <c r="P1575" s="3" t="s">
        <v>36</v>
      </c>
      <c r="Q1575" s="3"/>
      <c r="R1575" s="4">
        <v>45996</v>
      </c>
      <c r="S1575" s="3" t="s">
        <v>37</v>
      </c>
      <c r="T1575" s="3" t="s">
        <v>38</v>
      </c>
      <c r="U1575" s="3" t="s">
        <v>39</v>
      </c>
      <c r="V1575" s="3">
        <v>64.459999999999994</v>
      </c>
      <c r="W1575" s="3">
        <v>27.4</v>
      </c>
      <c r="X1575" s="3">
        <v>25.95</v>
      </c>
      <c r="Y1575" s="3">
        <v>11.11</v>
      </c>
    </row>
    <row r="1576" spans="1:25" ht="60.75" x14ac:dyDescent="0.25">
      <c r="A1576" s="3" t="s">
        <v>26</v>
      </c>
      <c r="B1576" s="3" t="s">
        <v>27</v>
      </c>
      <c r="C1576" s="3" t="s">
        <v>28</v>
      </c>
      <c r="D1576" s="3" t="s">
        <v>29</v>
      </c>
      <c r="E1576" s="3" t="s">
        <v>101</v>
      </c>
      <c r="F1576" s="3" t="s">
        <v>31</v>
      </c>
      <c r="G1576" s="3" t="s">
        <v>101</v>
      </c>
      <c r="H1576" s="3" t="s">
        <v>32</v>
      </c>
      <c r="I1576" s="3">
        <v>2025</v>
      </c>
      <c r="J1576" s="3" t="str">
        <f>CONCATENATE("54820169834")</f>
        <v>54820169834</v>
      </c>
      <c r="K1576" s="3" t="s">
        <v>33</v>
      </c>
      <c r="L1576" s="3"/>
      <c r="M1576" s="3" t="s">
        <v>131</v>
      </c>
      <c r="N1576" s="3" t="str">
        <f>CONCATENATE("CRTBDT54T31B398D")</f>
        <v>CRTBDT54T31B398D</v>
      </c>
      <c r="O1576" s="3" t="s">
        <v>1703</v>
      </c>
      <c r="P1576" s="3" t="s">
        <v>36</v>
      </c>
      <c r="Q1576" s="3"/>
      <c r="R1576" s="4">
        <v>45996</v>
      </c>
      <c r="S1576" s="3" t="s">
        <v>37</v>
      </c>
      <c r="T1576" s="3" t="s">
        <v>38</v>
      </c>
      <c r="U1576" s="3" t="s">
        <v>39</v>
      </c>
      <c r="V1576" s="3">
        <v>292.81</v>
      </c>
      <c r="W1576" s="3">
        <v>124.44</v>
      </c>
      <c r="X1576" s="3">
        <v>117.86</v>
      </c>
      <c r="Y1576" s="3">
        <v>50.51</v>
      </c>
    </row>
    <row r="1577" spans="1:25" ht="36.75" x14ac:dyDescent="0.25">
      <c r="A1577" s="3" t="s">
        <v>26</v>
      </c>
      <c r="B1577" s="3" t="s">
        <v>27</v>
      </c>
      <c r="C1577" s="3" t="s">
        <v>28</v>
      </c>
      <c r="D1577" s="3" t="s">
        <v>40</v>
      </c>
      <c r="E1577" s="3" t="s">
        <v>218</v>
      </c>
      <c r="F1577" s="3" t="s">
        <v>42</v>
      </c>
      <c r="G1577" s="3" t="s">
        <v>218</v>
      </c>
      <c r="H1577" s="3" t="s">
        <v>45</v>
      </c>
      <c r="I1577" s="3">
        <v>2025</v>
      </c>
      <c r="J1577" s="3" t="str">
        <f>CONCATENATE("54820365812")</f>
        <v>54820365812</v>
      </c>
      <c r="K1577" s="3" t="s">
        <v>33</v>
      </c>
      <c r="L1577" s="3"/>
      <c r="M1577" s="3" t="s">
        <v>131</v>
      </c>
      <c r="N1577" s="3" t="str">
        <f>CONCATENATE("02686020419")</f>
        <v>02686020419</v>
      </c>
      <c r="O1577" s="3" t="s">
        <v>1704</v>
      </c>
      <c r="P1577" s="3" t="s">
        <v>36</v>
      </c>
      <c r="Q1577" s="3"/>
      <c r="R1577" s="4">
        <v>45996</v>
      </c>
      <c r="S1577" s="3" t="s">
        <v>37</v>
      </c>
      <c r="T1577" s="3" t="s">
        <v>38</v>
      </c>
      <c r="U1577" s="3" t="s">
        <v>39</v>
      </c>
      <c r="V1577" s="3">
        <v>531.79</v>
      </c>
      <c r="W1577" s="3">
        <v>226.01</v>
      </c>
      <c r="X1577" s="3">
        <v>214.05</v>
      </c>
      <c r="Y1577" s="3">
        <v>91.73</v>
      </c>
    </row>
    <row r="1578" spans="1:25" ht="60.75" x14ac:dyDescent="0.25">
      <c r="A1578" s="3" t="s">
        <v>26</v>
      </c>
      <c r="B1578" s="3" t="s">
        <v>27</v>
      </c>
      <c r="C1578" s="3" t="s">
        <v>28</v>
      </c>
      <c r="D1578" s="3" t="s">
        <v>29</v>
      </c>
      <c r="E1578" s="3" t="s">
        <v>72</v>
      </c>
      <c r="F1578" s="3" t="s">
        <v>31</v>
      </c>
      <c r="G1578" s="3" t="s">
        <v>72</v>
      </c>
      <c r="H1578" s="3" t="s">
        <v>45</v>
      </c>
      <c r="I1578" s="3">
        <v>2025</v>
      </c>
      <c r="J1578" s="3" t="str">
        <f>CONCATENATE("54820189071")</f>
        <v>54820189071</v>
      </c>
      <c r="K1578" s="3" t="s">
        <v>33</v>
      </c>
      <c r="L1578" s="3"/>
      <c r="M1578" s="3" t="s">
        <v>131</v>
      </c>
      <c r="N1578" s="3" t="str">
        <f>CONCATENATE("BTUCCT45R70I537C")</f>
        <v>BTUCCT45R70I537C</v>
      </c>
      <c r="O1578" s="3" t="s">
        <v>1705</v>
      </c>
      <c r="P1578" s="3" t="s">
        <v>36</v>
      </c>
      <c r="Q1578" s="3"/>
      <c r="R1578" s="4">
        <v>45996</v>
      </c>
      <c r="S1578" s="3" t="s">
        <v>37</v>
      </c>
      <c r="T1578" s="3" t="s">
        <v>38</v>
      </c>
      <c r="U1578" s="3" t="s">
        <v>39</v>
      </c>
      <c r="V1578" s="3">
        <v>414.57</v>
      </c>
      <c r="W1578" s="3">
        <v>176.19</v>
      </c>
      <c r="X1578" s="3">
        <v>166.86</v>
      </c>
      <c r="Y1578" s="3">
        <v>71.52</v>
      </c>
    </row>
    <row r="1579" spans="1:25" ht="60.75" x14ac:dyDescent="0.25">
      <c r="A1579" s="3" t="s">
        <v>26</v>
      </c>
      <c r="B1579" s="3" t="s">
        <v>27</v>
      </c>
      <c r="C1579" s="3" t="s">
        <v>28</v>
      </c>
      <c r="D1579" s="3" t="s">
        <v>29</v>
      </c>
      <c r="E1579" s="3" t="s">
        <v>228</v>
      </c>
      <c r="F1579" s="3" t="s">
        <v>31</v>
      </c>
      <c r="G1579" s="3" t="s">
        <v>228</v>
      </c>
      <c r="H1579" s="3" t="s">
        <v>45</v>
      </c>
      <c r="I1579" s="3">
        <v>2025</v>
      </c>
      <c r="J1579" s="3" t="str">
        <f>CONCATENATE("54820168117")</f>
        <v>54820168117</v>
      </c>
      <c r="K1579" s="3" t="s">
        <v>33</v>
      </c>
      <c r="L1579" s="3"/>
      <c r="M1579" s="3" t="s">
        <v>131</v>
      </c>
      <c r="N1579" s="3" t="str">
        <f>CONCATENATE("MLTDNS83A11L500D")</f>
        <v>MLTDNS83A11L500D</v>
      </c>
      <c r="O1579" s="3" t="s">
        <v>1706</v>
      </c>
      <c r="P1579" s="3" t="s">
        <v>36</v>
      </c>
      <c r="Q1579" s="3"/>
      <c r="R1579" s="4">
        <v>45996</v>
      </c>
      <c r="S1579" s="3" t="s">
        <v>37</v>
      </c>
      <c r="T1579" s="3" t="s">
        <v>38</v>
      </c>
      <c r="U1579" s="3" t="s">
        <v>39</v>
      </c>
      <c r="V1579" s="3">
        <v>394.04</v>
      </c>
      <c r="W1579" s="3">
        <v>167.47</v>
      </c>
      <c r="X1579" s="3">
        <v>158.6</v>
      </c>
      <c r="Y1579" s="3">
        <v>67.97</v>
      </c>
    </row>
    <row r="1580" spans="1:25" ht="60.75" x14ac:dyDescent="0.25">
      <c r="A1580" s="3" t="s">
        <v>26</v>
      </c>
      <c r="B1580" s="3" t="s">
        <v>27</v>
      </c>
      <c r="C1580" s="3" t="s">
        <v>28</v>
      </c>
      <c r="D1580" s="3" t="s">
        <v>104</v>
      </c>
      <c r="E1580" s="3" t="s">
        <v>141</v>
      </c>
      <c r="F1580" s="3" t="s">
        <v>104</v>
      </c>
      <c r="G1580" s="3" t="s">
        <v>141</v>
      </c>
      <c r="H1580" s="3" t="s">
        <v>96</v>
      </c>
      <c r="I1580" s="3">
        <v>2025</v>
      </c>
      <c r="J1580" s="3" t="str">
        <f>CONCATENATE("54820276902")</f>
        <v>54820276902</v>
      </c>
      <c r="K1580" s="3" t="s">
        <v>33</v>
      </c>
      <c r="L1580" s="3"/>
      <c r="M1580" s="3" t="s">
        <v>131</v>
      </c>
      <c r="N1580" s="3" t="str">
        <f>CONCATENATE("JCHSFN82D10A252Z")</f>
        <v>JCHSFN82D10A252Z</v>
      </c>
      <c r="O1580" s="3" t="s">
        <v>1707</v>
      </c>
      <c r="P1580" s="3" t="s">
        <v>36</v>
      </c>
      <c r="Q1580" s="3"/>
      <c r="R1580" s="4">
        <v>45996</v>
      </c>
      <c r="S1580" s="3" t="s">
        <v>37</v>
      </c>
      <c r="T1580" s="3" t="s">
        <v>38</v>
      </c>
      <c r="U1580" s="3" t="s">
        <v>39</v>
      </c>
      <c r="V1580" s="3">
        <v>144.19</v>
      </c>
      <c r="W1580" s="3">
        <v>61.28</v>
      </c>
      <c r="X1580" s="3">
        <v>58.04</v>
      </c>
      <c r="Y1580" s="3">
        <v>24.87</v>
      </c>
    </row>
    <row r="1581" spans="1:25" ht="60.75" x14ac:dyDescent="0.25">
      <c r="A1581" s="3" t="s">
        <v>26</v>
      </c>
      <c r="B1581" s="3" t="s">
        <v>27</v>
      </c>
      <c r="C1581" s="3" t="s">
        <v>28</v>
      </c>
      <c r="D1581" s="3" t="s">
        <v>104</v>
      </c>
      <c r="E1581" s="3" t="s">
        <v>141</v>
      </c>
      <c r="F1581" s="3" t="s">
        <v>104</v>
      </c>
      <c r="G1581" s="3" t="s">
        <v>141</v>
      </c>
      <c r="H1581" s="3" t="s">
        <v>96</v>
      </c>
      <c r="I1581" s="3">
        <v>2025</v>
      </c>
      <c r="J1581" s="3" t="str">
        <f>CONCATENATE("54820276951")</f>
        <v>54820276951</v>
      </c>
      <c r="K1581" s="3" t="s">
        <v>33</v>
      </c>
      <c r="L1581" s="3"/>
      <c r="M1581" s="3" t="s">
        <v>131</v>
      </c>
      <c r="N1581" s="3" t="str">
        <f>CONCATENATE("BRLLMR70L24A252K")</f>
        <v>BRLLMR70L24A252K</v>
      </c>
      <c r="O1581" s="3" t="s">
        <v>1708</v>
      </c>
      <c r="P1581" s="3" t="s">
        <v>36</v>
      </c>
      <c r="Q1581" s="3"/>
      <c r="R1581" s="4">
        <v>45996</v>
      </c>
      <c r="S1581" s="3" t="s">
        <v>37</v>
      </c>
      <c r="T1581" s="3" t="s">
        <v>38</v>
      </c>
      <c r="U1581" s="3" t="s">
        <v>39</v>
      </c>
      <c r="V1581" s="3">
        <v>56.03</v>
      </c>
      <c r="W1581" s="3">
        <v>23.81</v>
      </c>
      <c r="X1581" s="3">
        <v>22.55</v>
      </c>
      <c r="Y1581" s="3">
        <v>9.67</v>
      </c>
    </row>
    <row r="1582" spans="1:25" ht="60.75" x14ac:dyDescent="0.25">
      <c r="A1582" s="3" t="s">
        <v>26</v>
      </c>
      <c r="B1582" s="3" t="s">
        <v>27</v>
      </c>
      <c r="C1582" s="3" t="s">
        <v>28</v>
      </c>
      <c r="D1582" s="3" t="s">
        <v>50</v>
      </c>
      <c r="E1582" s="3" t="s">
        <v>147</v>
      </c>
      <c r="F1582" s="3" t="s">
        <v>52</v>
      </c>
      <c r="G1582" s="3" t="s">
        <v>147</v>
      </c>
      <c r="H1582" s="3" t="s">
        <v>45</v>
      </c>
      <c r="I1582" s="3">
        <v>2025</v>
      </c>
      <c r="J1582" s="3" t="str">
        <f>CONCATENATE("54820175906")</f>
        <v>54820175906</v>
      </c>
      <c r="K1582" s="3" t="s">
        <v>33</v>
      </c>
      <c r="L1582" s="3"/>
      <c r="M1582" s="3" t="s">
        <v>131</v>
      </c>
      <c r="N1582" s="3" t="str">
        <f>CONCATENATE("CNCMRZ68S28I459L")</f>
        <v>CNCMRZ68S28I459L</v>
      </c>
      <c r="O1582" s="3" t="s">
        <v>1709</v>
      </c>
      <c r="P1582" s="3" t="s">
        <v>36</v>
      </c>
      <c r="Q1582" s="3"/>
      <c r="R1582" s="4">
        <v>45996</v>
      </c>
      <c r="S1582" s="3" t="s">
        <v>37</v>
      </c>
      <c r="T1582" s="3" t="s">
        <v>38</v>
      </c>
      <c r="U1582" s="3" t="s">
        <v>39</v>
      </c>
      <c r="V1582" s="3">
        <v>167.34</v>
      </c>
      <c r="W1582" s="3">
        <v>71.12</v>
      </c>
      <c r="X1582" s="3">
        <v>67.349999999999994</v>
      </c>
      <c r="Y1582" s="3">
        <v>28.87</v>
      </c>
    </row>
    <row r="1583" spans="1:25" ht="36.75" x14ac:dyDescent="0.25">
      <c r="A1583" s="3" t="s">
        <v>26</v>
      </c>
      <c r="B1583" s="3" t="s">
        <v>27</v>
      </c>
      <c r="C1583" s="3" t="s">
        <v>28</v>
      </c>
      <c r="D1583" s="3" t="s">
        <v>40</v>
      </c>
      <c r="E1583" s="3" t="s">
        <v>99</v>
      </c>
      <c r="F1583" s="3" t="s">
        <v>42</v>
      </c>
      <c r="G1583" s="3" t="s">
        <v>99</v>
      </c>
      <c r="H1583" s="3" t="s">
        <v>32</v>
      </c>
      <c r="I1583" s="3">
        <v>2025</v>
      </c>
      <c r="J1583" s="3" t="str">
        <f>CONCATENATE("54820269733")</f>
        <v>54820269733</v>
      </c>
      <c r="K1583" s="3" t="s">
        <v>33</v>
      </c>
      <c r="L1583" s="3"/>
      <c r="M1583" s="3" t="s">
        <v>131</v>
      </c>
      <c r="N1583" s="3" t="str">
        <f>CONCATENATE("01990470435")</f>
        <v>01990470435</v>
      </c>
      <c r="O1583" s="3" t="s">
        <v>1710</v>
      </c>
      <c r="P1583" s="3" t="s">
        <v>36</v>
      </c>
      <c r="Q1583" s="3"/>
      <c r="R1583" s="4">
        <v>45996</v>
      </c>
      <c r="S1583" s="3" t="s">
        <v>37</v>
      </c>
      <c r="T1583" s="3" t="s">
        <v>38</v>
      </c>
      <c r="U1583" s="3" t="s">
        <v>39</v>
      </c>
      <c r="V1583" s="3">
        <v>81.319999999999993</v>
      </c>
      <c r="W1583" s="3">
        <v>34.56</v>
      </c>
      <c r="X1583" s="3">
        <v>32.729999999999997</v>
      </c>
      <c r="Y1583" s="3">
        <v>14.03</v>
      </c>
    </row>
    <row r="1584" spans="1:25" ht="60.75" x14ac:dyDescent="0.25">
      <c r="A1584" s="3" t="s">
        <v>26</v>
      </c>
      <c r="B1584" s="3" t="s">
        <v>27</v>
      </c>
      <c r="C1584" s="3" t="s">
        <v>28</v>
      </c>
      <c r="D1584" s="3" t="s">
        <v>50</v>
      </c>
      <c r="E1584" s="3" t="s">
        <v>147</v>
      </c>
      <c r="F1584" s="3" t="s">
        <v>52</v>
      </c>
      <c r="G1584" s="3" t="s">
        <v>147</v>
      </c>
      <c r="H1584" s="3" t="s">
        <v>45</v>
      </c>
      <c r="I1584" s="3">
        <v>2025</v>
      </c>
      <c r="J1584" s="3" t="str">
        <f>CONCATENATE("54820188719")</f>
        <v>54820188719</v>
      </c>
      <c r="K1584" s="3" t="s">
        <v>33</v>
      </c>
      <c r="L1584" s="3"/>
      <c r="M1584" s="3" t="s">
        <v>131</v>
      </c>
      <c r="N1584" s="3" t="str">
        <f>CONCATENATE("MTTMRZ60B15L500U")</f>
        <v>MTTMRZ60B15L500U</v>
      </c>
      <c r="O1584" s="3" t="s">
        <v>1711</v>
      </c>
      <c r="P1584" s="3" t="s">
        <v>36</v>
      </c>
      <c r="Q1584" s="3"/>
      <c r="R1584" s="4">
        <v>45996</v>
      </c>
      <c r="S1584" s="3" t="s">
        <v>37</v>
      </c>
      <c r="T1584" s="3" t="s">
        <v>38</v>
      </c>
      <c r="U1584" s="3" t="s">
        <v>39</v>
      </c>
      <c r="V1584" s="3">
        <v>414.93</v>
      </c>
      <c r="W1584" s="3">
        <v>176.35</v>
      </c>
      <c r="X1584" s="3">
        <v>167.01</v>
      </c>
      <c r="Y1584" s="3">
        <v>71.569999999999993</v>
      </c>
    </row>
    <row r="1585" spans="1:25" ht="60.75" x14ac:dyDescent="0.25">
      <c r="A1585" s="3" t="s">
        <v>26</v>
      </c>
      <c r="B1585" s="3" t="s">
        <v>27</v>
      </c>
      <c r="C1585" s="3" t="s">
        <v>28</v>
      </c>
      <c r="D1585" s="3" t="s">
        <v>91</v>
      </c>
      <c r="E1585" s="3" t="s">
        <v>151</v>
      </c>
      <c r="F1585" s="3" t="s">
        <v>93</v>
      </c>
      <c r="G1585" s="3" t="s">
        <v>151</v>
      </c>
      <c r="H1585" s="3" t="s">
        <v>45</v>
      </c>
      <c r="I1585" s="3">
        <v>2025</v>
      </c>
      <c r="J1585" s="3" t="str">
        <f>CONCATENATE("54820210851")</f>
        <v>54820210851</v>
      </c>
      <c r="K1585" s="3" t="s">
        <v>33</v>
      </c>
      <c r="L1585" s="3"/>
      <c r="M1585" s="3" t="s">
        <v>131</v>
      </c>
      <c r="N1585" s="3" t="str">
        <f>CONCATENATE("NGLGLI68R17G453U")</f>
        <v>NGLGLI68R17G453U</v>
      </c>
      <c r="O1585" s="3" t="s">
        <v>1712</v>
      </c>
      <c r="P1585" s="3" t="s">
        <v>36</v>
      </c>
      <c r="Q1585" s="3"/>
      <c r="R1585" s="4">
        <v>45996</v>
      </c>
      <c r="S1585" s="3" t="s">
        <v>37</v>
      </c>
      <c r="T1585" s="3" t="s">
        <v>38</v>
      </c>
      <c r="U1585" s="3" t="s">
        <v>39</v>
      </c>
      <c r="V1585" s="3">
        <v>377.24</v>
      </c>
      <c r="W1585" s="3">
        <v>160.33000000000001</v>
      </c>
      <c r="X1585" s="3">
        <v>151.84</v>
      </c>
      <c r="Y1585" s="3">
        <v>65.069999999999993</v>
      </c>
    </row>
    <row r="1586" spans="1:25" ht="60.75" x14ac:dyDescent="0.25">
      <c r="A1586" s="3" t="s">
        <v>26</v>
      </c>
      <c r="B1586" s="3" t="s">
        <v>27</v>
      </c>
      <c r="C1586" s="3" t="s">
        <v>28</v>
      </c>
      <c r="D1586" s="3" t="s">
        <v>29</v>
      </c>
      <c r="E1586" s="3" t="s">
        <v>47</v>
      </c>
      <c r="F1586" s="3" t="s">
        <v>31</v>
      </c>
      <c r="G1586" s="3" t="s">
        <v>47</v>
      </c>
      <c r="H1586" s="3" t="s">
        <v>48</v>
      </c>
      <c r="I1586" s="3">
        <v>2025</v>
      </c>
      <c r="J1586" s="3" t="str">
        <f>CONCATENATE("54820279815")</f>
        <v>54820279815</v>
      </c>
      <c r="K1586" s="3" t="s">
        <v>33</v>
      </c>
      <c r="L1586" s="3"/>
      <c r="M1586" s="3" t="s">
        <v>131</v>
      </c>
      <c r="N1586" s="3" t="str">
        <f>CONCATENATE("CRSLRD57H58D965E")</f>
        <v>CRSLRD57H58D965E</v>
      </c>
      <c r="O1586" s="3" t="s">
        <v>1713</v>
      </c>
      <c r="P1586" s="3" t="s">
        <v>36</v>
      </c>
      <c r="Q1586" s="3"/>
      <c r="R1586" s="4">
        <v>45996</v>
      </c>
      <c r="S1586" s="3" t="s">
        <v>37</v>
      </c>
      <c r="T1586" s="3" t="s">
        <v>38</v>
      </c>
      <c r="U1586" s="3" t="s">
        <v>39</v>
      </c>
      <c r="V1586" s="3">
        <v>99.18</v>
      </c>
      <c r="W1586" s="3">
        <v>42.15</v>
      </c>
      <c r="X1586" s="3">
        <v>39.92</v>
      </c>
      <c r="Y1586" s="3">
        <v>17.11</v>
      </c>
    </row>
    <row r="1587" spans="1:25" ht="36.75" x14ac:dyDescent="0.25">
      <c r="A1587" s="3" t="s">
        <v>26</v>
      </c>
      <c r="B1587" s="3" t="s">
        <v>27</v>
      </c>
      <c r="C1587" s="3" t="s">
        <v>28</v>
      </c>
      <c r="D1587" s="3" t="s">
        <v>29</v>
      </c>
      <c r="E1587" s="3" t="s">
        <v>904</v>
      </c>
      <c r="F1587" s="3" t="s">
        <v>31</v>
      </c>
      <c r="G1587" s="3" t="s">
        <v>904</v>
      </c>
      <c r="H1587" s="3" t="s">
        <v>32</v>
      </c>
      <c r="I1587" s="3">
        <v>2025</v>
      </c>
      <c r="J1587" s="3" t="str">
        <f>CONCATENATE("54820207733")</f>
        <v>54820207733</v>
      </c>
      <c r="K1587" s="3" t="s">
        <v>33</v>
      </c>
      <c r="L1587" s="3"/>
      <c r="M1587" s="3" t="s">
        <v>131</v>
      </c>
      <c r="N1587" s="3" t="str">
        <f>CONCATENATE("03733790541")</f>
        <v>03733790541</v>
      </c>
      <c r="O1587" s="3" t="s">
        <v>1714</v>
      </c>
      <c r="P1587" s="3" t="s">
        <v>36</v>
      </c>
      <c r="Q1587" s="3"/>
      <c r="R1587" s="4">
        <v>45996</v>
      </c>
      <c r="S1587" s="3" t="s">
        <v>37</v>
      </c>
      <c r="T1587" s="3" t="s">
        <v>38</v>
      </c>
      <c r="U1587" s="3" t="s">
        <v>39</v>
      </c>
      <c r="V1587" s="3">
        <v>121.06</v>
      </c>
      <c r="W1587" s="3">
        <v>51.45</v>
      </c>
      <c r="X1587" s="3">
        <v>48.73</v>
      </c>
      <c r="Y1587" s="3">
        <v>20.88</v>
      </c>
    </row>
    <row r="1588" spans="1:25" ht="60.75" x14ac:dyDescent="0.25">
      <c r="A1588" s="3" t="s">
        <v>26</v>
      </c>
      <c r="B1588" s="3" t="s">
        <v>27</v>
      </c>
      <c r="C1588" s="3" t="s">
        <v>28</v>
      </c>
      <c r="D1588" s="3" t="s">
        <v>50</v>
      </c>
      <c r="E1588" s="3" t="s">
        <v>60</v>
      </c>
      <c r="F1588" s="3" t="s">
        <v>52</v>
      </c>
      <c r="G1588" s="3" t="s">
        <v>60</v>
      </c>
      <c r="H1588" s="3" t="s">
        <v>45</v>
      </c>
      <c r="I1588" s="3">
        <v>2025</v>
      </c>
      <c r="J1588" s="3" t="str">
        <f>CONCATENATE("54820215587")</f>
        <v>54820215587</v>
      </c>
      <c r="K1588" s="3" t="s">
        <v>33</v>
      </c>
      <c r="L1588" s="3"/>
      <c r="M1588" s="3" t="s">
        <v>131</v>
      </c>
      <c r="N1588" s="3" t="str">
        <f>CONCATENATE("LNESFN65P30L498P")</f>
        <v>LNESFN65P30L498P</v>
      </c>
      <c r="O1588" s="3" t="s">
        <v>1715</v>
      </c>
      <c r="P1588" s="3" t="s">
        <v>36</v>
      </c>
      <c r="Q1588" s="3"/>
      <c r="R1588" s="4">
        <v>45996</v>
      </c>
      <c r="S1588" s="3" t="s">
        <v>37</v>
      </c>
      <c r="T1588" s="3" t="s">
        <v>38</v>
      </c>
      <c r="U1588" s="3" t="s">
        <v>39</v>
      </c>
      <c r="V1588" s="3">
        <v>472.87</v>
      </c>
      <c r="W1588" s="3">
        <v>200.97</v>
      </c>
      <c r="X1588" s="3">
        <v>190.33</v>
      </c>
      <c r="Y1588" s="3">
        <v>81.569999999999993</v>
      </c>
    </row>
    <row r="1589" spans="1:25" ht="36.75" x14ac:dyDescent="0.25">
      <c r="A1589" s="3" t="s">
        <v>26</v>
      </c>
      <c r="B1589" s="3" t="s">
        <v>27</v>
      </c>
      <c r="C1589" s="3" t="s">
        <v>28</v>
      </c>
      <c r="D1589" s="3" t="s">
        <v>29</v>
      </c>
      <c r="E1589" s="3" t="s">
        <v>80</v>
      </c>
      <c r="F1589" s="3" t="s">
        <v>31</v>
      </c>
      <c r="G1589" s="3" t="s">
        <v>80</v>
      </c>
      <c r="H1589" s="3" t="s">
        <v>45</v>
      </c>
      <c r="I1589" s="3">
        <v>2025</v>
      </c>
      <c r="J1589" s="3" t="str">
        <f>CONCATENATE("54820180161")</f>
        <v>54820180161</v>
      </c>
      <c r="K1589" s="3" t="s">
        <v>33</v>
      </c>
      <c r="L1589" s="3"/>
      <c r="M1589" s="3" t="s">
        <v>131</v>
      </c>
      <c r="N1589" s="3" t="str">
        <f>CONCATENATE("02528080415")</f>
        <v>02528080415</v>
      </c>
      <c r="O1589" s="3" t="s">
        <v>81</v>
      </c>
      <c r="P1589" s="3" t="s">
        <v>36</v>
      </c>
      <c r="Q1589" s="3"/>
      <c r="R1589" s="4">
        <v>45996</v>
      </c>
      <c r="S1589" s="3" t="s">
        <v>37</v>
      </c>
      <c r="T1589" s="3" t="s">
        <v>38</v>
      </c>
      <c r="U1589" s="3" t="s">
        <v>39</v>
      </c>
      <c r="V1589" s="3">
        <v>734.1</v>
      </c>
      <c r="W1589" s="3">
        <v>311.99</v>
      </c>
      <c r="X1589" s="3">
        <v>295.48</v>
      </c>
      <c r="Y1589" s="3">
        <v>126.63</v>
      </c>
    </row>
    <row r="1590" spans="1:25" ht="36.75" x14ac:dyDescent="0.25">
      <c r="A1590" s="3" t="s">
        <v>26</v>
      </c>
      <c r="B1590" s="3" t="s">
        <v>27</v>
      </c>
      <c r="C1590" s="3" t="s">
        <v>28</v>
      </c>
      <c r="D1590" s="3" t="s">
        <v>50</v>
      </c>
      <c r="E1590" s="3" t="s">
        <v>290</v>
      </c>
      <c r="F1590" s="3" t="s">
        <v>52</v>
      </c>
      <c r="G1590" s="3" t="s">
        <v>290</v>
      </c>
      <c r="H1590" s="3" t="s">
        <v>96</v>
      </c>
      <c r="I1590" s="3">
        <v>2025</v>
      </c>
      <c r="J1590" s="3" t="str">
        <f>CONCATENATE("54820371729")</f>
        <v>54820371729</v>
      </c>
      <c r="K1590" s="3" t="s">
        <v>33</v>
      </c>
      <c r="L1590" s="3"/>
      <c r="M1590" s="3" t="s">
        <v>131</v>
      </c>
      <c r="N1590" s="3" t="str">
        <f>CONCATENATE("01146920440")</f>
        <v>01146920440</v>
      </c>
      <c r="O1590" s="3" t="s">
        <v>1716</v>
      </c>
      <c r="P1590" s="3" t="s">
        <v>36</v>
      </c>
      <c r="Q1590" s="3"/>
      <c r="R1590" s="4">
        <v>45996</v>
      </c>
      <c r="S1590" s="3" t="s">
        <v>37</v>
      </c>
      <c r="T1590" s="3" t="s">
        <v>38</v>
      </c>
      <c r="U1590" s="3" t="s">
        <v>39</v>
      </c>
      <c r="V1590" s="3">
        <v>213.15</v>
      </c>
      <c r="W1590" s="3">
        <v>90.59</v>
      </c>
      <c r="X1590" s="3">
        <v>85.79</v>
      </c>
      <c r="Y1590" s="3">
        <v>36.770000000000003</v>
      </c>
    </row>
    <row r="1591" spans="1:25" ht="60.75" x14ac:dyDescent="0.25">
      <c r="A1591" s="3" t="s">
        <v>26</v>
      </c>
      <c r="B1591" s="3" t="s">
        <v>27</v>
      </c>
      <c r="C1591" s="3" t="s">
        <v>28</v>
      </c>
      <c r="D1591" s="3" t="s">
        <v>50</v>
      </c>
      <c r="E1591" s="3" t="s">
        <v>147</v>
      </c>
      <c r="F1591" s="3" t="s">
        <v>52</v>
      </c>
      <c r="G1591" s="3" t="s">
        <v>147</v>
      </c>
      <c r="H1591" s="3" t="s">
        <v>45</v>
      </c>
      <c r="I1591" s="3">
        <v>2025</v>
      </c>
      <c r="J1591" s="3" t="str">
        <f>CONCATENATE("54820177829")</f>
        <v>54820177829</v>
      </c>
      <c r="K1591" s="3" t="s">
        <v>33</v>
      </c>
      <c r="L1591" s="3"/>
      <c r="M1591" s="3" t="s">
        <v>131</v>
      </c>
      <c r="N1591" s="3" t="str">
        <f>CONCATENATE("CCCDNT53C29I459L")</f>
        <v>CCCDNT53C29I459L</v>
      </c>
      <c r="O1591" s="3" t="s">
        <v>1717</v>
      </c>
      <c r="P1591" s="3" t="s">
        <v>36</v>
      </c>
      <c r="Q1591" s="3"/>
      <c r="R1591" s="4">
        <v>45996</v>
      </c>
      <c r="S1591" s="3" t="s">
        <v>37</v>
      </c>
      <c r="T1591" s="3" t="s">
        <v>38</v>
      </c>
      <c r="U1591" s="3" t="s">
        <v>39</v>
      </c>
      <c r="V1591" s="3">
        <v>55.44</v>
      </c>
      <c r="W1591" s="3">
        <v>23.56</v>
      </c>
      <c r="X1591" s="3">
        <v>22.31</v>
      </c>
      <c r="Y1591" s="3">
        <v>9.57</v>
      </c>
    </row>
    <row r="1592" spans="1:25" ht="60.75" x14ac:dyDescent="0.25">
      <c r="A1592" s="3" t="s">
        <v>26</v>
      </c>
      <c r="B1592" s="3" t="s">
        <v>27</v>
      </c>
      <c r="C1592" s="3" t="s">
        <v>28</v>
      </c>
      <c r="D1592" s="3" t="s">
        <v>50</v>
      </c>
      <c r="E1592" s="3" t="s">
        <v>51</v>
      </c>
      <c r="F1592" s="3" t="s">
        <v>52</v>
      </c>
      <c r="G1592" s="3" t="s">
        <v>51</v>
      </c>
      <c r="H1592" s="3" t="s">
        <v>48</v>
      </c>
      <c r="I1592" s="3">
        <v>2025</v>
      </c>
      <c r="J1592" s="3" t="str">
        <f>CONCATENATE("54820197744")</f>
        <v>54820197744</v>
      </c>
      <c r="K1592" s="3" t="s">
        <v>33</v>
      </c>
      <c r="L1592" s="3"/>
      <c r="M1592" s="3" t="s">
        <v>131</v>
      </c>
      <c r="N1592" s="3" t="str">
        <f>CONCATENATE("LCCGPP51L28D965N")</f>
        <v>LCCGPP51L28D965N</v>
      </c>
      <c r="O1592" s="3" t="s">
        <v>1718</v>
      </c>
      <c r="P1592" s="3" t="s">
        <v>36</v>
      </c>
      <c r="Q1592" s="3"/>
      <c r="R1592" s="4">
        <v>45996</v>
      </c>
      <c r="S1592" s="3" t="s">
        <v>37</v>
      </c>
      <c r="T1592" s="3" t="s">
        <v>38</v>
      </c>
      <c r="U1592" s="3" t="s">
        <v>39</v>
      </c>
      <c r="V1592" s="3">
        <v>179.18</v>
      </c>
      <c r="W1592" s="3">
        <v>76.150000000000006</v>
      </c>
      <c r="X1592" s="3">
        <v>72.12</v>
      </c>
      <c r="Y1592" s="3">
        <v>30.91</v>
      </c>
    </row>
    <row r="1593" spans="1:25" ht="60.75" x14ac:dyDescent="0.25">
      <c r="A1593" s="3" t="s">
        <v>26</v>
      </c>
      <c r="B1593" s="3" t="s">
        <v>27</v>
      </c>
      <c r="C1593" s="3" t="s">
        <v>28</v>
      </c>
      <c r="D1593" s="3" t="s">
        <v>40</v>
      </c>
      <c r="E1593" s="3" t="s">
        <v>287</v>
      </c>
      <c r="F1593" s="3" t="s">
        <v>42</v>
      </c>
      <c r="G1593" s="3" t="s">
        <v>287</v>
      </c>
      <c r="H1593" s="3" t="s">
        <v>32</v>
      </c>
      <c r="I1593" s="3">
        <v>2025</v>
      </c>
      <c r="J1593" s="3" t="str">
        <f>CONCATENATE("54820027750")</f>
        <v>54820027750</v>
      </c>
      <c r="K1593" s="3" t="s">
        <v>33</v>
      </c>
      <c r="L1593" s="3"/>
      <c r="M1593" s="3" t="s">
        <v>131</v>
      </c>
      <c r="N1593" s="3" t="str">
        <f>CONCATENATE("BRBFBA76E01B474C")</f>
        <v>BRBFBA76E01B474C</v>
      </c>
      <c r="O1593" s="3" t="s">
        <v>1719</v>
      </c>
      <c r="P1593" s="3" t="s">
        <v>36</v>
      </c>
      <c r="Q1593" s="3"/>
      <c r="R1593" s="4">
        <v>45996</v>
      </c>
      <c r="S1593" s="3" t="s">
        <v>37</v>
      </c>
      <c r="T1593" s="3" t="s">
        <v>38</v>
      </c>
      <c r="U1593" s="3" t="s">
        <v>39</v>
      </c>
      <c r="V1593" s="5">
        <v>1197.51</v>
      </c>
      <c r="W1593" s="3">
        <v>508.94</v>
      </c>
      <c r="X1593" s="3">
        <v>482</v>
      </c>
      <c r="Y1593" s="3">
        <v>206.57</v>
      </c>
    </row>
    <row r="1594" spans="1:25" ht="72.75" x14ac:dyDescent="0.25">
      <c r="A1594" s="3" t="s">
        <v>26</v>
      </c>
      <c r="B1594" s="3" t="s">
        <v>27</v>
      </c>
      <c r="C1594" s="3" t="s">
        <v>28</v>
      </c>
      <c r="D1594" s="3" t="s">
        <v>29</v>
      </c>
      <c r="E1594" s="3" t="s">
        <v>228</v>
      </c>
      <c r="F1594" s="3" t="s">
        <v>31</v>
      </c>
      <c r="G1594" s="3" t="s">
        <v>228</v>
      </c>
      <c r="H1594" s="3" t="s">
        <v>45</v>
      </c>
      <c r="I1594" s="3">
        <v>2025</v>
      </c>
      <c r="J1594" s="3" t="str">
        <f>CONCATENATE("54820020821")</f>
        <v>54820020821</v>
      </c>
      <c r="K1594" s="3" t="s">
        <v>33</v>
      </c>
      <c r="L1594" s="3"/>
      <c r="M1594" s="3" t="s">
        <v>131</v>
      </c>
      <c r="N1594" s="3" t="str">
        <f>CONCATENATE("BTTNMR42S55D749L")</f>
        <v>BTTNMR42S55D749L</v>
      </c>
      <c r="O1594" s="3" t="s">
        <v>1720</v>
      </c>
      <c r="P1594" s="3" t="s">
        <v>36</v>
      </c>
      <c r="Q1594" s="3"/>
      <c r="R1594" s="4">
        <v>45996</v>
      </c>
      <c r="S1594" s="3" t="s">
        <v>37</v>
      </c>
      <c r="T1594" s="3" t="s">
        <v>38</v>
      </c>
      <c r="U1594" s="3" t="s">
        <v>39</v>
      </c>
      <c r="V1594" s="3">
        <v>155.5</v>
      </c>
      <c r="W1594" s="3">
        <v>66.09</v>
      </c>
      <c r="X1594" s="3">
        <v>62.59</v>
      </c>
      <c r="Y1594" s="3">
        <v>26.82</v>
      </c>
    </row>
    <row r="1595" spans="1:25" ht="60.75" x14ac:dyDescent="0.25">
      <c r="A1595" s="3" t="s">
        <v>26</v>
      </c>
      <c r="B1595" s="3" t="s">
        <v>27</v>
      </c>
      <c r="C1595" s="3" t="s">
        <v>28</v>
      </c>
      <c r="D1595" s="3" t="s">
        <v>29</v>
      </c>
      <c r="E1595" s="3" t="s">
        <v>228</v>
      </c>
      <c r="F1595" s="3" t="s">
        <v>31</v>
      </c>
      <c r="G1595" s="3" t="s">
        <v>228</v>
      </c>
      <c r="H1595" s="3" t="s">
        <v>45</v>
      </c>
      <c r="I1595" s="3">
        <v>2025</v>
      </c>
      <c r="J1595" s="3" t="str">
        <f>CONCATENATE("54820010558")</f>
        <v>54820010558</v>
      </c>
      <c r="K1595" s="3" t="s">
        <v>33</v>
      </c>
      <c r="L1595" s="3"/>
      <c r="M1595" s="3" t="s">
        <v>131</v>
      </c>
      <c r="N1595" s="3" t="str">
        <f>CONCATENATE("RSSGFR41P19F497T")</f>
        <v>RSSGFR41P19F497T</v>
      </c>
      <c r="O1595" s="3" t="s">
        <v>1721</v>
      </c>
      <c r="P1595" s="3" t="s">
        <v>36</v>
      </c>
      <c r="Q1595" s="3"/>
      <c r="R1595" s="4">
        <v>45996</v>
      </c>
      <c r="S1595" s="3" t="s">
        <v>37</v>
      </c>
      <c r="T1595" s="3" t="s">
        <v>38</v>
      </c>
      <c r="U1595" s="3" t="s">
        <v>39</v>
      </c>
      <c r="V1595" s="3">
        <v>77.959999999999994</v>
      </c>
      <c r="W1595" s="3">
        <v>33.130000000000003</v>
      </c>
      <c r="X1595" s="3">
        <v>31.38</v>
      </c>
      <c r="Y1595" s="3">
        <v>13.45</v>
      </c>
    </row>
    <row r="1596" spans="1:25" ht="60.75" x14ac:dyDescent="0.25">
      <c r="A1596" s="3" t="s">
        <v>26</v>
      </c>
      <c r="B1596" s="3" t="s">
        <v>27</v>
      </c>
      <c r="C1596" s="3" t="s">
        <v>28</v>
      </c>
      <c r="D1596" s="3" t="s">
        <v>29</v>
      </c>
      <c r="E1596" s="3" t="s">
        <v>228</v>
      </c>
      <c r="F1596" s="3" t="s">
        <v>31</v>
      </c>
      <c r="G1596" s="3" t="s">
        <v>228</v>
      </c>
      <c r="H1596" s="3" t="s">
        <v>45</v>
      </c>
      <c r="I1596" s="3">
        <v>2025</v>
      </c>
      <c r="J1596" s="3" t="str">
        <f>CONCATENATE("54820105770")</f>
        <v>54820105770</v>
      </c>
      <c r="K1596" s="3" t="s">
        <v>33</v>
      </c>
      <c r="L1596" s="3"/>
      <c r="M1596" s="3" t="s">
        <v>131</v>
      </c>
      <c r="N1596" s="3" t="str">
        <f>CONCATENATE("CMSTNN53P02D749U")</f>
        <v>CMSTNN53P02D749U</v>
      </c>
      <c r="O1596" s="3" t="s">
        <v>1722</v>
      </c>
      <c r="P1596" s="3" t="s">
        <v>36</v>
      </c>
      <c r="Q1596" s="3"/>
      <c r="R1596" s="4">
        <v>45996</v>
      </c>
      <c r="S1596" s="3" t="s">
        <v>37</v>
      </c>
      <c r="T1596" s="3" t="s">
        <v>38</v>
      </c>
      <c r="U1596" s="3" t="s">
        <v>39</v>
      </c>
      <c r="V1596" s="3">
        <v>332.34</v>
      </c>
      <c r="W1596" s="3">
        <v>141.24</v>
      </c>
      <c r="X1596" s="3">
        <v>133.77000000000001</v>
      </c>
      <c r="Y1596" s="3">
        <v>57.33</v>
      </c>
    </row>
    <row r="1597" spans="1:25" ht="60.75" x14ac:dyDescent="0.25">
      <c r="A1597" s="3" t="s">
        <v>26</v>
      </c>
      <c r="B1597" s="3" t="s">
        <v>27</v>
      </c>
      <c r="C1597" s="3" t="s">
        <v>28</v>
      </c>
      <c r="D1597" s="3" t="s">
        <v>29</v>
      </c>
      <c r="E1597" s="3" t="s">
        <v>228</v>
      </c>
      <c r="F1597" s="3" t="s">
        <v>31</v>
      </c>
      <c r="G1597" s="3" t="s">
        <v>228</v>
      </c>
      <c r="H1597" s="3" t="s">
        <v>45</v>
      </c>
      <c r="I1597" s="3">
        <v>2025</v>
      </c>
      <c r="J1597" s="3" t="str">
        <f>CONCATENATE("54820051701")</f>
        <v>54820051701</v>
      </c>
      <c r="K1597" s="3" t="s">
        <v>33</v>
      </c>
      <c r="L1597" s="3"/>
      <c r="M1597" s="3" t="s">
        <v>131</v>
      </c>
      <c r="N1597" s="3" t="str">
        <f>CONCATENATE("SNTGRG72C21D488U")</f>
        <v>SNTGRG72C21D488U</v>
      </c>
      <c r="O1597" s="3" t="s">
        <v>1723</v>
      </c>
      <c r="P1597" s="3" t="s">
        <v>36</v>
      </c>
      <c r="Q1597" s="3"/>
      <c r="R1597" s="4">
        <v>45996</v>
      </c>
      <c r="S1597" s="3" t="s">
        <v>37</v>
      </c>
      <c r="T1597" s="3" t="s">
        <v>38</v>
      </c>
      <c r="U1597" s="3" t="s">
        <v>39</v>
      </c>
      <c r="V1597" s="3">
        <v>172.98</v>
      </c>
      <c r="W1597" s="3">
        <v>73.52</v>
      </c>
      <c r="X1597" s="3">
        <v>69.62</v>
      </c>
      <c r="Y1597" s="3">
        <v>29.84</v>
      </c>
    </row>
    <row r="1598" spans="1:25" ht="60.75" x14ac:dyDescent="0.25">
      <c r="A1598" s="3" t="s">
        <v>26</v>
      </c>
      <c r="B1598" s="3" t="s">
        <v>27</v>
      </c>
      <c r="C1598" s="3" t="s">
        <v>28</v>
      </c>
      <c r="D1598" s="3" t="s">
        <v>29</v>
      </c>
      <c r="E1598" s="3" t="s">
        <v>208</v>
      </c>
      <c r="F1598" s="3" t="s">
        <v>31</v>
      </c>
      <c r="G1598" s="3" t="s">
        <v>208</v>
      </c>
      <c r="H1598" s="3" t="s">
        <v>45</v>
      </c>
      <c r="I1598" s="3">
        <v>2025</v>
      </c>
      <c r="J1598" s="3" t="str">
        <f>CONCATENATE("54820038633")</f>
        <v>54820038633</v>
      </c>
      <c r="K1598" s="3" t="s">
        <v>33</v>
      </c>
      <c r="L1598" s="3"/>
      <c r="M1598" s="3" t="s">
        <v>131</v>
      </c>
      <c r="N1598" s="3" t="str">
        <f>CONCATENATE("CRBSFN92A03L500S")</f>
        <v>CRBSFN92A03L500S</v>
      </c>
      <c r="O1598" s="3" t="s">
        <v>1724</v>
      </c>
      <c r="P1598" s="3" t="s">
        <v>36</v>
      </c>
      <c r="Q1598" s="3"/>
      <c r="R1598" s="4">
        <v>45996</v>
      </c>
      <c r="S1598" s="3" t="s">
        <v>37</v>
      </c>
      <c r="T1598" s="3" t="s">
        <v>38</v>
      </c>
      <c r="U1598" s="3" t="s">
        <v>39</v>
      </c>
      <c r="V1598" s="3">
        <v>105.05</v>
      </c>
      <c r="W1598" s="3">
        <v>44.65</v>
      </c>
      <c r="X1598" s="3">
        <v>42.28</v>
      </c>
      <c r="Y1598" s="3">
        <v>18.12</v>
      </c>
    </row>
    <row r="1599" spans="1:25" ht="60.75" x14ac:dyDescent="0.25">
      <c r="A1599" s="3" t="s">
        <v>26</v>
      </c>
      <c r="B1599" s="3" t="s">
        <v>27</v>
      </c>
      <c r="C1599" s="3" t="s">
        <v>28</v>
      </c>
      <c r="D1599" s="3" t="s">
        <v>29</v>
      </c>
      <c r="E1599" s="3" t="s">
        <v>136</v>
      </c>
      <c r="F1599" s="3" t="s">
        <v>31</v>
      </c>
      <c r="G1599" s="3" t="s">
        <v>136</v>
      </c>
      <c r="H1599" s="3" t="s">
        <v>48</v>
      </c>
      <c r="I1599" s="3">
        <v>2025</v>
      </c>
      <c r="J1599" s="3" t="str">
        <f>CONCATENATE("54820160353")</f>
        <v>54820160353</v>
      </c>
      <c r="K1599" s="3" t="s">
        <v>33</v>
      </c>
      <c r="L1599" s="3"/>
      <c r="M1599" s="3" t="s">
        <v>131</v>
      </c>
      <c r="N1599" s="3" t="str">
        <f>CONCATENATE("CSGLRA68D46A366E")</f>
        <v>CSGLRA68D46A366E</v>
      </c>
      <c r="O1599" s="3" t="s">
        <v>1725</v>
      </c>
      <c r="P1599" s="3" t="s">
        <v>36</v>
      </c>
      <c r="Q1599" s="3"/>
      <c r="R1599" s="4">
        <v>45996</v>
      </c>
      <c r="S1599" s="3" t="s">
        <v>37</v>
      </c>
      <c r="T1599" s="3" t="s">
        <v>38</v>
      </c>
      <c r="U1599" s="3" t="s">
        <v>39</v>
      </c>
      <c r="V1599" s="3">
        <v>58.38</v>
      </c>
      <c r="W1599" s="3">
        <v>24.81</v>
      </c>
      <c r="X1599" s="3">
        <v>23.5</v>
      </c>
      <c r="Y1599" s="3">
        <v>10.07</v>
      </c>
    </row>
    <row r="1600" spans="1:25" ht="36.75" x14ac:dyDescent="0.25">
      <c r="A1600" s="3" t="s">
        <v>26</v>
      </c>
      <c r="B1600" s="3" t="s">
        <v>27</v>
      </c>
      <c r="C1600" s="3" t="s">
        <v>28</v>
      </c>
      <c r="D1600" s="3" t="s">
        <v>104</v>
      </c>
      <c r="E1600" s="3" t="s">
        <v>1726</v>
      </c>
      <c r="F1600" s="3" t="s">
        <v>104</v>
      </c>
      <c r="G1600" s="3" t="s">
        <v>1726</v>
      </c>
      <c r="H1600" s="3" t="s">
        <v>32</v>
      </c>
      <c r="I1600" s="3">
        <v>2025</v>
      </c>
      <c r="J1600" s="3" t="str">
        <f>CONCATENATE("54820153325")</f>
        <v>54820153325</v>
      </c>
      <c r="K1600" s="3" t="s">
        <v>33</v>
      </c>
      <c r="L1600" s="3"/>
      <c r="M1600" s="3" t="s">
        <v>131</v>
      </c>
      <c r="N1600" s="3" t="str">
        <f>CONCATENATE("02036180426")</f>
        <v>02036180426</v>
      </c>
      <c r="O1600" s="3" t="s">
        <v>1727</v>
      </c>
      <c r="P1600" s="3" t="s">
        <v>36</v>
      </c>
      <c r="Q1600" s="3"/>
      <c r="R1600" s="4">
        <v>45996</v>
      </c>
      <c r="S1600" s="3" t="s">
        <v>37</v>
      </c>
      <c r="T1600" s="3" t="s">
        <v>38</v>
      </c>
      <c r="U1600" s="3" t="s">
        <v>39</v>
      </c>
      <c r="V1600" s="3">
        <v>248.14</v>
      </c>
      <c r="W1600" s="3">
        <v>105.46</v>
      </c>
      <c r="X1600" s="3">
        <v>99.88</v>
      </c>
      <c r="Y1600" s="3">
        <v>42.8</v>
      </c>
    </row>
    <row r="1601" spans="1:25" ht="60.75" x14ac:dyDescent="0.25">
      <c r="A1601" s="3" t="s">
        <v>26</v>
      </c>
      <c r="B1601" s="3" t="s">
        <v>27</v>
      </c>
      <c r="C1601" s="3" t="s">
        <v>28</v>
      </c>
      <c r="D1601" s="3" t="s">
        <v>29</v>
      </c>
      <c r="E1601" s="3" t="s">
        <v>80</v>
      </c>
      <c r="F1601" s="3" t="s">
        <v>31</v>
      </c>
      <c r="G1601" s="3" t="s">
        <v>80</v>
      </c>
      <c r="H1601" s="3" t="s">
        <v>45</v>
      </c>
      <c r="I1601" s="3">
        <v>2025</v>
      </c>
      <c r="J1601" s="3" t="str">
        <f>CONCATENATE("54820085022")</f>
        <v>54820085022</v>
      </c>
      <c r="K1601" s="3" t="s">
        <v>33</v>
      </c>
      <c r="L1601" s="3"/>
      <c r="M1601" s="3" t="s">
        <v>131</v>
      </c>
      <c r="N1601" s="3" t="str">
        <f>CONCATENATE("CRLLCN56B27G453Q")</f>
        <v>CRLLCN56B27G453Q</v>
      </c>
      <c r="O1601" s="3" t="s">
        <v>1728</v>
      </c>
      <c r="P1601" s="3" t="s">
        <v>36</v>
      </c>
      <c r="Q1601" s="3"/>
      <c r="R1601" s="4">
        <v>45996</v>
      </c>
      <c r="S1601" s="3" t="s">
        <v>37</v>
      </c>
      <c r="T1601" s="3" t="s">
        <v>38</v>
      </c>
      <c r="U1601" s="3" t="s">
        <v>39</v>
      </c>
      <c r="V1601" s="3">
        <v>639.55999999999995</v>
      </c>
      <c r="W1601" s="3">
        <v>271.81</v>
      </c>
      <c r="X1601" s="3">
        <v>257.42</v>
      </c>
      <c r="Y1601" s="3">
        <v>110.33</v>
      </c>
    </row>
    <row r="1602" spans="1:25" ht="60.75" x14ac:dyDescent="0.25">
      <c r="A1602" s="3" t="s">
        <v>26</v>
      </c>
      <c r="B1602" s="3" t="s">
        <v>27</v>
      </c>
      <c r="C1602" s="3" t="s">
        <v>28</v>
      </c>
      <c r="D1602" s="3" t="s">
        <v>29</v>
      </c>
      <c r="E1602" s="3" t="s">
        <v>136</v>
      </c>
      <c r="F1602" s="3" t="s">
        <v>31</v>
      </c>
      <c r="G1602" s="3" t="s">
        <v>136</v>
      </c>
      <c r="H1602" s="3" t="s">
        <v>48</v>
      </c>
      <c r="I1602" s="3">
        <v>2025</v>
      </c>
      <c r="J1602" s="3" t="str">
        <f>CONCATENATE("54820069976")</f>
        <v>54820069976</v>
      </c>
      <c r="K1602" s="3" t="s">
        <v>33</v>
      </c>
      <c r="L1602" s="3"/>
      <c r="M1602" s="3" t="s">
        <v>131</v>
      </c>
      <c r="N1602" s="3" t="str">
        <f>CONCATENATE("BLLGDU48A03I461S")</f>
        <v>BLLGDU48A03I461S</v>
      </c>
      <c r="O1602" s="3" t="s">
        <v>1729</v>
      </c>
      <c r="P1602" s="3" t="s">
        <v>36</v>
      </c>
      <c r="Q1602" s="3"/>
      <c r="R1602" s="4">
        <v>45996</v>
      </c>
      <c r="S1602" s="3" t="s">
        <v>37</v>
      </c>
      <c r="T1602" s="3" t="s">
        <v>38</v>
      </c>
      <c r="U1602" s="3" t="s">
        <v>39</v>
      </c>
      <c r="V1602" s="3">
        <v>653.98</v>
      </c>
      <c r="W1602" s="3">
        <v>277.94</v>
      </c>
      <c r="X1602" s="3">
        <v>263.23</v>
      </c>
      <c r="Y1602" s="3">
        <v>112.81</v>
      </c>
    </row>
    <row r="1603" spans="1:25" ht="60.75" x14ac:dyDescent="0.25">
      <c r="A1603" s="3" t="s">
        <v>26</v>
      </c>
      <c r="B1603" s="3" t="s">
        <v>27</v>
      </c>
      <c r="C1603" s="3" t="s">
        <v>28</v>
      </c>
      <c r="D1603" s="3" t="s">
        <v>29</v>
      </c>
      <c r="E1603" s="3" t="s">
        <v>47</v>
      </c>
      <c r="F1603" s="3" t="s">
        <v>31</v>
      </c>
      <c r="G1603" s="3" t="s">
        <v>47</v>
      </c>
      <c r="H1603" s="3" t="s">
        <v>48</v>
      </c>
      <c r="I1603" s="3">
        <v>2025</v>
      </c>
      <c r="J1603" s="3" t="str">
        <f>CONCATENATE("54820178199")</f>
        <v>54820178199</v>
      </c>
      <c r="K1603" s="3" t="s">
        <v>33</v>
      </c>
      <c r="L1603" s="3"/>
      <c r="M1603" s="3" t="s">
        <v>131</v>
      </c>
      <c r="N1603" s="3" t="str">
        <f>CONCATENATE("SPGVNI69P26E388R")</f>
        <v>SPGVNI69P26E388R</v>
      </c>
      <c r="O1603" s="3" t="s">
        <v>1730</v>
      </c>
      <c r="P1603" s="3" t="s">
        <v>36</v>
      </c>
      <c r="Q1603" s="3"/>
      <c r="R1603" s="4">
        <v>45996</v>
      </c>
      <c r="S1603" s="3" t="s">
        <v>37</v>
      </c>
      <c r="T1603" s="3" t="s">
        <v>38</v>
      </c>
      <c r="U1603" s="3" t="s">
        <v>39</v>
      </c>
      <c r="V1603" s="3">
        <v>72.7</v>
      </c>
      <c r="W1603" s="3">
        <v>30.9</v>
      </c>
      <c r="X1603" s="3">
        <v>29.26</v>
      </c>
      <c r="Y1603" s="3">
        <v>12.54</v>
      </c>
    </row>
    <row r="1604" spans="1:25" ht="36.75" x14ac:dyDescent="0.25">
      <c r="A1604" s="3" t="s">
        <v>26</v>
      </c>
      <c r="B1604" s="3" t="s">
        <v>27</v>
      </c>
      <c r="C1604" s="3" t="s">
        <v>28</v>
      </c>
      <c r="D1604" s="3" t="s">
        <v>29</v>
      </c>
      <c r="E1604" s="3" t="s">
        <v>68</v>
      </c>
      <c r="F1604" s="3" t="s">
        <v>31</v>
      </c>
      <c r="G1604" s="3" t="s">
        <v>68</v>
      </c>
      <c r="H1604" s="3" t="s">
        <v>32</v>
      </c>
      <c r="I1604" s="3">
        <v>2025</v>
      </c>
      <c r="J1604" s="3" t="str">
        <f>CONCATENATE("54820152814")</f>
        <v>54820152814</v>
      </c>
      <c r="K1604" s="3" t="s">
        <v>33</v>
      </c>
      <c r="L1604" s="3"/>
      <c r="M1604" s="3" t="s">
        <v>131</v>
      </c>
      <c r="N1604" s="3" t="str">
        <f>CONCATENATE("01892120435")</f>
        <v>01892120435</v>
      </c>
      <c r="O1604" s="3" t="s">
        <v>1731</v>
      </c>
      <c r="P1604" s="3" t="s">
        <v>36</v>
      </c>
      <c r="Q1604" s="3"/>
      <c r="R1604" s="4">
        <v>45996</v>
      </c>
      <c r="S1604" s="3" t="s">
        <v>37</v>
      </c>
      <c r="T1604" s="3" t="s">
        <v>38</v>
      </c>
      <c r="U1604" s="3" t="s">
        <v>39</v>
      </c>
      <c r="V1604" s="5">
        <v>1282.8800000000001</v>
      </c>
      <c r="W1604" s="3">
        <v>545.22</v>
      </c>
      <c r="X1604" s="3">
        <v>516.36</v>
      </c>
      <c r="Y1604" s="3">
        <v>221.3</v>
      </c>
    </row>
    <row r="1605" spans="1:25" ht="72.75" x14ac:dyDescent="0.25">
      <c r="A1605" s="3" t="s">
        <v>26</v>
      </c>
      <c r="B1605" s="3" t="s">
        <v>27</v>
      </c>
      <c r="C1605" s="3" t="s">
        <v>28</v>
      </c>
      <c r="D1605" s="3" t="s">
        <v>29</v>
      </c>
      <c r="E1605" s="3" t="s">
        <v>72</v>
      </c>
      <c r="F1605" s="3" t="s">
        <v>31</v>
      </c>
      <c r="G1605" s="3" t="s">
        <v>72</v>
      </c>
      <c r="H1605" s="3" t="s">
        <v>45</v>
      </c>
      <c r="I1605" s="3">
        <v>2025</v>
      </c>
      <c r="J1605" s="3" t="str">
        <f>CONCATENATE("54820073523")</f>
        <v>54820073523</v>
      </c>
      <c r="K1605" s="3" t="s">
        <v>33</v>
      </c>
      <c r="L1605" s="3"/>
      <c r="M1605" s="3" t="s">
        <v>131</v>
      </c>
      <c r="N1605" s="3" t="str">
        <f>CONCATENATE("SLCDNL58R10B352H")</f>
        <v>SLCDNL58R10B352H</v>
      </c>
      <c r="O1605" s="3" t="s">
        <v>1732</v>
      </c>
      <c r="P1605" s="3" t="s">
        <v>36</v>
      </c>
      <c r="Q1605" s="3"/>
      <c r="R1605" s="4">
        <v>45996</v>
      </c>
      <c r="S1605" s="3" t="s">
        <v>37</v>
      </c>
      <c r="T1605" s="3" t="s">
        <v>38</v>
      </c>
      <c r="U1605" s="3" t="s">
        <v>39</v>
      </c>
      <c r="V1605" s="3">
        <v>301.56</v>
      </c>
      <c r="W1605" s="3">
        <v>128.16</v>
      </c>
      <c r="X1605" s="3">
        <v>121.38</v>
      </c>
      <c r="Y1605" s="3">
        <v>52.02</v>
      </c>
    </row>
    <row r="1606" spans="1:25" ht="60.75" x14ac:dyDescent="0.25">
      <c r="A1606" s="3" t="s">
        <v>26</v>
      </c>
      <c r="B1606" s="3" t="s">
        <v>27</v>
      </c>
      <c r="C1606" s="3" t="s">
        <v>28</v>
      </c>
      <c r="D1606" s="3" t="s">
        <v>29</v>
      </c>
      <c r="E1606" s="3" t="s">
        <v>47</v>
      </c>
      <c r="F1606" s="3" t="s">
        <v>31</v>
      </c>
      <c r="G1606" s="3" t="s">
        <v>47</v>
      </c>
      <c r="H1606" s="3" t="s">
        <v>48</v>
      </c>
      <c r="I1606" s="3">
        <v>2025</v>
      </c>
      <c r="J1606" s="3" t="str">
        <f>CONCATENATE("54820133202")</f>
        <v>54820133202</v>
      </c>
      <c r="K1606" s="3" t="s">
        <v>33</v>
      </c>
      <c r="L1606" s="3"/>
      <c r="M1606" s="3" t="s">
        <v>131</v>
      </c>
      <c r="N1606" s="3" t="str">
        <f>CONCATENATE("STRRNS51R13D451L")</f>
        <v>STRRNS51R13D451L</v>
      </c>
      <c r="O1606" s="3" t="s">
        <v>1733</v>
      </c>
      <c r="P1606" s="3" t="s">
        <v>36</v>
      </c>
      <c r="Q1606" s="3"/>
      <c r="R1606" s="4">
        <v>45996</v>
      </c>
      <c r="S1606" s="3" t="s">
        <v>37</v>
      </c>
      <c r="T1606" s="3" t="s">
        <v>38</v>
      </c>
      <c r="U1606" s="3" t="s">
        <v>39</v>
      </c>
      <c r="V1606" s="3">
        <v>641.16999999999996</v>
      </c>
      <c r="W1606" s="3">
        <v>272.5</v>
      </c>
      <c r="X1606" s="3">
        <v>258.07</v>
      </c>
      <c r="Y1606" s="3">
        <v>110.6</v>
      </c>
    </row>
    <row r="1607" spans="1:25" ht="72.75" x14ac:dyDescent="0.25">
      <c r="A1607" s="3" t="s">
        <v>26</v>
      </c>
      <c r="B1607" s="3" t="s">
        <v>27</v>
      </c>
      <c r="C1607" s="3" t="s">
        <v>28</v>
      </c>
      <c r="D1607" s="3" t="s">
        <v>104</v>
      </c>
      <c r="E1607" s="3" t="s">
        <v>141</v>
      </c>
      <c r="F1607" s="3" t="s">
        <v>104</v>
      </c>
      <c r="G1607" s="3" t="s">
        <v>141</v>
      </c>
      <c r="H1607" s="3" t="s">
        <v>96</v>
      </c>
      <c r="I1607" s="3">
        <v>2025</v>
      </c>
      <c r="J1607" s="3" t="str">
        <f>CONCATENATE("54820144688")</f>
        <v>54820144688</v>
      </c>
      <c r="K1607" s="3" t="s">
        <v>33</v>
      </c>
      <c r="L1607" s="3"/>
      <c r="M1607" s="3" t="s">
        <v>131</v>
      </c>
      <c r="N1607" s="3" t="str">
        <f>CONCATENATE("PGNLCU84M16A462M")</f>
        <v>PGNLCU84M16A462M</v>
      </c>
      <c r="O1607" s="3" t="s">
        <v>1734</v>
      </c>
      <c r="P1607" s="3" t="s">
        <v>36</v>
      </c>
      <c r="Q1607" s="3"/>
      <c r="R1607" s="4">
        <v>45996</v>
      </c>
      <c r="S1607" s="3" t="s">
        <v>37</v>
      </c>
      <c r="T1607" s="3" t="s">
        <v>38</v>
      </c>
      <c r="U1607" s="3" t="s">
        <v>39</v>
      </c>
      <c r="V1607" s="3">
        <v>847.94</v>
      </c>
      <c r="W1607" s="3">
        <v>360.37</v>
      </c>
      <c r="X1607" s="3">
        <v>341.3</v>
      </c>
      <c r="Y1607" s="3">
        <v>146.27000000000001</v>
      </c>
    </row>
    <row r="1608" spans="1:25" ht="60.75" x14ac:dyDescent="0.25">
      <c r="A1608" s="3" t="s">
        <v>26</v>
      </c>
      <c r="B1608" s="3" t="s">
        <v>27</v>
      </c>
      <c r="C1608" s="3" t="s">
        <v>28</v>
      </c>
      <c r="D1608" s="3" t="s">
        <v>104</v>
      </c>
      <c r="E1608" s="3" t="s">
        <v>691</v>
      </c>
      <c r="F1608" s="3" t="s">
        <v>104</v>
      </c>
      <c r="G1608" s="3" t="s">
        <v>691</v>
      </c>
      <c r="H1608" s="3" t="s">
        <v>48</v>
      </c>
      <c r="I1608" s="3">
        <v>2025</v>
      </c>
      <c r="J1608" s="3" t="str">
        <f>CONCATENATE("54820077326")</f>
        <v>54820077326</v>
      </c>
      <c r="K1608" s="3" t="s">
        <v>33</v>
      </c>
      <c r="L1608" s="3"/>
      <c r="M1608" s="3" t="s">
        <v>131</v>
      </c>
      <c r="N1608" s="3" t="str">
        <f>CONCATENATE("PLDSRG67S04D211B")</f>
        <v>PLDSRG67S04D211B</v>
      </c>
      <c r="O1608" s="3" t="s">
        <v>1735</v>
      </c>
      <c r="P1608" s="3" t="s">
        <v>36</v>
      </c>
      <c r="Q1608" s="3"/>
      <c r="R1608" s="4">
        <v>45996</v>
      </c>
      <c r="S1608" s="3" t="s">
        <v>37</v>
      </c>
      <c r="T1608" s="3" t="s">
        <v>38</v>
      </c>
      <c r="U1608" s="3" t="s">
        <v>39</v>
      </c>
      <c r="V1608" s="3">
        <v>64.42</v>
      </c>
      <c r="W1608" s="3">
        <v>27.38</v>
      </c>
      <c r="X1608" s="3">
        <v>25.93</v>
      </c>
      <c r="Y1608" s="3">
        <v>11.11</v>
      </c>
    </row>
    <row r="1609" spans="1:25" ht="60.75" x14ac:dyDescent="0.25">
      <c r="A1609" s="3" t="s">
        <v>26</v>
      </c>
      <c r="B1609" s="3" t="s">
        <v>27</v>
      </c>
      <c r="C1609" s="3" t="s">
        <v>28</v>
      </c>
      <c r="D1609" s="3" t="s">
        <v>50</v>
      </c>
      <c r="E1609" s="3" t="s">
        <v>60</v>
      </c>
      <c r="F1609" s="3" t="s">
        <v>52</v>
      </c>
      <c r="G1609" s="3" t="s">
        <v>60</v>
      </c>
      <c r="H1609" s="3" t="s">
        <v>45</v>
      </c>
      <c r="I1609" s="3">
        <v>2025</v>
      </c>
      <c r="J1609" s="3" t="str">
        <f>CONCATENATE("54820082904")</f>
        <v>54820082904</v>
      </c>
      <c r="K1609" s="3" t="s">
        <v>33</v>
      </c>
      <c r="L1609" s="3"/>
      <c r="M1609" s="3" t="s">
        <v>131</v>
      </c>
      <c r="N1609" s="3" t="str">
        <f>CONCATENATE("RNLRSO43R54D809P")</f>
        <v>RNLRSO43R54D809P</v>
      </c>
      <c r="O1609" s="3" t="s">
        <v>1736</v>
      </c>
      <c r="P1609" s="3" t="s">
        <v>36</v>
      </c>
      <c r="Q1609" s="3"/>
      <c r="R1609" s="4">
        <v>45996</v>
      </c>
      <c r="S1609" s="3" t="s">
        <v>37</v>
      </c>
      <c r="T1609" s="3" t="s">
        <v>38</v>
      </c>
      <c r="U1609" s="3" t="s">
        <v>39</v>
      </c>
      <c r="V1609" s="3">
        <v>112.41</v>
      </c>
      <c r="W1609" s="3">
        <v>47.77</v>
      </c>
      <c r="X1609" s="3">
        <v>45.25</v>
      </c>
      <c r="Y1609" s="3">
        <v>19.39</v>
      </c>
    </row>
    <row r="1610" spans="1:25" ht="60.75" x14ac:dyDescent="0.25">
      <c r="A1610" s="3" t="s">
        <v>26</v>
      </c>
      <c r="B1610" s="3" t="s">
        <v>27</v>
      </c>
      <c r="C1610" s="3" t="s">
        <v>28</v>
      </c>
      <c r="D1610" s="3" t="s">
        <v>50</v>
      </c>
      <c r="E1610" s="3" t="s">
        <v>173</v>
      </c>
      <c r="F1610" s="3" t="s">
        <v>52</v>
      </c>
      <c r="G1610" s="3" t="s">
        <v>173</v>
      </c>
      <c r="H1610" s="3" t="s">
        <v>45</v>
      </c>
      <c r="I1610" s="3">
        <v>2025</v>
      </c>
      <c r="J1610" s="3" t="str">
        <f>CONCATENATE("54820077524")</f>
        <v>54820077524</v>
      </c>
      <c r="K1610" s="3" t="s">
        <v>33</v>
      </c>
      <c r="L1610" s="3"/>
      <c r="M1610" s="3" t="s">
        <v>131</v>
      </c>
      <c r="N1610" s="3" t="str">
        <f>CONCATENATE("GLNGNN55C08F136U")</f>
        <v>GLNGNN55C08F136U</v>
      </c>
      <c r="O1610" s="3" t="s">
        <v>1737</v>
      </c>
      <c r="P1610" s="3" t="s">
        <v>36</v>
      </c>
      <c r="Q1610" s="3"/>
      <c r="R1610" s="4">
        <v>45996</v>
      </c>
      <c r="S1610" s="3" t="s">
        <v>37</v>
      </c>
      <c r="T1610" s="3" t="s">
        <v>38</v>
      </c>
      <c r="U1610" s="3" t="s">
        <v>39</v>
      </c>
      <c r="V1610" s="3">
        <v>452.64</v>
      </c>
      <c r="W1610" s="3">
        <v>192.37</v>
      </c>
      <c r="X1610" s="3">
        <v>182.19</v>
      </c>
      <c r="Y1610" s="3">
        <v>78.08</v>
      </c>
    </row>
    <row r="1611" spans="1:25" ht="60.75" x14ac:dyDescent="0.25">
      <c r="A1611" s="3" t="s">
        <v>26</v>
      </c>
      <c r="B1611" s="3" t="s">
        <v>27</v>
      </c>
      <c r="C1611" s="3" t="s">
        <v>28</v>
      </c>
      <c r="D1611" s="3" t="s">
        <v>29</v>
      </c>
      <c r="E1611" s="3" t="s">
        <v>182</v>
      </c>
      <c r="F1611" s="3" t="s">
        <v>31</v>
      </c>
      <c r="G1611" s="3" t="s">
        <v>182</v>
      </c>
      <c r="H1611" s="3" t="s">
        <v>45</v>
      </c>
      <c r="I1611" s="3">
        <v>2025</v>
      </c>
      <c r="J1611" s="3" t="str">
        <f>CONCATENATE("54820143540")</f>
        <v>54820143540</v>
      </c>
      <c r="K1611" s="3" t="s">
        <v>33</v>
      </c>
      <c r="L1611" s="3"/>
      <c r="M1611" s="3" t="s">
        <v>131</v>
      </c>
      <c r="N1611" s="3" t="str">
        <f>CONCATENATE("NCCPLC57M56F450W")</f>
        <v>NCCPLC57M56F450W</v>
      </c>
      <c r="O1611" s="3" t="s">
        <v>1738</v>
      </c>
      <c r="P1611" s="3" t="s">
        <v>36</v>
      </c>
      <c r="Q1611" s="3"/>
      <c r="R1611" s="4">
        <v>45996</v>
      </c>
      <c r="S1611" s="3" t="s">
        <v>37</v>
      </c>
      <c r="T1611" s="3" t="s">
        <v>38</v>
      </c>
      <c r="U1611" s="3" t="s">
        <v>39</v>
      </c>
      <c r="V1611" s="3">
        <v>667.72</v>
      </c>
      <c r="W1611" s="3">
        <v>283.77999999999997</v>
      </c>
      <c r="X1611" s="3">
        <v>268.76</v>
      </c>
      <c r="Y1611" s="3">
        <v>115.18</v>
      </c>
    </row>
    <row r="1612" spans="1:25" ht="60.75" x14ac:dyDescent="0.25">
      <c r="A1612" s="3" t="s">
        <v>26</v>
      </c>
      <c r="B1612" s="3" t="s">
        <v>27</v>
      </c>
      <c r="C1612" s="3" t="s">
        <v>28</v>
      </c>
      <c r="D1612" s="3" t="s">
        <v>104</v>
      </c>
      <c r="E1612" s="3" t="s">
        <v>141</v>
      </c>
      <c r="F1612" s="3" t="s">
        <v>104</v>
      </c>
      <c r="G1612" s="3" t="s">
        <v>141</v>
      </c>
      <c r="H1612" s="3" t="s">
        <v>96</v>
      </c>
      <c r="I1612" s="3">
        <v>2025</v>
      </c>
      <c r="J1612" s="3" t="str">
        <f>CONCATENATE("54820144704")</f>
        <v>54820144704</v>
      </c>
      <c r="K1612" s="3" t="s">
        <v>33</v>
      </c>
      <c r="L1612" s="3"/>
      <c r="M1612" s="3" t="s">
        <v>131</v>
      </c>
      <c r="N1612" s="3" t="str">
        <f>CONCATENATE("PZZFLM49R57H501K")</f>
        <v>PZZFLM49R57H501K</v>
      </c>
      <c r="O1612" s="3" t="s">
        <v>1739</v>
      </c>
      <c r="P1612" s="3" t="s">
        <v>36</v>
      </c>
      <c r="Q1612" s="3"/>
      <c r="R1612" s="4">
        <v>45996</v>
      </c>
      <c r="S1612" s="3" t="s">
        <v>37</v>
      </c>
      <c r="T1612" s="3" t="s">
        <v>38</v>
      </c>
      <c r="U1612" s="3" t="s">
        <v>39</v>
      </c>
      <c r="V1612" s="3">
        <v>184.75</v>
      </c>
      <c r="W1612" s="3">
        <v>78.52</v>
      </c>
      <c r="X1612" s="3">
        <v>74.36</v>
      </c>
      <c r="Y1612" s="3">
        <v>31.87</v>
      </c>
    </row>
    <row r="1613" spans="1:25" ht="60.75" x14ac:dyDescent="0.25">
      <c r="A1613" s="3" t="s">
        <v>26</v>
      </c>
      <c r="B1613" s="3" t="s">
        <v>27</v>
      </c>
      <c r="C1613" s="3" t="s">
        <v>28</v>
      </c>
      <c r="D1613" s="3" t="s">
        <v>50</v>
      </c>
      <c r="E1613" s="3" t="s">
        <v>60</v>
      </c>
      <c r="F1613" s="3" t="s">
        <v>52</v>
      </c>
      <c r="G1613" s="3" t="s">
        <v>60</v>
      </c>
      <c r="H1613" s="3" t="s">
        <v>45</v>
      </c>
      <c r="I1613" s="3">
        <v>2025</v>
      </c>
      <c r="J1613" s="3" t="str">
        <f>CONCATENATE("54820112974")</f>
        <v>54820112974</v>
      </c>
      <c r="K1613" s="3" t="s">
        <v>33</v>
      </c>
      <c r="L1613" s="3"/>
      <c r="M1613" s="3" t="s">
        <v>131</v>
      </c>
      <c r="N1613" s="3" t="str">
        <f>CONCATENATE("CNGMRS54H42D488X")</f>
        <v>CNGMRS54H42D488X</v>
      </c>
      <c r="O1613" s="3" t="s">
        <v>1740</v>
      </c>
      <c r="P1613" s="3" t="s">
        <v>36</v>
      </c>
      <c r="Q1613" s="3"/>
      <c r="R1613" s="4">
        <v>45996</v>
      </c>
      <c r="S1613" s="3" t="s">
        <v>37</v>
      </c>
      <c r="T1613" s="3" t="s">
        <v>38</v>
      </c>
      <c r="U1613" s="3" t="s">
        <v>39</v>
      </c>
      <c r="V1613" s="3">
        <v>449.78</v>
      </c>
      <c r="W1613" s="3">
        <v>191.16</v>
      </c>
      <c r="X1613" s="3">
        <v>181.04</v>
      </c>
      <c r="Y1613" s="3">
        <v>77.58</v>
      </c>
    </row>
    <row r="1614" spans="1:25" ht="60.75" x14ac:dyDescent="0.25">
      <c r="A1614" s="3" t="s">
        <v>26</v>
      </c>
      <c r="B1614" s="3" t="s">
        <v>27</v>
      </c>
      <c r="C1614" s="3" t="s">
        <v>28</v>
      </c>
      <c r="D1614" s="3" t="s">
        <v>50</v>
      </c>
      <c r="E1614" s="3" t="s">
        <v>51</v>
      </c>
      <c r="F1614" s="3" t="s">
        <v>52</v>
      </c>
      <c r="G1614" s="3" t="s">
        <v>51</v>
      </c>
      <c r="H1614" s="3" t="s">
        <v>48</v>
      </c>
      <c r="I1614" s="3">
        <v>2025</v>
      </c>
      <c r="J1614" s="3" t="str">
        <f>CONCATENATE("54820071105")</f>
        <v>54820071105</v>
      </c>
      <c r="K1614" s="3" t="s">
        <v>33</v>
      </c>
      <c r="L1614" s="3"/>
      <c r="M1614" s="3" t="s">
        <v>131</v>
      </c>
      <c r="N1614" s="3" t="str">
        <f>CONCATENATE("DPSPNI84B64D451C")</f>
        <v>DPSPNI84B64D451C</v>
      </c>
      <c r="O1614" s="3" t="s">
        <v>1741</v>
      </c>
      <c r="P1614" s="3" t="s">
        <v>36</v>
      </c>
      <c r="Q1614" s="3"/>
      <c r="R1614" s="4">
        <v>45996</v>
      </c>
      <c r="S1614" s="3" t="s">
        <v>37</v>
      </c>
      <c r="T1614" s="3" t="s">
        <v>38</v>
      </c>
      <c r="U1614" s="3" t="s">
        <v>39</v>
      </c>
      <c r="V1614" s="3">
        <v>91.14</v>
      </c>
      <c r="W1614" s="3">
        <v>38.729999999999997</v>
      </c>
      <c r="X1614" s="3">
        <v>36.68</v>
      </c>
      <c r="Y1614" s="3">
        <v>15.73</v>
      </c>
    </row>
    <row r="1615" spans="1:25" ht="72.75" x14ac:dyDescent="0.25">
      <c r="A1615" s="3" t="s">
        <v>26</v>
      </c>
      <c r="B1615" s="3" t="s">
        <v>27</v>
      </c>
      <c r="C1615" s="3" t="s">
        <v>28</v>
      </c>
      <c r="D1615" s="3" t="s">
        <v>29</v>
      </c>
      <c r="E1615" s="3" t="s">
        <v>208</v>
      </c>
      <c r="F1615" s="3" t="s">
        <v>31</v>
      </c>
      <c r="G1615" s="3" t="s">
        <v>208</v>
      </c>
      <c r="H1615" s="3" t="s">
        <v>45</v>
      </c>
      <c r="I1615" s="3">
        <v>2025</v>
      </c>
      <c r="J1615" s="3" t="str">
        <f>CONCATENATE("54820151048")</f>
        <v>54820151048</v>
      </c>
      <c r="K1615" s="3" t="s">
        <v>33</v>
      </c>
      <c r="L1615" s="3"/>
      <c r="M1615" s="3" t="s">
        <v>131</v>
      </c>
      <c r="N1615" s="3" t="str">
        <f>CONCATENATE("DNIGLN48M30B026Q")</f>
        <v>DNIGLN48M30B026Q</v>
      </c>
      <c r="O1615" s="3" t="s">
        <v>1742</v>
      </c>
      <c r="P1615" s="3" t="s">
        <v>36</v>
      </c>
      <c r="Q1615" s="3"/>
      <c r="R1615" s="4">
        <v>45996</v>
      </c>
      <c r="S1615" s="3" t="s">
        <v>37</v>
      </c>
      <c r="T1615" s="3" t="s">
        <v>38</v>
      </c>
      <c r="U1615" s="3" t="s">
        <v>39</v>
      </c>
      <c r="V1615" s="3">
        <v>221.68</v>
      </c>
      <c r="W1615" s="3">
        <v>94.21</v>
      </c>
      <c r="X1615" s="3">
        <v>89.23</v>
      </c>
      <c r="Y1615" s="3">
        <v>38.24</v>
      </c>
    </row>
    <row r="1616" spans="1:25" ht="60.75" x14ac:dyDescent="0.25">
      <c r="A1616" s="3" t="s">
        <v>26</v>
      </c>
      <c r="B1616" s="3" t="s">
        <v>27</v>
      </c>
      <c r="C1616" s="3" t="s">
        <v>28</v>
      </c>
      <c r="D1616" s="3" t="s">
        <v>29</v>
      </c>
      <c r="E1616" s="3" t="s">
        <v>476</v>
      </c>
      <c r="F1616" s="3" t="s">
        <v>31</v>
      </c>
      <c r="G1616" s="3" t="s">
        <v>476</v>
      </c>
      <c r="H1616" s="3" t="s">
        <v>48</v>
      </c>
      <c r="I1616" s="3">
        <v>2025</v>
      </c>
      <c r="J1616" s="3" t="str">
        <f>CONCATENATE("54820071220")</f>
        <v>54820071220</v>
      </c>
      <c r="K1616" s="3" t="s">
        <v>33</v>
      </c>
      <c r="L1616" s="3"/>
      <c r="M1616" s="3" t="s">
        <v>131</v>
      </c>
      <c r="N1616" s="3" t="str">
        <f>CONCATENATE("MCHMRA79L19D451W")</f>
        <v>MCHMRA79L19D451W</v>
      </c>
      <c r="O1616" s="3" t="s">
        <v>1743</v>
      </c>
      <c r="P1616" s="3" t="s">
        <v>36</v>
      </c>
      <c r="Q1616" s="3"/>
      <c r="R1616" s="4">
        <v>45996</v>
      </c>
      <c r="S1616" s="3" t="s">
        <v>37</v>
      </c>
      <c r="T1616" s="3" t="s">
        <v>38</v>
      </c>
      <c r="U1616" s="3" t="s">
        <v>39</v>
      </c>
      <c r="V1616" s="3">
        <v>101.9</v>
      </c>
      <c r="W1616" s="3">
        <v>43.31</v>
      </c>
      <c r="X1616" s="3">
        <v>41.01</v>
      </c>
      <c r="Y1616" s="3">
        <v>17.579999999999998</v>
      </c>
    </row>
    <row r="1617" spans="1:25" ht="36.75" x14ac:dyDescent="0.25">
      <c r="A1617" s="3" t="s">
        <v>26</v>
      </c>
      <c r="B1617" s="3" t="s">
        <v>27</v>
      </c>
      <c r="C1617" s="3" t="s">
        <v>28</v>
      </c>
      <c r="D1617" s="3" t="s">
        <v>40</v>
      </c>
      <c r="E1617" s="3" t="s">
        <v>122</v>
      </c>
      <c r="F1617" s="3" t="s">
        <v>42</v>
      </c>
      <c r="G1617" s="3" t="s">
        <v>122</v>
      </c>
      <c r="H1617" s="3" t="s">
        <v>32</v>
      </c>
      <c r="I1617" s="3">
        <v>2025</v>
      </c>
      <c r="J1617" s="3" t="str">
        <f>CONCATENATE("54820086525")</f>
        <v>54820086525</v>
      </c>
      <c r="K1617" s="3" t="s">
        <v>33</v>
      </c>
      <c r="L1617" s="3"/>
      <c r="M1617" s="3" t="s">
        <v>131</v>
      </c>
      <c r="N1617" s="3" t="str">
        <f>CONCATENATE("02881580423")</f>
        <v>02881580423</v>
      </c>
      <c r="O1617" s="3" t="s">
        <v>1744</v>
      </c>
      <c r="P1617" s="3" t="s">
        <v>36</v>
      </c>
      <c r="Q1617" s="3"/>
      <c r="R1617" s="4">
        <v>45996</v>
      </c>
      <c r="S1617" s="3" t="s">
        <v>37</v>
      </c>
      <c r="T1617" s="3" t="s">
        <v>38</v>
      </c>
      <c r="U1617" s="3" t="s">
        <v>39</v>
      </c>
      <c r="V1617" s="3">
        <v>138.38999999999999</v>
      </c>
      <c r="W1617" s="3">
        <v>58.82</v>
      </c>
      <c r="X1617" s="3">
        <v>55.7</v>
      </c>
      <c r="Y1617" s="3">
        <v>23.87</v>
      </c>
    </row>
    <row r="1618" spans="1:25" ht="60.75" x14ac:dyDescent="0.25">
      <c r="A1618" s="3" t="s">
        <v>26</v>
      </c>
      <c r="B1618" s="3" t="s">
        <v>27</v>
      </c>
      <c r="C1618" s="3" t="s">
        <v>28</v>
      </c>
      <c r="D1618" s="3" t="s">
        <v>29</v>
      </c>
      <c r="E1618" s="3" t="s">
        <v>119</v>
      </c>
      <c r="F1618" s="3" t="s">
        <v>31</v>
      </c>
      <c r="G1618" s="3" t="s">
        <v>119</v>
      </c>
      <c r="H1618" s="3" t="s">
        <v>96</v>
      </c>
      <c r="I1618" s="3">
        <v>2025</v>
      </c>
      <c r="J1618" s="3" t="str">
        <f>CONCATENATE("54820120282")</f>
        <v>54820120282</v>
      </c>
      <c r="K1618" s="3" t="s">
        <v>33</v>
      </c>
      <c r="L1618" s="3"/>
      <c r="M1618" s="3" t="s">
        <v>131</v>
      </c>
      <c r="N1618" s="3" t="str">
        <f>CONCATENATE("NPEVCN63E28H588W")</f>
        <v>NPEVCN63E28H588W</v>
      </c>
      <c r="O1618" s="3" t="s">
        <v>1745</v>
      </c>
      <c r="P1618" s="3" t="s">
        <v>36</v>
      </c>
      <c r="Q1618" s="3"/>
      <c r="R1618" s="4">
        <v>45996</v>
      </c>
      <c r="S1618" s="3" t="s">
        <v>37</v>
      </c>
      <c r="T1618" s="3" t="s">
        <v>38</v>
      </c>
      <c r="U1618" s="3" t="s">
        <v>39</v>
      </c>
      <c r="V1618" s="3">
        <v>66.08</v>
      </c>
      <c r="W1618" s="3">
        <v>28.08</v>
      </c>
      <c r="X1618" s="3">
        <v>26.6</v>
      </c>
      <c r="Y1618" s="3">
        <v>11.4</v>
      </c>
    </row>
    <row r="1619" spans="1:25" ht="60.75" x14ac:dyDescent="0.25">
      <c r="A1619" s="3" t="s">
        <v>26</v>
      </c>
      <c r="B1619" s="3" t="s">
        <v>27</v>
      </c>
      <c r="C1619" s="3" t="s">
        <v>28</v>
      </c>
      <c r="D1619" s="3" t="s">
        <v>29</v>
      </c>
      <c r="E1619" s="3" t="s">
        <v>119</v>
      </c>
      <c r="F1619" s="3" t="s">
        <v>31</v>
      </c>
      <c r="G1619" s="3" t="s">
        <v>119</v>
      </c>
      <c r="H1619" s="3" t="s">
        <v>96</v>
      </c>
      <c r="I1619" s="3">
        <v>2025</v>
      </c>
      <c r="J1619" s="3" t="str">
        <f>CONCATENATE("54820090386")</f>
        <v>54820090386</v>
      </c>
      <c r="K1619" s="3" t="s">
        <v>33</v>
      </c>
      <c r="L1619" s="3"/>
      <c r="M1619" s="3" t="s">
        <v>131</v>
      </c>
      <c r="N1619" s="3" t="str">
        <f>CONCATENATE("QNTBNT60S22D691E")</f>
        <v>QNTBNT60S22D691E</v>
      </c>
      <c r="O1619" s="3" t="s">
        <v>1746</v>
      </c>
      <c r="P1619" s="3" t="s">
        <v>36</v>
      </c>
      <c r="Q1619" s="3"/>
      <c r="R1619" s="4">
        <v>45996</v>
      </c>
      <c r="S1619" s="3" t="s">
        <v>37</v>
      </c>
      <c r="T1619" s="3" t="s">
        <v>38</v>
      </c>
      <c r="U1619" s="3" t="s">
        <v>39</v>
      </c>
      <c r="V1619" s="3">
        <v>189.14</v>
      </c>
      <c r="W1619" s="3">
        <v>80.38</v>
      </c>
      <c r="X1619" s="3">
        <v>76.13</v>
      </c>
      <c r="Y1619" s="3">
        <v>32.630000000000003</v>
      </c>
    </row>
    <row r="1620" spans="1:25" ht="60.75" x14ac:dyDescent="0.25">
      <c r="A1620" s="3" t="s">
        <v>26</v>
      </c>
      <c r="B1620" s="3" t="s">
        <v>27</v>
      </c>
      <c r="C1620" s="3" t="s">
        <v>28</v>
      </c>
      <c r="D1620" s="3" t="s">
        <v>50</v>
      </c>
      <c r="E1620" s="3" t="s">
        <v>147</v>
      </c>
      <c r="F1620" s="3" t="s">
        <v>52</v>
      </c>
      <c r="G1620" s="3" t="s">
        <v>147</v>
      </c>
      <c r="H1620" s="3" t="s">
        <v>45</v>
      </c>
      <c r="I1620" s="3">
        <v>2025</v>
      </c>
      <c r="J1620" s="3" t="str">
        <f>CONCATENATE("54820136056")</f>
        <v>54820136056</v>
      </c>
      <c r="K1620" s="3" t="s">
        <v>33</v>
      </c>
      <c r="L1620" s="3"/>
      <c r="M1620" s="3" t="s">
        <v>131</v>
      </c>
      <c r="N1620" s="3" t="str">
        <f>CONCATENATE("SCLPRC50D24H501Q")</f>
        <v>SCLPRC50D24H501Q</v>
      </c>
      <c r="O1620" s="3" t="s">
        <v>1747</v>
      </c>
      <c r="P1620" s="3" t="s">
        <v>36</v>
      </c>
      <c r="Q1620" s="3"/>
      <c r="R1620" s="4">
        <v>45996</v>
      </c>
      <c r="S1620" s="3" t="s">
        <v>37</v>
      </c>
      <c r="T1620" s="3" t="s">
        <v>38</v>
      </c>
      <c r="U1620" s="3" t="s">
        <v>39</v>
      </c>
      <c r="V1620" s="3">
        <v>189.62</v>
      </c>
      <c r="W1620" s="3">
        <v>80.59</v>
      </c>
      <c r="X1620" s="3">
        <v>76.319999999999993</v>
      </c>
      <c r="Y1620" s="3">
        <v>32.71</v>
      </c>
    </row>
    <row r="1621" spans="1:25" ht="72.75" x14ac:dyDescent="0.25">
      <c r="A1621" s="3" t="s">
        <v>26</v>
      </c>
      <c r="B1621" s="3" t="s">
        <v>27</v>
      </c>
      <c r="C1621" s="3" t="s">
        <v>28</v>
      </c>
      <c r="D1621" s="3" t="s">
        <v>40</v>
      </c>
      <c r="E1621" s="3" t="s">
        <v>41</v>
      </c>
      <c r="F1621" s="3" t="s">
        <v>42</v>
      </c>
      <c r="G1621" s="3" t="s">
        <v>41</v>
      </c>
      <c r="H1621" s="3" t="s">
        <v>32</v>
      </c>
      <c r="I1621" s="3">
        <v>2025</v>
      </c>
      <c r="J1621" s="3" t="str">
        <f>CONCATENATE("54820085816")</f>
        <v>54820085816</v>
      </c>
      <c r="K1621" s="3" t="s">
        <v>33</v>
      </c>
      <c r="L1621" s="3"/>
      <c r="M1621" s="3" t="s">
        <v>131</v>
      </c>
      <c r="N1621" s="3" t="str">
        <f>CONCATENATE("BNMSLV85T49H501B")</f>
        <v>BNMSLV85T49H501B</v>
      </c>
      <c r="O1621" s="3" t="s">
        <v>203</v>
      </c>
      <c r="P1621" s="3" t="s">
        <v>36</v>
      </c>
      <c r="Q1621" s="3"/>
      <c r="R1621" s="4">
        <v>45996</v>
      </c>
      <c r="S1621" s="3" t="s">
        <v>37</v>
      </c>
      <c r="T1621" s="3" t="s">
        <v>38</v>
      </c>
      <c r="U1621" s="3" t="s">
        <v>39</v>
      </c>
      <c r="V1621" s="3">
        <v>692.14</v>
      </c>
      <c r="W1621" s="3">
        <v>294.16000000000003</v>
      </c>
      <c r="X1621" s="3">
        <v>278.58999999999997</v>
      </c>
      <c r="Y1621" s="3">
        <v>119.39</v>
      </c>
    </row>
    <row r="1622" spans="1:25" ht="72.75" x14ac:dyDescent="0.25">
      <c r="A1622" s="3" t="s">
        <v>26</v>
      </c>
      <c r="B1622" s="3" t="s">
        <v>27</v>
      </c>
      <c r="C1622" s="3" t="s">
        <v>28</v>
      </c>
      <c r="D1622" s="3" t="s">
        <v>29</v>
      </c>
      <c r="E1622" s="3" t="s">
        <v>233</v>
      </c>
      <c r="F1622" s="3" t="s">
        <v>31</v>
      </c>
      <c r="G1622" s="3" t="s">
        <v>233</v>
      </c>
      <c r="H1622" s="3" t="s">
        <v>96</v>
      </c>
      <c r="I1622" s="3">
        <v>2025</v>
      </c>
      <c r="J1622" s="3" t="str">
        <f>CONCATENATE("54820105333")</f>
        <v>54820105333</v>
      </c>
      <c r="K1622" s="3" t="s">
        <v>33</v>
      </c>
      <c r="L1622" s="3"/>
      <c r="M1622" s="3" t="s">
        <v>131</v>
      </c>
      <c r="N1622" s="3" t="str">
        <f>CONCATENATE("NGLFRZ88B28A462G")</f>
        <v>NGLFRZ88B28A462G</v>
      </c>
      <c r="O1622" s="3" t="s">
        <v>1748</v>
      </c>
      <c r="P1622" s="3" t="s">
        <v>36</v>
      </c>
      <c r="Q1622" s="3"/>
      <c r="R1622" s="4">
        <v>45996</v>
      </c>
      <c r="S1622" s="3" t="s">
        <v>37</v>
      </c>
      <c r="T1622" s="3" t="s">
        <v>38</v>
      </c>
      <c r="U1622" s="3" t="s">
        <v>39</v>
      </c>
      <c r="V1622" s="3">
        <v>275.20999999999998</v>
      </c>
      <c r="W1622" s="3">
        <v>116.96</v>
      </c>
      <c r="X1622" s="3">
        <v>110.77</v>
      </c>
      <c r="Y1622" s="3">
        <v>47.48</v>
      </c>
    </row>
    <row r="1623" spans="1:25" ht="60.75" x14ac:dyDescent="0.25">
      <c r="A1623" s="3" t="s">
        <v>26</v>
      </c>
      <c r="B1623" s="3" t="s">
        <v>27</v>
      </c>
      <c r="C1623" s="3" t="s">
        <v>28</v>
      </c>
      <c r="D1623" s="3" t="s">
        <v>29</v>
      </c>
      <c r="E1623" s="3" t="s">
        <v>80</v>
      </c>
      <c r="F1623" s="3" t="s">
        <v>31</v>
      </c>
      <c r="G1623" s="3" t="s">
        <v>80</v>
      </c>
      <c r="H1623" s="3" t="s">
        <v>45</v>
      </c>
      <c r="I1623" s="3">
        <v>2025</v>
      </c>
      <c r="J1623" s="3" t="str">
        <f>CONCATENATE("54820061940")</f>
        <v>54820061940</v>
      </c>
      <c r="K1623" s="3" t="s">
        <v>33</v>
      </c>
      <c r="L1623" s="3"/>
      <c r="M1623" s="3" t="s">
        <v>131</v>
      </c>
      <c r="N1623" s="3" t="str">
        <f>CONCATENATE("SPDRRT48C09I654C")</f>
        <v>SPDRRT48C09I654C</v>
      </c>
      <c r="O1623" s="3" t="s">
        <v>1749</v>
      </c>
      <c r="P1623" s="3" t="s">
        <v>36</v>
      </c>
      <c r="Q1623" s="3"/>
      <c r="R1623" s="4">
        <v>45996</v>
      </c>
      <c r="S1623" s="3" t="s">
        <v>37</v>
      </c>
      <c r="T1623" s="3" t="s">
        <v>38</v>
      </c>
      <c r="U1623" s="3" t="s">
        <v>39</v>
      </c>
      <c r="V1623" s="3">
        <v>149.16999999999999</v>
      </c>
      <c r="W1623" s="3">
        <v>63.4</v>
      </c>
      <c r="X1623" s="3">
        <v>60.04</v>
      </c>
      <c r="Y1623" s="3">
        <v>25.73</v>
      </c>
    </row>
    <row r="1624" spans="1:25" ht="60.75" x14ac:dyDescent="0.25">
      <c r="A1624" s="3" t="s">
        <v>26</v>
      </c>
      <c r="B1624" s="3" t="s">
        <v>27</v>
      </c>
      <c r="C1624" s="3" t="s">
        <v>28</v>
      </c>
      <c r="D1624" s="3" t="s">
        <v>29</v>
      </c>
      <c r="E1624" s="3" t="s">
        <v>136</v>
      </c>
      <c r="F1624" s="3" t="s">
        <v>31</v>
      </c>
      <c r="G1624" s="3" t="s">
        <v>136</v>
      </c>
      <c r="H1624" s="3" t="s">
        <v>48</v>
      </c>
      <c r="I1624" s="3">
        <v>2025</v>
      </c>
      <c r="J1624" s="3" t="str">
        <f>CONCATENATE("54820117056")</f>
        <v>54820117056</v>
      </c>
      <c r="K1624" s="3" t="s">
        <v>33</v>
      </c>
      <c r="L1624" s="3"/>
      <c r="M1624" s="3" t="s">
        <v>131</v>
      </c>
      <c r="N1624" s="3" t="str">
        <f>CONCATENATE("PRMFNC55P58D965X")</f>
        <v>PRMFNC55P58D965X</v>
      </c>
      <c r="O1624" s="3" t="s">
        <v>1750</v>
      </c>
      <c r="P1624" s="3" t="s">
        <v>36</v>
      </c>
      <c r="Q1624" s="3"/>
      <c r="R1624" s="4">
        <v>45996</v>
      </c>
      <c r="S1624" s="3" t="s">
        <v>37</v>
      </c>
      <c r="T1624" s="3" t="s">
        <v>38</v>
      </c>
      <c r="U1624" s="3" t="s">
        <v>39</v>
      </c>
      <c r="V1624" s="3">
        <v>228.85</v>
      </c>
      <c r="W1624" s="3">
        <v>97.26</v>
      </c>
      <c r="X1624" s="3">
        <v>92.11</v>
      </c>
      <c r="Y1624" s="3">
        <v>39.479999999999997</v>
      </c>
    </row>
    <row r="1625" spans="1:25" ht="60.75" x14ac:dyDescent="0.25">
      <c r="A1625" s="3" t="s">
        <v>26</v>
      </c>
      <c r="B1625" s="3" t="s">
        <v>27</v>
      </c>
      <c r="C1625" s="3" t="s">
        <v>28</v>
      </c>
      <c r="D1625" s="3" t="s">
        <v>29</v>
      </c>
      <c r="E1625" s="3" t="s">
        <v>182</v>
      </c>
      <c r="F1625" s="3" t="s">
        <v>31</v>
      </c>
      <c r="G1625" s="3" t="s">
        <v>182</v>
      </c>
      <c r="H1625" s="3" t="s">
        <v>45</v>
      </c>
      <c r="I1625" s="3">
        <v>2025</v>
      </c>
      <c r="J1625" s="3" t="str">
        <f>CONCATENATE("54820152780")</f>
        <v>54820152780</v>
      </c>
      <c r="K1625" s="3" t="s">
        <v>33</v>
      </c>
      <c r="L1625" s="3"/>
      <c r="M1625" s="3" t="s">
        <v>131</v>
      </c>
      <c r="N1625" s="3" t="str">
        <f>CONCATENATE("PSSGTN59S12L500B")</f>
        <v>PSSGTN59S12L500B</v>
      </c>
      <c r="O1625" s="3" t="s">
        <v>1751</v>
      </c>
      <c r="P1625" s="3" t="s">
        <v>36</v>
      </c>
      <c r="Q1625" s="3"/>
      <c r="R1625" s="4">
        <v>45996</v>
      </c>
      <c r="S1625" s="3" t="s">
        <v>37</v>
      </c>
      <c r="T1625" s="3" t="s">
        <v>38</v>
      </c>
      <c r="U1625" s="3" t="s">
        <v>39</v>
      </c>
      <c r="V1625" s="3">
        <v>571.54</v>
      </c>
      <c r="W1625" s="3">
        <v>242.9</v>
      </c>
      <c r="X1625" s="3">
        <v>230.04</v>
      </c>
      <c r="Y1625" s="3">
        <v>98.6</v>
      </c>
    </row>
    <row r="1626" spans="1:25" ht="60.75" x14ac:dyDescent="0.25">
      <c r="A1626" s="3" t="s">
        <v>26</v>
      </c>
      <c r="B1626" s="3" t="s">
        <v>27</v>
      </c>
      <c r="C1626" s="3" t="s">
        <v>28</v>
      </c>
      <c r="D1626" s="3" t="s">
        <v>104</v>
      </c>
      <c r="E1626" s="3" t="s">
        <v>141</v>
      </c>
      <c r="F1626" s="3" t="s">
        <v>104</v>
      </c>
      <c r="G1626" s="3" t="s">
        <v>141</v>
      </c>
      <c r="H1626" s="3" t="s">
        <v>96</v>
      </c>
      <c r="I1626" s="3">
        <v>2025</v>
      </c>
      <c r="J1626" s="3" t="str">
        <f>CONCATENATE("54820144969")</f>
        <v>54820144969</v>
      </c>
      <c r="K1626" s="3" t="s">
        <v>33</v>
      </c>
      <c r="L1626" s="3"/>
      <c r="M1626" s="3" t="s">
        <v>131</v>
      </c>
      <c r="N1626" s="3" t="str">
        <f>CONCATENATE("VLIBSL64R26A258H")</f>
        <v>VLIBSL64R26A258H</v>
      </c>
      <c r="O1626" s="3" t="s">
        <v>1752</v>
      </c>
      <c r="P1626" s="3" t="s">
        <v>36</v>
      </c>
      <c r="Q1626" s="3"/>
      <c r="R1626" s="4">
        <v>45996</v>
      </c>
      <c r="S1626" s="3" t="s">
        <v>37</v>
      </c>
      <c r="T1626" s="3" t="s">
        <v>38</v>
      </c>
      <c r="U1626" s="3" t="s">
        <v>39</v>
      </c>
      <c r="V1626" s="3">
        <v>60.66</v>
      </c>
      <c r="W1626" s="3">
        <v>25.78</v>
      </c>
      <c r="X1626" s="3">
        <v>24.42</v>
      </c>
      <c r="Y1626" s="3">
        <v>10.46</v>
      </c>
    </row>
    <row r="1627" spans="1:25" ht="60.75" x14ac:dyDescent="0.25">
      <c r="A1627" s="3" t="s">
        <v>26</v>
      </c>
      <c r="B1627" s="3" t="s">
        <v>27</v>
      </c>
      <c r="C1627" s="3" t="s">
        <v>28</v>
      </c>
      <c r="D1627" s="3" t="s">
        <v>29</v>
      </c>
      <c r="E1627" s="3" t="s">
        <v>136</v>
      </c>
      <c r="F1627" s="3" t="s">
        <v>31</v>
      </c>
      <c r="G1627" s="3" t="s">
        <v>136</v>
      </c>
      <c r="H1627" s="3" t="s">
        <v>48</v>
      </c>
      <c r="I1627" s="3">
        <v>2025</v>
      </c>
      <c r="J1627" s="3" t="str">
        <f>CONCATENATE("54820127493")</f>
        <v>54820127493</v>
      </c>
      <c r="K1627" s="3" t="s">
        <v>33</v>
      </c>
      <c r="L1627" s="3"/>
      <c r="M1627" s="3" t="s">
        <v>131</v>
      </c>
      <c r="N1627" s="3" t="str">
        <f>CONCATENATE("GDRGPP37E62I461D")</f>
        <v>GDRGPP37E62I461D</v>
      </c>
      <c r="O1627" s="3" t="s">
        <v>1753</v>
      </c>
      <c r="P1627" s="3" t="s">
        <v>36</v>
      </c>
      <c r="Q1627" s="3"/>
      <c r="R1627" s="4">
        <v>45996</v>
      </c>
      <c r="S1627" s="3" t="s">
        <v>37</v>
      </c>
      <c r="T1627" s="3" t="s">
        <v>38</v>
      </c>
      <c r="U1627" s="3" t="s">
        <v>39</v>
      </c>
      <c r="V1627" s="3">
        <v>150.36000000000001</v>
      </c>
      <c r="W1627" s="3">
        <v>63.9</v>
      </c>
      <c r="X1627" s="3">
        <v>60.52</v>
      </c>
      <c r="Y1627" s="3">
        <v>25.94</v>
      </c>
    </row>
    <row r="1628" spans="1:25" ht="36.75" x14ac:dyDescent="0.25">
      <c r="A1628" s="3" t="s">
        <v>26</v>
      </c>
      <c r="B1628" s="3" t="s">
        <v>27</v>
      </c>
      <c r="C1628" s="3" t="s">
        <v>28</v>
      </c>
      <c r="D1628" s="3" t="s">
        <v>29</v>
      </c>
      <c r="E1628" s="3" t="s">
        <v>186</v>
      </c>
      <c r="F1628" s="3" t="s">
        <v>31</v>
      </c>
      <c r="G1628" s="3" t="s">
        <v>186</v>
      </c>
      <c r="H1628" s="3" t="s">
        <v>45</v>
      </c>
      <c r="I1628" s="3">
        <v>2025</v>
      </c>
      <c r="J1628" s="3" t="str">
        <f>CONCATENATE("54820145321")</f>
        <v>54820145321</v>
      </c>
      <c r="K1628" s="3" t="s">
        <v>33</v>
      </c>
      <c r="L1628" s="3"/>
      <c r="M1628" s="3" t="s">
        <v>131</v>
      </c>
      <c r="N1628" s="3" t="str">
        <f>CONCATENATE("00454810417")</f>
        <v>00454810417</v>
      </c>
      <c r="O1628" s="3" t="s">
        <v>1754</v>
      </c>
      <c r="P1628" s="3" t="s">
        <v>36</v>
      </c>
      <c r="Q1628" s="3"/>
      <c r="R1628" s="4">
        <v>45996</v>
      </c>
      <c r="S1628" s="3" t="s">
        <v>37</v>
      </c>
      <c r="T1628" s="3" t="s">
        <v>38</v>
      </c>
      <c r="U1628" s="3" t="s">
        <v>39</v>
      </c>
      <c r="V1628" s="3">
        <v>827.14</v>
      </c>
      <c r="W1628" s="3">
        <v>351.53</v>
      </c>
      <c r="X1628" s="3">
        <v>332.92</v>
      </c>
      <c r="Y1628" s="3">
        <v>142.69</v>
      </c>
    </row>
    <row r="1629" spans="1:25" ht="36.75" x14ac:dyDescent="0.25">
      <c r="A1629" s="3" t="s">
        <v>26</v>
      </c>
      <c r="B1629" s="3" t="s">
        <v>27</v>
      </c>
      <c r="C1629" s="3" t="s">
        <v>28</v>
      </c>
      <c r="D1629" s="3" t="s">
        <v>29</v>
      </c>
      <c r="E1629" s="3" t="s">
        <v>228</v>
      </c>
      <c r="F1629" s="3" t="s">
        <v>31</v>
      </c>
      <c r="G1629" s="3" t="s">
        <v>228</v>
      </c>
      <c r="H1629" s="3" t="s">
        <v>45</v>
      </c>
      <c r="I1629" s="3">
        <v>2025</v>
      </c>
      <c r="J1629" s="3" t="str">
        <f>CONCATENATE("54820064142")</f>
        <v>54820064142</v>
      </c>
      <c r="K1629" s="3" t="s">
        <v>33</v>
      </c>
      <c r="L1629" s="3"/>
      <c r="M1629" s="3" t="s">
        <v>131</v>
      </c>
      <c r="N1629" s="3" t="str">
        <f>CONCATENATE("02577080415")</f>
        <v>02577080415</v>
      </c>
      <c r="O1629" s="3" t="s">
        <v>1755</v>
      </c>
      <c r="P1629" s="3" t="s">
        <v>36</v>
      </c>
      <c r="Q1629" s="3"/>
      <c r="R1629" s="4">
        <v>45996</v>
      </c>
      <c r="S1629" s="3" t="s">
        <v>37</v>
      </c>
      <c r="T1629" s="3" t="s">
        <v>38</v>
      </c>
      <c r="U1629" s="3" t="s">
        <v>39</v>
      </c>
      <c r="V1629" s="3">
        <v>170.19</v>
      </c>
      <c r="W1629" s="3">
        <v>72.33</v>
      </c>
      <c r="X1629" s="3">
        <v>68.5</v>
      </c>
      <c r="Y1629" s="3">
        <v>29.36</v>
      </c>
    </row>
    <row r="1630" spans="1:25" ht="60.75" x14ac:dyDescent="0.25">
      <c r="A1630" s="3" t="s">
        <v>26</v>
      </c>
      <c r="B1630" s="3" t="s">
        <v>27</v>
      </c>
      <c r="C1630" s="3" t="s">
        <v>28</v>
      </c>
      <c r="D1630" s="3" t="s">
        <v>29</v>
      </c>
      <c r="E1630" s="3" t="s">
        <v>186</v>
      </c>
      <c r="F1630" s="3" t="s">
        <v>31</v>
      </c>
      <c r="G1630" s="3" t="s">
        <v>186</v>
      </c>
      <c r="H1630" s="3" t="s">
        <v>45</v>
      </c>
      <c r="I1630" s="3">
        <v>2025</v>
      </c>
      <c r="J1630" s="3" t="str">
        <f>CONCATENATE("54820040845")</f>
        <v>54820040845</v>
      </c>
      <c r="K1630" s="3" t="s">
        <v>33</v>
      </c>
      <c r="L1630" s="3"/>
      <c r="M1630" s="3" t="s">
        <v>131</v>
      </c>
      <c r="N1630" s="3" t="str">
        <f>CONCATENATE("PCCPRZ70L55E785J")</f>
        <v>PCCPRZ70L55E785J</v>
      </c>
      <c r="O1630" s="3" t="s">
        <v>1756</v>
      </c>
      <c r="P1630" s="3" t="s">
        <v>36</v>
      </c>
      <c r="Q1630" s="3"/>
      <c r="R1630" s="4">
        <v>45996</v>
      </c>
      <c r="S1630" s="3" t="s">
        <v>37</v>
      </c>
      <c r="T1630" s="3" t="s">
        <v>38</v>
      </c>
      <c r="U1630" s="3" t="s">
        <v>39</v>
      </c>
      <c r="V1630" s="3">
        <v>584.07000000000005</v>
      </c>
      <c r="W1630" s="3">
        <v>248.23</v>
      </c>
      <c r="X1630" s="3">
        <v>235.09</v>
      </c>
      <c r="Y1630" s="3">
        <v>100.75</v>
      </c>
    </row>
    <row r="1631" spans="1:25" ht="60.75" x14ac:dyDescent="0.25">
      <c r="A1631" s="3" t="s">
        <v>26</v>
      </c>
      <c r="B1631" s="3" t="s">
        <v>27</v>
      </c>
      <c r="C1631" s="3" t="s">
        <v>28</v>
      </c>
      <c r="D1631" s="3" t="s">
        <v>40</v>
      </c>
      <c r="E1631" s="3" t="s">
        <v>44</v>
      </c>
      <c r="F1631" s="3" t="s">
        <v>42</v>
      </c>
      <c r="G1631" s="3" t="s">
        <v>44</v>
      </c>
      <c r="H1631" s="3" t="s">
        <v>32</v>
      </c>
      <c r="I1631" s="3">
        <v>2025</v>
      </c>
      <c r="J1631" s="3" t="str">
        <f>CONCATENATE("54820015961")</f>
        <v>54820015961</v>
      </c>
      <c r="K1631" s="3" t="s">
        <v>33</v>
      </c>
      <c r="L1631" s="3"/>
      <c r="M1631" s="3" t="s">
        <v>131</v>
      </c>
      <c r="N1631" s="3" t="str">
        <f>CONCATENATE("FBAGNN96E44B474Z")</f>
        <v>FBAGNN96E44B474Z</v>
      </c>
      <c r="O1631" s="3" t="s">
        <v>1757</v>
      </c>
      <c r="P1631" s="3" t="s">
        <v>36</v>
      </c>
      <c r="Q1631" s="3"/>
      <c r="R1631" s="4">
        <v>45996</v>
      </c>
      <c r="S1631" s="3" t="s">
        <v>37</v>
      </c>
      <c r="T1631" s="3" t="s">
        <v>38</v>
      </c>
      <c r="U1631" s="3" t="s">
        <v>39</v>
      </c>
      <c r="V1631" s="3">
        <v>78.14</v>
      </c>
      <c r="W1631" s="3">
        <v>33.21</v>
      </c>
      <c r="X1631" s="3">
        <v>31.45</v>
      </c>
      <c r="Y1631" s="3">
        <v>13.48</v>
      </c>
    </row>
    <row r="1632" spans="1:25" ht="60.75" x14ac:dyDescent="0.25">
      <c r="A1632" s="3" t="s">
        <v>26</v>
      </c>
      <c r="B1632" s="3" t="s">
        <v>27</v>
      </c>
      <c r="C1632" s="3" t="s">
        <v>28</v>
      </c>
      <c r="D1632" s="3" t="s">
        <v>29</v>
      </c>
      <c r="E1632" s="3" t="s">
        <v>233</v>
      </c>
      <c r="F1632" s="3" t="s">
        <v>31</v>
      </c>
      <c r="G1632" s="3" t="s">
        <v>233</v>
      </c>
      <c r="H1632" s="3" t="s">
        <v>96</v>
      </c>
      <c r="I1632" s="3">
        <v>2025</v>
      </c>
      <c r="J1632" s="3" t="str">
        <f>CONCATENATE("54820066485")</f>
        <v>54820066485</v>
      </c>
      <c r="K1632" s="3" t="s">
        <v>33</v>
      </c>
      <c r="L1632" s="3"/>
      <c r="M1632" s="3" t="s">
        <v>131</v>
      </c>
      <c r="N1632" s="3" t="str">
        <f>CONCATENATE("PRDRLL55B46A462M")</f>
        <v>PRDRLL55B46A462M</v>
      </c>
      <c r="O1632" s="3" t="s">
        <v>1758</v>
      </c>
      <c r="P1632" s="3" t="s">
        <v>36</v>
      </c>
      <c r="Q1632" s="3"/>
      <c r="R1632" s="4">
        <v>45996</v>
      </c>
      <c r="S1632" s="3" t="s">
        <v>37</v>
      </c>
      <c r="T1632" s="3" t="s">
        <v>38</v>
      </c>
      <c r="U1632" s="3" t="s">
        <v>39</v>
      </c>
      <c r="V1632" s="3">
        <v>53.83</v>
      </c>
      <c r="W1632" s="3">
        <v>22.88</v>
      </c>
      <c r="X1632" s="3">
        <v>21.67</v>
      </c>
      <c r="Y1632" s="3">
        <v>9.2799999999999994</v>
      </c>
    </row>
    <row r="1633" spans="1:25" ht="60.75" x14ac:dyDescent="0.25">
      <c r="A1633" s="3" t="s">
        <v>26</v>
      </c>
      <c r="B1633" s="3" t="s">
        <v>27</v>
      </c>
      <c r="C1633" s="3" t="s">
        <v>28</v>
      </c>
      <c r="D1633" s="3" t="s">
        <v>40</v>
      </c>
      <c r="E1633" s="3" t="s">
        <v>54</v>
      </c>
      <c r="F1633" s="3" t="s">
        <v>42</v>
      </c>
      <c r="G1633" s="3" t="s">
        <v>54</v>
      </c>
      <c r="H1633" s="3" t="s">
        <v>45</v>
      </c>
      <c r="I1633" s="3">
        <v>2025</v>
      </c>
      <c r="J1633" s="3" t="str">
        <f>CONCATENATE("54820045299")</f>
        <v>54820045299</v>
      </c>
      <c r="K1633" s="3" t="s">
        <v>33</v>
      </c>
      <c r="L1633" s="3"/>
      <c r="M1633" s="3" t="s">
        <v>131</v>
      </c>
      <c r="N1633" s="3" t="str">
        <f>CONCATENATE("BTTLSN56E17G551J")</f>
        <v>BTTLSN56E17G551J</v>
      </c>
      <c r="O1633" s="3" t="s">
        <v>1759</v>
      </c>
      <c r="P1633" s="3" t="s">
        <v>36</v>
      </c>
      <c r="Q1633" s="3"/>
      <c r="R1633" s="4">
        <v>45996</v>
      </c>
      <c r="S1633" s="3" t="s">
        <v>37</v>
      </c>
      <c r="T1633" s="3" t="s">
        <v>38</v>
      </c>
      <c r="U1633" s="3" t="s">
        <v>39</v>
      </c>
      <c r="V1633" s="3">
        <v>185.16</v>
      </c>
      <c r="W1633" s="3">
        <v>78.69</v>
      </c>
      <c r="X1633" s="3">
        <v>74.53</v>
      </c>
      <c r="Y1633" s="3">
        <v>31.94</v>
      </c>
    </row>
    <row r="1634" spans="1:25" ht="60.75" x14ac:dyDescent="0.25">
      <c r="A1634" s="3" t="s">
        <v>26</v>
      </c>
      <c r="B1634" s="3" t="s">
        <v>27</v>
      </c>
      <c r="C1634" s="3" t="s">
        <v>28</v>
      </c>
      <c r="D1634" s="3" t="s">
        <v>91</v>
      </c>
      <c r="E1634" s="3" t="s">
        <v>151</v>
      </c>
      <c r="F1634" s="3" t="s">
        <v>93</v>
      </c>
      <c r="G1634" s="3" t="s">
        <v>151</v>
      </c>
      <c r="H1634" s="3" t="s">
        <v>45</v>
      </c>
      <c r="I1634" s="3">
        <v>2025</v>
      </c>
      <c r="J1634" s="3" t="str">
        <f>CONCATENATE("54820116637")</f>
        <v>54820116637</v>
      </c>
      <c r="K1634" s="3" t="s">
        <v>33</v>
      </c>
      <c r="L1634" s="3"/>
      <c r="M1634" s="3" t="s">
        <v>131</v>
      </c>
      <c r="N1634" s="3" t="str">
        <f>CONCATENATE("DLLGLL69T68L498Y")</f>
        <v>DLLGLL69T68L498Y</v>
      </c>
      <c r="O1634" s="3" t="s">
        <v>1760</v>
      </c>
      <c r="P1634" s="3" t="s">
        <v>36</v>
      </c>
      <c r="Q1634" s="3"/>
      <c r="R1634" s="4">
        <v>45996</v>
      </c>
      <c r="S1634" s="3" t="s">
        <v>37</v>
      </c>
      <c r="T1634" s="3" t="s">
        <v>38</v>
      </c>
      <c r="U1634" s="3" t="s">
        <v>39</v>
      </c>
      <c r="V1634" s="3">
        <v>458.93</v>
      </c>
      <c r="W1634" s="3">
        <v>195.05</v>
      </c>
      <c r="X1634" s="3">
        <v>184.72</v>
      </c>
      <c r="Y1634" s="3">
        <v>79.16</v>
      </c>
    </row>
    <row r="1635" spans="1:25" ht="60.75" x14ac:dyDescent="0.25">
      <c r="A1635" s="3" t="s">
        <v>26</v>
      </c>
      <c r="B1635" s="3" t="s">
        <v>27</v>
      </c>
      <c r="C1635" s="3" t="s">
        <v>28</v>
      </c>
      <c r="D1635" s="3" t="s">
        <v>40</v>
      </c>
      <c r="E1635" s="3" t="s">
        <v>287</v>
      </c>
      <c r="F1635" s="3" t="s">
        <v>42</v>
      </c>
      <c r="G1635" s="3" t="s">
        <v>287</v>
      </c>
      <c r="H1635" s="3" t="s">
        <v>32</v>
      </c>
      <c r="I1635" s="3">
        <v>2025</v>
      </c>
      <c r="J1635" s="3" t="str">
        <f>CONCATENATE("54820040225")</f>
        <v>54820040225</v>
      </c>
      <c r="K1635" s="3" t="s">
        <v>33</v>
      </c>
      <c r="L1635" s="3"/>
      <c r="M1635" s="3" t="s">
        <v>131</v>
      </c>
      <c r="N1635" s="3" t="str">
        <f>CONCATENATE("CNVLCN66T09B474J")</f>
        <v>CNVLCN66T09B474J</v>
      </c>
      <c r="O1635" s="3" t="s">
        <v>1761</v>
      </c>
      <c r="P1635" s="3" t="s">
        <v>36</v>
      </c>
      <c r="Q1635" s="3"/>
      <c r="R1635" s="4">
        <v>45996</v>
      </c>
      <c r="S1635" s="3" t="s">
        <v>37</v>
      </c>
      <c r="T1635" s="3" t="s">
        <v>38</v>
      </c>
      <c r="U1635" s="3" t="s">
        <v>39</v>
      </c>
      <c r="V1635" s="5">
        <v>1274.67</v>
      </c>
      <c r="W1635" s="3">
        <v>541.73</v>
      </c>
      <c r="X1635" s="3">
        <v>513.04999999999995</v>
      </c>
      <c r="Y1635" s="3">
        <v>219.89</v>
      </c>
    </row>
    <row r="1636" spans="1:25" ht="60.75" x14ac:dyDescent="0.25">
      <c r="A1636" s="3" t="s">
        <v>26</v>
      </c>
      <c r="B1636" s="3" t="s">
        <v>27</v>
      </c>
      <c r="C1636" s="3" t="s">
        <v>28</v>
      </c>
      <c r="D1636" s="3" t="s">
        <v>29</v>
      </c>
      <c r="E1636" s="3" t="s">
        <v>56</v>
      </c>
      <c r="F1636" s="3" t="s">
        <v>31</v>
      </c>
      <c r="G1636" s="3" t="s">
        <v>56</v>
      </c>
      <c r="H1636" s="3" t="s">
        <v>32</v>
      </c>
      <c r="I1636" s="3">
        <v>2025</v>
      </c>
      <c r="J1636" s="3" t="str">
        <f>CONCATENATE("54820090279")</f>
        <v>54820090279</v>
      </c>
      <c r="K1636" s="3" t="s">
        <v>33</v>
      </c>
      <c r="L1636" s="3"/>
      <c r="M1636" s="3" t="s">
        <v>131</v>
      </c>
      <c r="N1636" s="3" t="str">
        <f>CONCATENATE("GCBLGU33S23D564V")</f>
        <v>GCBLGU33S23D564V</v>
      </c>
      <c r="O1636" s="3" t="s">
        <v>1762</v>
      </c>
      <c r="P1636" s="3" t="s">
        <v>36</v>
      </c>
      <c r="Q1636" s="3"/>
      <c r="R1636" s="4">
        <v>45996</v>
      </c>
      <c r="S1636" s="3" t="s">
        <v>37</v>
      </c>
      <c r="T1636" s="3" t="s">
        <v>38</v>
      </c>
      <c r="U1636" s="3" t="s">
        <v>39</v>
      </c>
      <c r="V1636" s="3">
        <v>262.95</v>
      </c>
      <c r="W1636" s="3">
        <v>111.75</v>
      </c>
      <c r="X1636" s="3">
        <v>105.84</v>
      </c>
      <c r="Y1636" s="3">
        <v>45.36</v>
      </c>
    </row>
    <row r="1637" spans="1:25" ht="60.75" x14ac:dyDescent="0.25">
      <c r="A1637" s="3" t="s">
        <v>26</v>
      </c>
      <c r="B1637" s="3" t="s">
        <v>27</v>
      </c>
      <c r="C1637" s="3" t="s">
        <v>28</v>
      </c>
      <c r="D1637" s="3" t="s">
        <v>50</v>
      </c>
      <c r="E1637" s="3" t="s">
        <v>60</v>
      </c>
      <c r="F1637" s="3" t="s">
        <v>52</v>
      </c>
      <c r="G1637" s="3" t="s">
        <v>60</v>
      </c>
      <c r="H1637" s="3" t="s">
        <v>45</v>
      </c>
      <c r="I1637" s="3">
        <v>2025</v>
      </c>
      <c r="J1637" s="3" t="str">
        <f>CONCATENATE("54820123542")</f>
        <v>54820123542</v>
      </c>
      <c r="K1637" s="3" t="s">
        <v>33</v>
      </c>
      <c r="L1637" s="3"/>
      <c r="M1637" s="3" t="s">
        <v>131</v>
      </c>
      <c r="N1637" s="3" t="str">
        <f>CONCATENATE("VLPMTR59C68G682X")</f>
        <v>VLPMTR59C68G682X</v>
      </c>
      <c r="O1637" s="3" t="s">
        <v>1763</v>
      </c>
      <c r="P1637" s="3" t="s">
        <v>36</v>
      </c>
      <c r="Q1637" s="3"/>
      <c r="R1637" s="4">
        <v>45996</v>
      </c>
      <c r="S1637" s="3" t="s">
        <v>37</v>
      </c>
      <c r="T1637" s="3" t="s">
        <v>38</v>
      </c>
      <c r="U1637" s="3" t="s">
        <v>39</v>
      </c>
      <c r="V1637" s="3">
        <v>191.36</v>
      </c>
      <c r="W1637" s="3">
        <v>81.33</v>
      </c>
      <c r="X1637" s="3">
        <v>77.02</v>
      </c>
      <c r="Y1637" s="3">
        <v>33.01</v>
      </c>
    </row>
    <row r="1638" spans="1:25" ht="72.75" x14ac:dyDescent="0.25">
      <c r="A1638" s="3" t="s">
        <v>26</v>
      </c>
      <c r="B1638" s="3" t="s">
        <v>27</v>
      </c>
      <c r="C1638" s="3" t="s">
        <v>28</v>
      </c>
      <c r="D1638" s="3" t="s">
        <v>104</v>
      </c>
      <c r="E1638" s="3" t="s">
        <v>268</v>
      </c>
      <c r="F1638" s="3" t="s">
        <v>104</v>
      </c>
      <c r="G1638" s="3" t="s">
        <v>268</v>
      </c>
      <c r="H1638" s="3" t="s">
        <v>32</v>
      </c>
      <c r="I1638" s="3">
        <v>2025</v>
      </c>
      <c r="J1638" s="3" t="str">
        <f>CONCATENATE("54820019617")</f>
        <v>54820019617</v>
      </c>
      <c r="K1638" s="3" t="s">
        <v>33</v>
      </c>
      <c r="L1638" s="3"/>
      <c r="M1638" s="3" t="s">
        <v>131</v>
      </c>
      <c r="N1638" s="3" t="str">
        <f>CONCATENATE("CNSMRA39A22B474W")</f>
        <v>CNSMRA39A22B474W</v>
      </c>
      <c r="O1638" s="3" t="s">
        <v>1764</v>
      </c>
      <c r="P1638" s="3" t="s">
        <v>36</v>
      </c>
      <c r="Q1638" s="3"/>
      <c r="R1638" s="4">
        <v>45996</v>
      </c>
      <c r="S1638" s="3" t="s">
        <v>37</v>
      </c>
      <c r="T1638" s="3" t="s">
        <v>38</v>
      </c>
      <c r="U1638" s="3" t="s">
        <v>39</v>
      </c>
      <c r="V1638" s="3">
        <v>87.89</v>
      </c>
      <c r="W1638" s="3">
        <v>37.35</v>
      </c>
      <c r="X1638" s="3">
        <v>35.380000000000003</v>
      </c>
      <c r="Y1638" s="3">
        <v>15.16</v>
      </c>
    </row>
    <row r="1639" spans="1:25" ht="60.75" x14ac:dyDescent="0.25">
      <c r="A1639" s="3" t="s">
        <v>26</v>
      </c>
      <c r="B1639" s="3" t="s">
        <v>27</v>
      </c>
      <c r="C1639" s="3" t="s">
        <v>28</v>
      </c>
      <c r="D1639" s="3" t="s">
        <v>50</v>
      </c>
      <c r="E1639" s="3" t="s">
        <v>147</v>
      </c>
      <c r="F1639" s="3" t="s">
        <v>52</v>
      </c>
      <c r="G1639" s="3" t="s">
        <v>147</v>
      </c>
      <c r="H1639" s="3" t="s">
        <v>45</v>
      </c>
      <c r="I1639" s="3">
        <v>2025</v>
      </c>
      <c r="J1639" s="3" t="str">
        <f>CONCATENATE("54820093661")</f>
        <v>54820093661</v>
      </c>
      <c r="K1639" s="3" t="s">
        <v>33</v>
      </c>
      <c r="L1639" s="3"/>
      <c r="M1639" s="3" t="s">
        <v>131</v>
      </c>
      <c r="N1639" s="3" t="str">
        <f>CONCATENATE("DVRLNZ00H15L500T")</f>
        <v>DVRLNZ00H15L500T</v>
      </c>
      <c r="O1639" s="3" t="s">
        <v>1765</v>
      </c>
      <c r="P1639" s="3" t="s">
        <v>36</v>
      </c>
      <c r="Q1639" s="3"/>
      <c r="R1639" s="4">
        <v>45996</v>
      </c>
      <c r="S1639" s="3" t="s">
        <v>37</v>
      </c>
      <c r="T1639" s="3" t="s">
        <v>38</v>
      </c>
      <c r="U1639" s="3" t="s">
        <v>39</v>
      </c>
      <c r="V1639" s="3">
        <v>312.95</v>
      </c>
      <c r="W1639" s="3">
        <v>133</v>
      </c>
      <c r="X1639" s="3">
        <v>125.96</v>
      </c>
      <c r="Y1639" s="3">
        <v>53.99</v>
      </c>
    </row>
    <row r="1640" spans="1:25" ht="60.75" x14ac:dyDescent="0.25">
      <c r="A1640" s="3" t="s">
        <v>26</v>
      </c>
      <c r="B1640" s="3" t="s">
        <v>27</v>
      </c>
      <c r="C1640" s="3" t="s">
        <v>28</v>
      </c>
      <c r="D1640" s="3" t="s">
        <v>29</v>
      </c>
      <c r="E1640" s="3" t="s">
        <v>72</v>
      </c>
      <c r="F1640" s="3" t="s">
        <v>31</v>
      </c>
      <c r="G1640" s="3" t="s">
        <v>72</v>
      </c>
      <c r="H1640" s="3" t="s">
        <v>45</v>
      </c>
      <c r="I1640" s="3">
        <v>2025</v>
      </c>
      <c r="J1640" s="3" t="str">
        <f>CONCATENATE("54820038823")</f>
        <v>54820038823</v>
      </c>
      <c r="K1640" s="3" t="s">
        <v>33</v>
      </c>
      <c r="L1640" s="3"/>
      <c r="M1640" s="3" t="s">
        <v>131</v>
      </c>
      <c r="N1640" s="3" t="str">
        <f>CONCATENATE("SMCLSU48L51A327U")</f>
        <v>SMCLSU48L51A327U</v>
      </c>
      <c r="O1640" s="3" t="s">
        <v>1766</v>
      </c>
      <c r="P1640" s="3" t="s">
        <v>36</v>
      </c>
      <c r="Q1640" s="3"/>
      <c r="R1640" s="4">
        <v>45996</v>
      </c>
      <c r="S1640" s="3" t="s">
        <v>37</v>
      </c>
      <c r="T1640" s="3" t="s">
        <v>38</v>
      </c>
      <c r="U1640" s="3" t="s">
        <v>39</v>
      </c>
      <c r="V1640" s="3">
        <v>233.09</v>
      </c>
      <c r="W1640" s="3">
        <v>99.06</v>
      </c>
      <c r="X1640" s="3">
        <v>93.82</v>
      </c>
      <c r="Y1640" s="3">
        <v>40.21</v>
      </c>
    </row>
    <row r="1641" spans="1:25" ht="36.75" x14ac:dyDescent="0.25">
      <c r="A1641" s="3" t="s">
        <v>26</v>
      </c>
      <c r="B1641" s="3" t="s">
        <v>27</v>
      </c>
      <c r="C1641" s="3" t="s">
        <v>28</v>
      </c>
      <c r="D1641" s="3" t="s">
        <v>29</v>
      </c>
      <c r="E1641" s="3" t="s">
        <v>72</v>
      </c>
      <c r="F1641" s="3" t="s">
        <v>31</v>
      </c>
      <c r="G1641" s="3" t="s">
        <v>72</v>
      </c>
      <c r="H1641" s="3" t="s">
        <v>45</v>
      </c>
      <c r="I1641" s="3">
        <v>2025</v>
      </c>
      <c r="J1641" s="3" t="str">
        <f>CONCATENATE("54820199401")</f>
        <v>54820199401</v>
      </c>
      <c r="K1641" s="3" t="s">
        <v>33</v>
      </c>
      <c r="L1641" s="3"/>
      <c r="M1641" s="3" t="s">
        <v>131</v>
      </c>
      <c r="N1641" s="3" t="str">
        <f>CONCATENATE("02496100419")</f>
        <v>02496100419</v>
      </c>
      <c r="O1641" s="3" t="s">
        <v>1767</v>
      </c>
      <c r="P1641" s="3" t="s">
        <v>36</v>
      </c>
      <c r="Q1641" s="3"/>
      <c r="R1641" s="4">
        <v>45996</v>
      </c>
      <c r="S1641" s="3" t="s">
        <v>37</v>
      </c>
      <c r="T1641" s="3" t="s">
        <v>38</v>
      </c>
      <c r="U1641" s="3" t="s">
        <v>39</v>
      </c>
      <c r="V1641" s="5">
        <v>1324.31</v>
      </c>
      <c r="W1641" s="3">
        <v>562.83000000000004</v>
      </c>
      <c r="X1641" s="3">
        <v>533.03</v>
      </c>
      <c r="Y1641" s="3">
        <v>228.45</v>
      </c>
    </row>
    <row r="1642" spans="1:25" ht="60.75" x14ac:dyDescent="0.25">
      <c r="A1642" s="3" t="s">
        <v>26</v>
      </c>
      <c r="B1642" s="3" t="s">
        <v>27</v>
      </c>
      <c r="C1642" s="3" t="s">
        <v>28</v>
      </c>
      <c r="D1642" s="3" t="s">
        <v>29</v>
      </c>
      <c r="E1642" s="3" t="s">
        <v>136</v>
      </c>
      <c r="F1642" s="3" t="s">
        <v>31</v>
      </c>
      <c r="G1642" s="3" t="s">
        <v>136</v>
      </c>
      <c r="H1642" s="3" t="s">
        <v>48</v>
      </c>
      <c r="I1642" s="3">
        <v>2025</v>
      </c>
      <c r="J1642" s="3" t="str">
        <f>CONCATENATE("54820067806")</f>
        <v>54820067806</v>
      </c>
      <c r="K1642" s="3" t="s">
        <v>33</v>
      </c>
      <c r="L1642" s="3"/>
      <c r="M1642" s="3" t="s">
        <v>131</v>
      </c>
      <c r="N1642" s="3" t="str">
        <f>CONCATENATE("FNCGUO40D08I461V")</f>
        <v>FNCGUO40D08I461V</v>
      </c>
      <c r="O1642" s="3" t="s">
        <v>1768</v>
      </c>
      <c r="P1642" s="3" t="s">
        <v>36</v>
      </c>
      <c r="Q1642" s="3"/>
      <c r="R1642" s="4">
        <v>45996</v>
      </c>
      <c r="S1642" s="3" t="s">
        <v>37</v>
      </c>
      <c r="T1642" s="3" t="s">
        <v>38</v>
      </c>
      <c r="U1642" s="3" t="s">
        <v>39</v>
      </c>
      <c r="V1642" s="3">
        <v>158.28</v>
      </c>
      <c r="W1642" s="3">
        <v>67.27</v>
      </c>
      <c r="X1642" s="3">
        <v>63.71</v>
      </c>
      <c r="Y1642" s="3">
        <v>27.3</v>
      </c>
    </row>
    <row r="1643" spans="1:25" ht="60.75" x14ac:dyDescent="0.25">
      <c r="A1643" s="3" t="s">
        <v>26</v>
      </c>
      <c r="B1643" s="3" t="s">
        <v>27</v>
      </c>
      <c r="C1643" s="3" t="s">
        <v>28</v>
      </c>
      <c r="D1643" s="3" t="s">
        <v>40</v>
      </c>
      <c r="E1643" s="3" t="s">
        <v>41</v>
      </c>
      <c r="F1643" s="3" t="s">
        <v>42</v>
      </c>
      <c r="G1643" s="3" t="s">
        <v>41</v>
      </c>
      <c r="H1643" s="3" t="s">
        <v>45</v>
      </c>
      <c r="I1643" s="3">
        <v>2025</v>
      </c>
      <c r="J1643" s="3" t="str">
        <f>CONCATENATE("54820036983")</f>
        <v>54820036983</v>
      </c>
      <c r="K1643" s="3" t="s">
        <v>33</v>
      </c>
      <c r="L1643" s="3"/>
      <c r="M1643" s="3" t="s">
        <v>131</v>
      </c>
      <c r="N1643" s="3" t="str">
        <f>CONCATENATE("CHRPFR67M24F979O")</f>
        <v>CHRPFR67M24F979O</v>
      </c>
      <c r="O1643" s="3" t="s">
        <v>1769</v>
      </c>
      <c r="P1643" s="3" t="s">
        <v>36</v>
      </c>
      <c r="Q1643" s="3"/>
      <c r="R1643" s="4">
        <v>45996</v>
      </c>
      <c r="S1643" s="3" t="s">
        <v>37</v>
      </c>
      <c r="T1643" s="3" t="s">
        <v>38</v>
      </c>
      <c r="U1643" s="3" t="s">
        <v>39</v>
      </c>
      <c r="V1643" s="3">
        <v>910.19</v>
      </c>
      <c r="W1643" s="3">
        <v>386.83</v>
      </c>
      <c r="X1643" s="3">
        <v>366.35</v>
      </c>
      <c r="Y1643" s="3">
        <v>157.01</v>
      </c>
    </row>
    <row r="1644" spans="1:25" ht="60.75" x14ac:dyDescent="0.25">
      <c r="A1644" s="3" t="s">
        <v>26</v>
      </c>
      <c r="B1644" s="3" t="s">
        <v>27</v>
      </c>
      <c r="C1644" s="3" t="s">
        <v>28</v>
      </c>
      <c r="D1644" s="3" t="s">
        <v>29</v>
      </c>
      <c r="E1644" s="3" t="s">
        <v>47</v>
      </c>
      <c r="F1644" s="3" t="s">
        <v>31</v>
      </c>
      <c r="G1644" s="3" t="s">
        <v>47</v>
      </c>
      <c r="H1644" s="3" t="s">
        <v>48</v>
      </c>
      <c r="I1644" s="3">
        <v>2025</v>
      </c>
      <c r="J1644" s="3" t="str">
        <f>CONCATENATE("54820268388")</f>
        <v>54820268388</v>
      </c>
      <c r="K1644" s="3" t="s">
        <v>33</v>
      </c>
      <c r="L1644" s="3"/>
      <c r="M1644" s="3" t="s">
        <v>131</v>
      </c>
      <c r="N1644" s="3" t="str">
        <f>CONCATENATE("NROSFN77M29L719Z")</f>
        <v>NROSFN77M29L719Z</v>
      </c>
      <c r="O1644" s="3" t="s">
        <v>1770</v>
      </c>
      <c r="P1644" s="3" t="s">
        <v>36</v>
      </c>
      <c r="Q1644" s="3"/>
      <c r="R1644" s="4">
        <v>45996</v>
      </c>
      <c r="S1644" s="3" t="s">
        <v>37</v>
      </c>
      <c r="T1644" s="3" t="s">
        <v>38</v>
      </c>
      <c r="U1644" s="3" t="s">
        <v>39</v>
      </c>
      <c r="V1644" s="3">
        <v>324.75</v>
      </c>
      <c r="W1644" s="3">
        <v>138.02000000000001</v>
      </c>
      <c r="X1644" s="3">
        <v>130.71</v>
      </c>
      <c r="Y1644" s="3">
        <v>56.02</v>
      </c>
    </row>
    <row r="1645" spans="1:25" ht="36.75" x14ac:dyDescent="0.25">
      <c r="A1645" s="3" t="s">
        <v>26</v>
      </c>
      <c r="B1645" s="3" t="s">
        <v>27</v>
      </c>
      <c r="C1645" s="3" t="s">
        <v>28</v>
      </c>
      <c r="D1645" s="3" t="s">
        <v>29</v>
      </c>
      <c r="E1645" s="3" t="s">
        <v>182</v>
      </c>
      <c r="F1645" s="3" t="s">
        <v>31</v>
      </c>
      <c r="G1645" s="3" t="s">
        <v>182</v>
      </c>
      <c r="H1645" s="3" t="s">
        <v>45</v>
      </c>
      <c r="I1645" s="3">
        <v>2025</v>
      </c>
      <c r="J1645" s="3" t="str">
        <f>CONCATENATE("54820232897")</f>
        <v>54820232897</v>
      </c>
      <c r="K1645" s="3" t="s">
        <v>33</v>
      </c>
      <c r="L1645" s="3"/>
      <c r="M1645" s="3" t="s">
        <v>131</v>
      </c>
      <c r="N1645" s="3" t="str">
        <f>CONCATENATE("02334280415")</f>
        <v>02334280415</v>
      </c>
      <c r="O1645" s="3" t="s">
        <v>1771</v>
      </c>
      <c r="P1645" s="3" t="s">
        <v>36</v>
      </c>
      <c r="Q1645" s="3"/>
      <c r="R1645" s="4">
        <v>45996</v>
      </c>
      <c r="S1645" s="3" t="s">
        <v>37</v>
      </c>
      <c r="T1645" s="3" t="s">
        <v>38</v>
      </c>
      <c r="U1645" s="3" t="s">
        <v>39</v>
      </c>
      <c r="V1645" s="3">
        <v>996.96</v>
      </c>
      <c r="W1645" s="3">
        <v>423.71</v>
      </c>
      <c r="X1645" s="3">
        <v>401.28</v>
      </c>
      <c r="Y1645" s="3">
        <v>171.97</v>
      </c>
    </row>
    <row r="1646" spans="1:25" ht="60.75" x14ac:dyDescent="0.25">
      <c r="A1646" s="3" t="s">
        <v>26</v>
      </c>
      <c r="B1646" s="3" t="s">
        <v>27</v>
      </c>
      <c r="C1646" s="3" t="s">
        <v>28</v>
      </c>
      <c r="D1646" s="3" t="s">
        <v>29</v>
      </c>
      <c r="E1646" s="3" t="s">
        <v>47</v>
      </c>
      <c r="F1646" s="3" t="s">
        <v>31</v>
      </c>
      <c r="G1646" s="3" t="s">
        <v>47</v>
      </c>
      <c r="H1646" s="3" t="s">
        <v>48</v>
      </c>
      <c r="I1646" s="3">
        <v>2025</v>
      </c>
      <c r="J1646" s="3" t="str">
        <f>CONCATENATE("54820187737")</f>
        <v>54820187737</v>
      </c>
      <c r="K1646" s="3" t="s">
        <v>33</v>
      </c>
      <c r="L1646" s="3"/>
      <c r="M1646" s="3" t="s">
        <v>131</v>
      </c>
      <c r="N1646" s="3" t="str">
        <f>CONCATENATE("BNATTL49H28D965B")</f>
        <v>BNATTL49H28D965B</v>
      </c>
      <c r="O1646" s="3" t="s">
        <v>1772</v>
      </c>
      <c r="P1646" s="3" t="s">
        <v>36</v>
      </c>
      <c r="Q1646" s="3"/>
      <c r="R1646" s="4">
        <v>45996</v>
      </c>
      <c r="S1646" s="3" t="s">
        <v>37</v>
      </c>
      <c r="T1646" s="3" t="s">
        <v>38</v>
      </c>
      <c r="U1646" s="3" t="s">
        <v>39</v>
      </c>
      <c r="V1646" s="3">
        <v>341.26</v>
      </c>
      <c r="W1646" s="3">
        <v>145.04</v>
      </c>
      <c r="X1646" s="3">
        <v>137.36000000000001</v>
      </c>
      <c r="Y1646" s="3">
        <v>58.86</v>
      </c>
    </row>
    <row r="1647" spans="1:25" ht="60.75" x14ac:dyDescent="0.25">
      <c r="A1647" s="3" t="s">
        <v>26</v>
      </c>
      <c r="B1647" s="3" t="s">
        <v>27</v>
      </c>
      <c r="C1647" s="3" t="s">
        <v>28</v>
      </c>
      <c r="D1647" s="3" t="s">
        <v>29</v>
      </c>
      <c r="E1647" s="3" t="s">
        <v>136</v>
      </c>
      <c r="F1647" s="3" t="s">
        <v>31</v>
      </c>
      <c r="G1647" s="3" t="s">
        <v>136</v>
      </c>
      <c r="H1647" s="3" t="s">
        <v>48</v>
      </c>
      <c r="I1647" s="3">
        <v>2025</v>
      </c>
      <c r="J1647" s="3" t="str">
        <f>CONCATENATE("54820233929")</f>
        <v>54820233929</v>
      </c>
      <c r="K1647" s="3" t="s">
        <v>33</v>
      </c>
      <c r="L1647" s="3"/>
      <c r="M1647" s="3" t="s">
        <v>131</v>
      </c>
      <c r="N1647" s="3" t="str">
        <f>CONCATENATE("TMNLGU38T25A366I")</f>
        <v>TMNLGU38T25A366I</v>
      </c>
      <c r="O1647" s="3" t="s">
        <v>1773</v>
      </c>
      <c r="P1647" s="3" t="s">
        <v>36</v>
      </c>
      <c r="Q1647" s="3"/>
      <c r="R1647" s="4">
        <v>45996</v>
      </c>
      <c r="S1647" s="3" t="s">
        <v>37</v>
      </c>
      <c r="T1647" s="3" t="s">
        <v>38</v>
      </c>
      <c r="U1647" s="3" t="s">
        <v>39</v>
      </c>
      <c r="V1647" s="3">
        <v>174.1</v>
      </c>
      <c r="W1647" s="3">
        <v>73.989999999999995</v>
      </c>
      <c r="X1647" s="3">
        <v>70.08</v>
      </c>
      <c r="Y1647" s="3">
        <v>30.03</v>
      </c>
    </row>
    <row r="1648" spans="1:25" ht="60.75" x14ac:dyDescent="0.25">
      <c r="A1648" s="3" t="s">
        <v>26</v>
      </c>
      <c r="B1648" s="3" t="s">
        <v>27</v>
      </c>
      <c r="C1648" s="3" t="s">
        <v>28</v>
      </c>
      <c r="D1648" s="3" t="s">
        <v>29</v>
      </c>
      <c r="E1648" s="3" t="s">
        <v>47</v>
      </c>
      <c r="F1648" s="3" t="s">
        <v>31</v>
      </c>
      <c r="G1648" s="3" t="s">
        <v>47</v>
      </c>
      <c r="H1648" s="3" t="s">
        <v>48</v>
      </c>
      <c r="I1648" s="3">
        <v>2025</v>
      </c>
      <c r="J1648" s="3" t="str">
        <f>CONCATENATE("54820288113")</f>
        <v>54820288113</v>
      </c>
      <c r="K1648" s="3" t="s">
        <v>33</v>
      </c>
      <c r="L1648" s="3"/>
      <c r="M1648" s="3" t="s">
        <v>131</v>
      </c>
      <c r="N1648" s="3" t="str">
        <f>CONCATENATE("BSBPLA62D20H501G")</f>
        <v>BSBPLA62D20H501G</v>
      </c>
      <c r="O1648" s="3" t="s">
        <v>1774</v>
      </c>
      <c r="P1648" s="3" t="s">
        <v>36</v>
      </c>
      <c r="Q1648" s="3"/>
      <c r="R1648" s="4">
        <v>45996</v>
      </c>
      <c r="S1648" s="3" t="s">
        <v>37</v>
      </c>
      <c r="T1648" s="3" t="s">
        <v>38</v>
      </c>
      <c r="U1648" s="3" t="s">
        <v>39</v>
      </c>
      <c r="V1648" s="3">
        <v>312.13</v>
      </c>
      <c r="W1648" s="3">
        <v>132.66</v>
      </c>
      <c r="X1648" s="3">
        <v>125.63</v>
      </c>
      <c r="Y1648" s="3">
        <v>53.84</v>
      </c>
    </row>
    <row r="1649" spans="1:25" ht="60.75" x14ac:dyDescent="0.25">
      <c r="A1649" s="3" t="s">
        <v>26</v>
      </c>
      <c r="B1649" s="3" t="s">
        <v>27</v>
      </c>
      <c r="C1649" s="3" t="s">
        <v>28</v>
      </c>
      <c r="D1649" s="3" t="s">
        <v>50</v>
      </c>
      <c r="E1649" s="3" t="s">
        <v>1775</v>
      </c>
      <c r="F1649" s="3" t="s">
        <v>52</v>
      </c>
      <c r="G1649" s="3" t="s">
        <v>1775</v>
      </c>
      <c r="H1649" s="3" t="s">
        <v>45</v>
      </c>
      <c r="I1649" s="3">
        <v>2025</v>
      </c>
      <c r="J1649" s="3" t="str">
        <f>CONCATENATE("54820374335")</f>
        <v>54820374335</v>
      </c>
      <c r="K1649" s="3" t="s">
        <v>33</v>
      </c>
      <c r="L1649" s="3"/>
      <c r="M1649" s="3" t="s">
        <v>131</v>
      </c>
      <c r="N1649" s="3" t="str">
        <f>CONCATENATE("CPPLMP59S50E256G")</f>
        <v>CPPLMP59S50E256G</v>
      </c>
      <c r="O1649" s="3" t="s">
        <v>1776</v>
      </c>
      <c r="P1649" s="3" t="s">
        <v>36</v>
      </c>
      <c r="Q1649" s="3"/>
      <c r="R1649" s="4">
        <v>45996</v>
      </c>
      <c r="S1649" s="3" t="s">
        <v>37</v>
      </c>
      <c r="T1649" s="3" t="s">
        <v>38</v>
      </c>
      <c r="U1649" s="3" t="s">
        <v>39</v>
      </c>
      <c r="V1649" s="3">
        <v>115.83</v>
      </c>
      <c r="W1649" s="3">
        <v>49.23</v>
      </c>
      <c r="X1649" s="3">
        <v>46.62</v>
      </c>
      <c r="Y1649" s="3">
        <v>19.98</v>
      </c>
    </row>
    <row r="1650" spans="1:25" ht="60.75" x14ac:dyDescent="0.25">
      <c r="A1650" s="3" t="s">
        <v>26</v>
      </c>
      <c r="B1650" s="3" t="s">
        <v>27</v>
      </c>
      <c r="C1650" s="3" t="s">
        <v>28</v>
      </c>
      <c r="D1650" s="3" t="s">
        <v>50</v>
      </c>
      <c r="E1650" s="3" t="s">
        <v>60</v>
      </c>
      <c r="F1650" s="3" t="s">
        <v>52</v>
      </c>
      <c r="G1650" s="3" t="s">
        <v>60</v>
      </c>
      <c r="H1650" s="3" t="s">
        <v>45</v>
      </c>
      <c r="I1650" s="3">
        <v>2025</v>
      </c>
      <c r="J1650" s="3" t="str">
        <f>CONCATENATE("54820083027")</f>
        <v>54820083027</v>
      </c>
      <c r="K1650" s="3" t="s">
        <v>33</v>
      </c>
      <c r="L1650" s="3"/>
      <c r="M1650" s="3" t="s">
        <v>131</v>
      </c>
      <c r="N1650" s="3" t="str">
        <f>CONCATENATE("MTTRTI51C58B636L")</f>
        <v>MTTRTI51C58B636L</v>
      </c>
      <c r="O1650" s="3" t="s">
        <v>1777</v>
      </c>
      <c r="P1650" s="3" t="s">
        <v>36</v>
      </c>
      <c r="Q1650" s="3"/>
      <c r="R1650" s="4">
        <v>45996</v>
      </c>
      <c r="S1650" s="3" t="s">
        <v>37</v>
      </c>
      <c r="T1650" s="3" t="s">
        <v>38</v>
      </c>
      <c r="U1650" s="3" t="s">
        <v>39</v>
      </c>
      <c r="V1650" s="3">
        <v>146.47</v>
      </c>
      <c r="W1650" s="3">
        <v>62.25</v>
      </c>
      <c r="X1650" s="3">
        <v>58.95</v>
      </c>
      <c r="Y1650" s="3">
        <v>25.27</v>
      </c>
    </row>
    <row r="1651" spans="1:25" ht="60.75" x14ac:dyDescent="0.25">
      <c r="A1651" s="3" t="s">
        <v>26</v>
      </c>
      <c r="B1651" s="3" t="s">
        <v>27</v>
      </c>
      <c r="C1651" s="3" t="s">
        <v>28</v>
      </c>
      <c r="D1651" s="3" t="s">
        <v>29</v>
      </c>
      <c r="E1651" s="3" t="s">
        <v>186</v>
      </c>
      <c r="F1651" s="3" t="s">
        <v>31</v>
      </c>
      <c r="G1651" s="3" t="s">
        <v>186</v>
      </c>
      <c r="H1651" s="3" t="s">
        <v>45</v>
      </c>
      <c r="I1651" s="3">
        <v>2025</v>
      </c>
      <c r="J1651" s="3" t="str">
        <f>CONCATENATE("54820044094")</f>
        <v>54820044094</v>
      </c>
      <c r="K1651" s="3" t="s">
        <v>33</v>
      </c>
      <c r="L1651" s="3"/>
      <c r="M1651" s="3" t="s">
        <v>131</v>
      </c>
      <c r="N1651" s="3" t="str">
        <f>CONCATENATE("GLNDNI49B03E785O")</f>
        <v>GLNDNI49B03E785O</v>
      </c>
      <c r="O1651" s="3" t="s">
        <v>1778</v>
      </c>
      <c r="P1651" s="3" t="s">
        <v>36</v>
      </c>
      <c r="Q1651" s="3"/>
      <c r="R1651" s="4">
        <v>45996</v>
      </c>
      <c r="S1651" s="3" t="s">
        <v>37</v>
      </c>
      <c r="T1651" s="3" t="s">
        <v>38</v>
      </c>
      <c r="U1651" s="3" t="s">
        <v>39</v>
      </c>
      <c r="V1651" s="3">
        <v>952.57</v>
      </c>
      <c r="W1651" s="3">
        <v>404.84</v>
      </c>
      <c r="X1651" s="3">
        <v>383.41</v>
      </c>
      <c r="Y1651" s="3">
        <v>164.32</v>
      </c>
    </row>
    <row r="1652" spans="1:25" ht="60.75" x14ac:dyDescent="0.25">
      <c r="A1652" s="3" t="s">
        <v>26</v>
      </c>
      <c r="B1652" s="3" t="s">
        <v>27</v>
      </c>
      <c r="C1652" s="3" t="s">
        <v>28</v>
      </c>
      <c r="D1652" s="3" t="s">
        <v>29</v>
      </c>
      <c r="E1652" s="3" t="s">
        <v>186</v>
      </c>
      <c r="F1652" s="3" t="s">
        <v>31</v>
      </c>
      <c r="G1652" s="3" t="s">
        <v>186</v>
      </c>
      <c r="H1652" s="3" t="s">
        <v>45</v>
      </c>
      <c r="I1652" s="3">
        <v>2025</v>
      </c>
      <c r="J1652" s="3" t="str">
        <f>CONCATENATE("54820041496")</f>
        <v>54820041496</v>
      </c>
      <c r="K1652" s="3" t="s">
        <v>33</v>
      </c>
      <c r="L1652" s="3"/>
      <c r="M1652" s="3" t="s">
        <v>131</v>
      </c>
      <c r="N1652" s="3" t="str">
        <f>CONCATENATE("VNNGTN37D23F524F")</f>
        <v>VNNGTN37D23F524F</v>
      </c>
      <c r="O1652" s="3" t="s">
        <v>1779</v>
      </c>
      <c r="P1652" s="3" t="s">
        <v>36</v>
      </c>
      <c r="Q1652" s="3"/>
      <c r="R1652" s="4">
        <v>45996</v>
      </c>
      <c r="S1652" s="3" t="s">
        <v>37</v>
      </c>
      <c r="T1652" s="3" t="s">
        <v>38</v>
      </c>
      <c r="U1652" s="3" t="s">
        <v>39</v>
      </c>
      <c r="V1652" s="3">
        <v>287.07</v>
      </c>
      <c r="W1652" s="3">
        <v>122</v>
      </c>
      <c r="X1652" s="3">
        <v>115.55</v>
      </c>
      <c r="Y1652" s="3">
        <v>49.52</v>
      </c>
    </row>
    <row r="1653" spans="1:25" ht="60.75" x14ac:dyDescent="0.25">
      <c r="A1653" s="3" t="s">
        <v>26</v>
      </c>
      <c r="B1653" s="3" t="s">
        <v>27</v>
      </c>
      <c r="C1653" s="3" t="s">
        <v>28</v>
      </c>
      <c r="D1653" s="3" t="s">
        <v>29</v>
      </c>
      <c r="E1653" s="3" t="s">
        <v>136</v>
      </c>
      <c r="F1653" s="3" t="s">
        <v>31</v>
      </c>
      <c r="G1653" s="3" t="s">
        <v>136</v>
      </c>
      <c r="H1653" s="3" t="s">
        <v>48</v>
      </c>
      <c r="I1653" s="3">
        <v>2025</v>
      </c>
      <c r="J1653" s="3" t="str">
        <f>CONCATENATE("54820062856")</f>
        <v>54820062856</v>
      </c>
      <c r="K1653" s="3" t="s">
        <v>33</v>
      </c>
      <c r="L1653" s="3"/>
      <c r="M1653" s="3" t="s">
        <v>131</v>
      </c>
      <c r="N1653" s="3" t="str">
        <f>CONCATENATE("BLSRNO63E19I461Q")</f>
        <v>BLSRNO63E19I461Q</v>
      </c>
      <c r="O1653" s="3" t="s">
        <v>1780</v>
      </c>
      <c r="P1653" s="3" t="s">
        <v>36</v>
      </c>
      <c r="Q1653" s="3"/>
      <c r="R1653" s="4">
        <v>45996</v>
      </c>
      <c r="S1653" s="3" t="s">
        <v>37</v>
      </c>
      <c r="T1653" s="3" t="s">
        <v>38</v>
      </c>
      <c r="U1653" s="3" t="s">
        <v>39</v>
      </c>
      <c r="V1653" s="3">
        <v>736.31</v>
      </c>
      <c r="W1653" s="3">
        <v>312.93</v>
      </c>
      <c r="X1653" s="3">
        <v>296.36</v>
      </c>
      <c r="Y1653" s="3">
        <v>127.02</v>
      </c>
    </row>
    <row r="1654" spans="1:25" ht="72.75" x14ac:dyDescent="0.25">
      <c r="A1654" s="3" t="s">
        <v>26</v>
      </c>
      <c r="B1654" s="3" t="s">
        <v>27</v>
      </c>
      <c r="C1654" s="3" t="s">
        <v>28</v>
      </c>
      <c r="D1654" s="3" t="s">
        <v>29</v>
      </c>
      <c r="E1654" s="3" t="s">
        <v>72</v>
      </c>
      <c r="F1654" s="3" t="s">
        <v>31</v>
      </c>
      <c r="G1654" s="3" t="s">
        <v>72</v>
      </c>
      <c r="H1654" s="3" t="s">
        <v>45</v>
      </c>
      <c r="I1654" s="3">
        <v>2025</v>
      </c>
      <c r="J1654" s="3" t="str">
        <f>CONCATENATE("54820032941")</f>
        <v>54820032941</v>
      </c>
      <c r="K1654" s="3" t="s">
        <v>33</v>
      </c>
      <c r="L1654" s="3"/>
      <c r="M1654" s="3" t="s">
        <v>131</v>
      </c>
      <c r="N1654" s="3" t="str">
        <f>CONCATENATE("BRCNNL61A57A327B")</f>
        <v>BRCNNL61A57A327B</v>
      </c>
      <c r="O1654" s="3" t="s">
        <v>1781</v>
      </c>
      <c r="P1654" s="3" t="s">
        <v>36</v>
      </c>
      <c r="Q1654" s="3"/>
      <c r="R1654" s="4">
        <v>45996</v>
      </c>
      <c r="S1654" s="3" t="s">
        <v>37</v>
      </c>
      <c r="T1654" s="3" t="s">
        <v>38</v>
      </c>
      <c r="U1654" s="3" t="s">
        <v>39</v>
      </c>
      <c r="V1654" s="3">
        <v>260.52</v>
      </c>
      <c r="W1654" s="3">
        <v>110.72</v>
      </c>
      <c r="X1654" s="3">
        <v>104.86</v>
      </c>
      <c r="Y1654" s="3">
        <v>44.94</v>
      </c>
    </row>
    <row r="1655" spans="1:25" ht="60.75" x14ac:dyDescent="0.25">
      <c r="A1655" s="3" t="s">
        <v>26</v>
      </c>
      <c r="B1655" s="3" t="s">
        <v>27</v>
      </c>
      <c r="C1655" s="3" t="s">
        <v>28</v>
      </c>
      <c r="D1655" s="3" t="s">
        <v>29</v>
      </c>
      <c r="E1655" s="3" t="s">
        <v>56</v>
      </c>
      <c r="F1655" s="3" t="s">
        <v>31</v>
      </c>
      <c r="G1655" s="3" t="s">
        <v>56</v>
      </c>
      <c r="H1655" s="3" t="s">
        <v>32</v>
      </c>
      <c r="I1655" s="3">
        <v>2025</v>
      </c>
      <c r="J1655" s="3" t="str">
        <f>CONCATENATE("54820051107")</f>
        <v>54820051107</v>
      </c>
      <c r="K1655" s="3" t="s">
        <v>33</v>
      </c>
      <c r="L1655" s="3"/>
      <c r="M1655" s="3" t="s">
        <v>131</v>
      </c>
      <c r="N1655" s="3" t="str">
        <f>CONCATENATE("CRVGLI43D13I661C")</f>
        <v>CRVGLI43D13I661C</v>
      </c>
      <c r="O1655" s="3" t="s">
        <v>1782</v>
      </c>
      <c r="P1655" s="3" t="s">
        <v>36</v>
      </c>
      <c r="Q1655" s="3"/>
      <c r="R1655" s="4">
        <v>45996</v>
      </c>
      <c r="S1655" s="3" t="s">
        <v>37</v>
      </c>
      <c r="T1655" s="3" t="s">
        <v>38</v>
      </c>
      <c r="U1655" s="3" t="s">
        <v>39</v>
      </c>
      <c r="V1655" s="3">
        <v>126.7</v>
      </c>
      <c r="W1655" s="3">
        <v>53.85</v>
      </c>
      <c r="X1655" s="3">
        <v>51</v>
      </c>
      <c r="Y1655" s="3">
        <v>21.85</v>
      </c>
    </row>
    <row r="1656" spans="1:25" ht="36.75" x14ac:dyDescent="0.25">
      <c r="A1656" s="3" t="s">
        <v>26</v>
      </c>
      <c r="B1656" s="3" t="s">
        <v>27</v>
      </c>
      <c r="C1656" s="3" t="s">
        <v>28</v>
      </c>
      <c r="D1656" s="3" t="s">
        <v>40</v>
      </c>
      <c r="E1656" s="3" t="s">
        <v>287</v>
      </c>
      <c r="F1656" s="3" t="s">
        <v>42</v>
      </c>
      <c r="G1656" s="3" t="s">
        <v>287</v>
      </c>
      <c r="H1656" s="3" t="s">
        <v>32</v>
      </c>
      <c r="I1656" s="3">
        <v>2025</v>
      </c>
      <c r="J1656" s="3" t="str">
        <f>CONCATENATE("54820039870")</f>
        <v>54820039870</v>
      </c>
      <c r="K1656" s="3" t="s">
        <v>33</v>
      </c>
      <c r="L1656" s="3"/>
      <c r="M1656" s="3" t="s">
        <v>131</v>
      </c>
      <c r="N1656" s="3" t="str">
        <f>CONCATENATE("01863750434")</f>
        <v>01863750434</v>
      </c>
      <c r="O1656" s="3" t="s">
        <v>1783</v>
      </c>
      <c r="P1656" s="3" t="s">
        <v>36</v>
      </c>
      <c r="Q1656" s="3"/>
      <c r="R1656" s="4">
        <v>45996</v>
      </c>
      <c r="S1656" s="3" t="s">
        <v>37</v>
      </c>
      <c r="T1656" s="3" t="s">
        <v>38</v>
      </c>
      <c r="U1656" s="3" t="s">
        <v>39</v>
      </c>
      <c r="V1656" s="3">
        <v>244.04</v>
      </c>
      <c r="W1656" s="3">
        <v>103.72</v>
      </c>
      <c r="X1656" s="3">
        <v>98.23</v>
      </c>
      <c r="Y1656" s="3">
        <v>42.09</v>
      </c>
    </row>
    <row r="1657" spans="1:25" ht="60.75" x14ac:dyDescent="0.25">
      <c r="A1657" s="3" t="s">
        <v>26</v>
      </c>
      <c r="B1657" s="3" t="s">
        <v>27</v>
      </c>
      <c r="C1657" s="3" t="s">
        <v>28</v>
      </c>
      <c r="D1657" s="3" t="s">
        <v>29</v>
      </c>
      <c r="E1657" s="3" t="s">
        <v>101</v>
      </c>
      <c r="F1657" s="3" t="s">
        <v>31</v>
      </c>
      <c r="G1657" s="3" t="s">
        <v>101</v>
      </c>
      <c r="H1657" s="3" t="s">
        <v>32</v>
      </c>
      <c r="I1657" s="3">
        <v>2025</v>
      </c>
      <c r="J1657" s="3" t="str">
        <f>CONCATENATE("54820110226")</f>
        <v>54820110226</v>
      </c>
      <c r="K1657" s="3" t="s">
        <v>33</v>
      </c>
      <c r="L1657" s="3"/>
      <c r="M1657" s="3" t="s">
        <v>131</v>
      </c>
      <c r="N1657" s="3" t="str">
        <f>CONCATENATE("CRVCLD61C20I651P")</f>
        <v>CRVCLD61C20I651P</v>
      </c>
      <c r="O1657" s="3" t="s">
        <v>1784</v>
      </c>
      <c r="P1657" s="3" t="s">
        <v>36</v>
      </c>
      <c r="Q1657" s="3"/>
      <c r="R1657" s="4">
        <v>45996</v>
      </c>
      <c r="S1657" s="3" t="s">
        <v>37</v>
      </c>
      <c r="T1657" s="3" t="s">
        <v>38</v>
      </c>
      <c r="U1657" s="3" t="s">
        <v>39</v>
      </c>
      <c r="V1657" s="3">
        <v>123.27</v>
      </c>
      <c r="W1657" s="3">
        <v>52.39</v>
      </c>
      <c r="X1657" s="3">
        <v>49.62</v>
      </c>
      <c r="Y1657" s="3">
        <v>21.26</v>
      </c>
    </row>
    <row r="1658" spans="1:25" ht="60.75" x14ac:dyDescent="0.25">
      <c r="A1658" s="3" t="s">
        <v>26</v>
      </c>
      <c r="B1658" s="3" t="s">
        <v>27</v>
      </c>
      <c r="C1658" s="3" t="s">
        <v>28</v>
      </c>
      <c r="D1658" s="3" t="s">
        <v>50</v>
      </c>
      <c r="E1658" s="3" t="s">
        <v>60</v>
      </c>
      <c r="F1658" s="3" t="s">
        <v>52</v>
      </c>
      <c r="G1658" s="3" t="s">
        <v>60</v>
      </c>
      <c r="H1658" s="3" t="s">
        <v>45</v>
      </c>
      <c r="I1658" s="3">
        <v>2025</v>
      </c>
      <c r="J1658" s="3" t="str">
        <f>CONCATENATE("54820111505")</f>
        <v>54820111505</v>
      </c>
      <c r="K1658" s="3" t="s">
        <v>33</v>
      </c>
      <c r="L1658" s="3"/>
      <c r="M1658" s="3" t="s">
        <v>131</v>
      </c>
      <c r="N1658" s="3" t="str">
        <f>CONCATENATE("FRNNDA84S57D488K")</f>
        <v>FRNNDA84S57D488K</v>
      </c>
      <c r="O1658" s="3" t="s">
        <v>1785</v>
      </c>
      <c r="P1658" s="3" t="s">
        <v>36</v>
      </c>
      <c r="Q1658" s="3"/>
      <c r="R1658" s="4">
        <v>45996</v>
      </c>
      <c r="S1658" s="3" t="s">
        <v>37</v>
      </c>
      <c r="T1658" s="3" t="s">
        <v>38</v>
      </c>
      <c r="U1658" s="3" t="s">
        <v>39</v>
      </c>
      <c r="V1658" s="3">
        <v>179.02</v>
      </c>
      <c r="W1658" s="3">
        <v>76.08</v>
      </c>
      <c r="X1658" s="3">
        <v>72.06</v>
      </c>
      <c r="Y1658" s="3">
        <v>30.88</v>
      </c>
    </row>
    <row r="1659" spans="1:25" ht="60.75" x14ac:dyDescent="0.25">
      <c r="A1659" s="3" t="s">
        <v>26</v>
      </c>
      <c r="B1659" s="3" t="s">
        <v>27</v>
      </c>
      <c r="C1659" s="3" t="s">
        <v>28</v>
      </c>
      <c r="D1659" s="3" t="s">
        <v>29</v>
      </c>
      <c r="E1659" s="3" t="s">
        <v>68</v>
      </c>
      <c r="F1659" s="3" t="s">
        <v>31</v>
      </c>
      <c r="G1659" s="3" t="s">
        <v>68</v>
      </c>
      <c r="H1659" s="3" t="s">
        <v>32</v>
      </c>
      <c r="I1659" s="3">
        <v>2025</v>
      </c>
      <c r="J1659" s="3" t="str">
        <f>CONCATENATE("54820108444")</f>
        <v>54820108444</v>
      </c>
      <c r="K1659" s="3" t="s">
        <v>33</v>
      </c>
      <c r="L1659" s="3"/>
      <c r="M1659" s="3" t="s">
        <v>131</v>
      </c>
      <c r="N1659" s="3" t="str">
        <f>CONCATENATE("RCCPLA63L28I436I")</f>
        <v>RCCPLA63L28I436I</v>
      </c>
      <c r="O1659" s="3" t="s">
        <v>1786</v>
      </c>
      <c r="P1659" s="3" t="s">
        <v>36</v>
      </c>
      <c r="Q1659" s="3"/>
      <c r="R1659" s="4">
        <v>45996</v>
      </c>
      <c r="S1659" s="3" t="s">
        <v>37</v>
      </c>
      <c r="T1659" s="3" t="s">
        <v>38</v>
      </c>
      <c r="U1659" s="3" t="s">
        <v>39</v>
      </c>
      <c r="V1659" s="3">
        <v>64.430000000000007</v>
      </c>
      <c r="W1659" s="3">
        <v>27.38</v>
      </c>
      <c r="X1659" s="3">
        <v>25.93</v>
      </c>
      <c r="Y1659" s="3">
        <v>11.12</v>
      </c>
    </row>
    <row r="1660" spans="1:25" ht="60.75" x14ac:dyDescent="0.25">
      <c r="A1660" s="3" t="s">
        <v>26</v>
      </c>
      <c r="B1660" s="3" t="s">
        <v>27</v>
      </c>
      <c r="C1660" s="3" t="s">
        <v>28</v>
      </c>
      <c r="D1660" s="3" t="s">
        <v>104</v>
      </c>
      <c r="E1660" s="3" t="s">
        <v>141</v>
      </c>
      <c r="F1660" s="3" t="s">
        <v>104</v>
      </c>
      <c r="G1660" s="3" t="s">
        <v>141</v>
      </c>
      <c r="H1660" s="3" t="s">
        <v>96</v>
      </c>
      <c r="I1660" s="3">
        <v>2025</v>
      </c>
      <c r="J1660" s="3" t="str">
        <f>CONCATENATE("54820142930")</f>
        <v>54820142930</v>
      </c>
      <c r="K1660" s="3" t="s">
        <v>33</v>
      </c>
      <c r="L1660" s="3"/>
      <c r="M1660" s="3" t="s">
        <v>131</v>
      </c>
      <c r="N1660" s="3" t="str">
        <f>CONCATENATE("FRRGPP68L14Z112A")</f>
        <v>FRRGPP68L14Z112A</v>
      </c>
      <c r="O1660" s="3" t="s">
        <v>1787</v>
      </c>
      <c r="P1660" s="3" t="s">
        <v>36</v>
      </c>
      <c r="Q1660" s="3"/>
      <c r="R1660" s="4">
        <v>45996</v>
      </c>
      <c r="S1660" s="3" t="s">
        <v>37</v>
      </c>
      <c r="T1660" s="3" t="s">
        <v>38</v>
      </c>
      <c r="U1660" s="3" t="s">
        <v>39</v>
      </c>
      <c r="V1660" s="3">
        <v>92.5</v>
      </c>
      <c r="W1660" s="3">
        <v>39.31</v>
      </c>
      <c r="X1660" s="3">
        <v>37.229999999999997</v>
      </c>
      <c r="Y1660" s="3">
        <v>15.96</v>
      </c>
    </row>
    <row r="1661" spans="1:25" ht="60.75" x14ac:dyDescent="0.25">
      <c r="A1661" s="3" t="s">
        <v>26</v>
      </c>
      <c r="B1661" s="3" t="s">
        <v>27</v>
      </c>
      <c r="C1661" s="3" t="s">
        <v>28</v>
      </c>
      <c r="D1661" s="3" t="s">
        <v>29</v>
      </c>
      <c r="E1661" s="3" t="s">
        <v>208</v>
      </c>
      <c r="F1661" s="3" t="s">
        <v>31</v>
      </c>
      <c r="G1661" s="3" t="s">
        <v>208</v>
      </c>
      <c r="H1661" s="3" t="s">
        <v>45</v>
      </c>
      <c r="I1661" s="3">
        <v>2025</v>
      </c>
      <c r="J1661" s="3" t="str">
        <f>CONCATENATE("54820056080")</f>
        <v>54820056080</v>
      </c>
      <c r="K1661" s="3" t="s">
        <v>33</v>
      </c>
      <c r="L1661" s="3"/>
      <c r="M1661" s="3" t="s">
        <v>131</v>
      </c>
      <c r="N1661" s="3" t="str">
        <f>CONCATENATE("PZZGPP56R29F135Q")</f>
        <v>PZZGPP56R29F135Q</v>
      </c>
      <c r="O1661" s="3" t="s">
        <v>1788</v>
      </c>
      <c r="P1661" s="3" t="s">
        <v>36</v>
      </c>
      <c r="Q1661" s="3"/>
      <c r="R1661" s="4">
        <v>45996</v>
      </c>
      <c r="S1661" s="3" t="s">
        <v>37</v>
      </c>
      <c r="T1661" s="3" t="s">
        <v>38</v>
      </c>
      <c r="U1661" s="3" t="s">
        <v>39</v>
      </c>
      <c r="V1661" s="3">
        <v>330.75</v>
      </c>
      <c r="W1661" s="3">
        <v>140.57</v>
      </c>
      <c r="X1661" s="3">
        <v>133.13</v>
      </c>
      <c r="Y1661" s="3">
        <v>57.05</v>
      </c>
    </row>
    <row r="1662" spans="1:25" ht="60.75" x14ac:dyDescent="0.25">
      <c r="A1662" s="3" t="s">
        <v>26</v>
      </c>
      <c r="B1662" s="3" t="s">
        <v>27</v>
      </c>
      <c r="C1662" s="3" t="s">
        <v>28</v>
      </c>
      <c r="D1662" s="3" t="s">
        <v>29</v>
      </c>
      <c r="E1662" s="3" t="s">
        <v>119</v>
      </c>
      <c r="F1662" s="3" t="s">
        <v>31</v>
      </c>
      <c r="G1662" s="3" t="s">
        <v>119</v>
      </c>
      <c r="H1662" s="3" t="s">
        <v>96</v>
      </c>
      <c r="I1662" s="3">
        <v>2025</v>
      </c>
      <c r="J1662" s="3" t="str">
        <f>CONCATENATE("54820078654")</f>
        <v>54820078654</v>
      </c>
      <c r="K1662" s="3" t="s">
        <v>33</v>
      </c>
      <c r="L1662" s="3"/>
      <c r="M1662" s="3" t="s">
        <v>131</v>
      </c>
      <c r="N1662" s="3" t="str">
        <f>CONCATENATE("SPRMRA49E65F570X")</f>
        <v>SPRMRA49E65F570X</v>
      </c>
      <c r="O1662" s="3" t="s">
        <v>1789</v>
      </c>
      <c r="P1662" s="3" t="s">
        <v>36</v>
      </c>
      <c r="Q1662" s="3"/>
      <c r="R1662" s="4">
        <v>45996</v>
      </c>
      <c r="S1662" s="3" t="s">
        <v>37</v>
      </c>
      <c r="T1662" s="3" t="s">
        <v>38</v>
      </c>
      <c r="U1662" s="3" t="s">
        <v>39</v>
      </c>
      <c r="V1662" s="3">
        <v>268.10000000000002</v>
      </c>
      <c r="W1662" s="3">
        <v>113.94</v>
      </c>
      <c r="X1662" s="3">
        <v>107.91</v>
      </c>
      <c r="Y1662" s="3">
        <v>46.25</v>
      </c>
    </row>
    <row r="1663" spans="1:25" ht="60.75" x14ac:dyDescent="0.25">
      <c r="A1663" s="3" t="s">
        <v>26</v>
      </c>
      <c r="B1663" s="3" t="s">
        <v>27</v>
      </c>
      <c r="C1663" s="3" t="s">
        <v>28</v>
      </c>
      <c r="D1663" s="3" t="s">
        <v>50</v>
      </c>
      <c r="E1663" s="3" t="s">
        <v>60</v>
      </c>
      <c r="F1663" s="3" t="s">
        <v>52</v>
      </c>
      <c r="G1663" s="3" t="s">
        <v>60</v>
      </c>
      <c r="H1663" s="3" t="s">
        <v>45</v>
      </c>
      <c r="I1663" s="3">
        <v>2025</v>
      </c>
      <c r="J1663" s="3" t="str">
        <f>CONCATENATE("54820156773")</f>
        <v>54820156773</v>
      </c>
      <c r="K1663" s="3" t="s">
        <v>33</v>
      </c>
      <c r="L1663" s="3"/>
      <c r="M1663" s="3" t="s">
        <v>131</v>
      </c>
      <c r="N1663" s="3" t="str">
        <f>CONCATENATE("BRZFDN63S42A327A")</f>
        <v>BRZFDN63S42A327A</v>
      </c>
      <c r="O1663" s="3" t="s">
        <v>1790</v>
      </c>
      <c r="P1663" s="3" t="s">
        <v>36</v>
      </c>
      <c r="Q1663" s="3"/>
      <c r="R1663" s="4">
        <v>45996</v>
      </c>
      <c r="S1663" s="3" t="s">
        <v>37</v>
      </c>
      <c r="T1663" s="3" t="s">
        <v>38</v>
      </c>
      <c r="U1663" s="3" t="s">
        <v>39</v>
      </c>
      <c r="V1663" s="3">
        <v>113.88</v>
      </c>
      <c r="W1663" s="3">
        <v>48.4</v>
      </c>
      <c r="X1663" s="3">
        <v>45.84</v>
      </c>
      <c r="Y1663" s="3">
        <v>19.64</v>
      </c>
    </row>
    <row r="1664" spans="1:25" ht="72.75" x14ac:dyDescent="0.25">
      <c r="A1664" s="3" t="s">
        <v>26</v>
      </c>
      <c r="B1664" s="3" t="s">
        <v>27</v>
      </c>
      <c r="C1664" s="3" t="s">
        <v>28</v>
      </c>
      <c r="D1664" s="3" t="s">
        <v>50</v>
      </c>
      <c r="E1664" s="3" t="s">
        <v>252</v>
      </c>
      <c r="F1664" s="3" t="s">
        <v>52</v>
      </c>
      <c r="G1664" s="3" t="s">
        <v>252</v>
      </c>
      <c r="H1664" s="3" t="s">
        <v>45</v>
      </c>
      <c r="I1664" s="3">
        <v>2025</v>
      </c>
      <c r="J1664" s="3" t="str">
        <f>CONCATENATE("54820102900")</f>
        <v>54820102900</v>
      </c>
      <c r="K1664" s="3" t="s">
        <v>33</v>
      </c>
      <c r="L1664" s="3"/>
      <c r="M1664" s="3" t="s">
        <v>131</v>
      </c>
      <c r="N1664" s="3" t="str">
        <f>CONCATENATE("CSGBRN41M15D749R")</f>
        <v>CSGBRN41M15D749R</v>
      </c>
      <c r="O1664" s="3" t="s">
        <v>1791</v>
      </c>
      <c r="P1664" s="3" t="s">
        <v>36</v>
      </c>
      <c r="Q1664" s="3"/>
      <c r="R1664" s="4">
        <v>45996</v>
      </c>
      <c r="S1664" s="3" t="s">
        <v>37</v>
      </c>
      <c r="T1664" s="3" t="s">
        <v>38</v>
      </c>
      <c r="U1664" s="3" t="s">
        <v>39</v>
      </c>
      <c r="V1664" s="3">
        <v>124.54</v>
      </c>
      <c r="W1664" s="3">
        <v>52.93</v>
      </c>
      <c r="X1664" s="3">
        <v>50.13</v>
      </c>
      <c r="Y1664" s="3">
        <v>21.48</v>
      </c>
    </row>
    <row r="1665" spans="1:25" ht="72.75" x14ac:dyDescent="0.25">
      <c r="A1665" s="3" t="s">
        <v>26</v>
      </c>
      <c r="B1665" s="3" t="s">
        <v>27</v>
      </c>
      <c r="C1665" s="3" t="s">
        <v>28</v>
      </c>
      <c r="D1665" s="3" t="s">
        <v>29</v>
      </c>
      <c r="E1665" s="3" t="s">
        <v>47</v>
      </c>
      <c r="F1665" s="3" t="s">
        <v>31</v>
      </c>
      <c r="G1665" s="3" t="s">
        <v>47</v>
      </c>
      <c r="H1665" s="3" t="s">
        <v>48</v>
      </c>
      <c r="I1665" s="3">
        <v>2025</v>
      </c>
      <c r="J1665" s="3" t="str">
        <f>CONCATENATE("54820193610")</f>
        <v>54820193610</v>
      </c>
      <c r="K1665" s="3" t="s">
        <v>33</v>
      </c>
      <c r="L1665" s="3"/>
      <c r="M1665" s="3" t="s">
        <v>131</v>
      </c>
      <c r="N1665" s="3" t="str">
        <f>CONCATENATE("GBBBNL70R69D451N")</f>
        <v>GBBBNL70R69D451N</v>
      </c>
      <c r="O1665" s="3" t="s">
        <v>1792</v>
      </c>
      <c r="P1665" s="3" t="s">
        <v>36</v>
      </c>
      <c r="Q1665" s="3"/>
      <c r="R1665" s="4">
        <v>45996</v>
      </c>
      <c r="S1665" s="3" t="s">
        <v>37</v>
      </c>
      <c r="T1665" s="3" t="s">
        <v>38</v>
      </c>
      <c r="U1665" s="3" t="s">
        <v>39</v>
      </c>
      <c r="V1665" s="3">
        <v>323.26</v>
      </c>
      <c r="W1665" s="3">
        <v>137.38999999999999</v>
      </c>
      <c r="X1665" s="3">
        <v>130.11000000000001</v>
      </c>
      <c r="Y1665" s="3">
        <v>55.76</v>
      </c>
    </row>
    <row r="1666" spans="1:25" ht="60.75" x14ac:dyDescent="0.25">
      <c r="A1666" s="3" t="s">
        <v>26</v>
      </c>
      <c r="B1666" s="3" t="s">
        <v>27</v>
      </c>
      <c r="C1666" s="3" t="s">
        <v>28</v>
      </c>
      <c r="D1666" s="3" t="s">
        <v>29</v>
      </c>
      <c r="E1666" s="3" t="s">
        <v>136</v>
      </c>
      <c r="F1666" s="3" t="s">
        <v>31</v>
      </c>
      <c r="G1666" s="3" t="s">
        <v>136</v>
      </c>
      <c r="H1666" s="3" t="s">
        <v>48</v>
      </c>
      <c r="I1666" s="3">
        <v>2025</v>
      </c>
      <c r="J1666" s="3" t="str">
        <f>CONCATENATE("54820152517")</f>
        <v>54820152517</v>
      </c>
      <c r="K1666" s="3" t="s">
        <v>33</v>
      </c>
      <c r="L1666" s="3"/>
      <c r="M1666" s="3" t="s">
        <v>131</v>
      </c>
      <c r="N1666" s="3" t="str">
        <f>CONCATENATE("TTVGCR51T03D965T")</f>
        <v>TTVGCR51T03D965T</v>
      </c>
      <c r="O1666" s="3" t="s">
        <v>1793</v>
      </c>
      <c r="P1666" s="3" t="s">
        <v>36</v>
      </c>
      <c r="Q1666" s="3"/>
      <c r="R1666" s="4">
        <v>45996</v>
      </c>
      <c r="S1666" s="3" t="s">
        <v>37</v>
      </c>
      <c r="T1666" s="3" t="s">
        <v>38</v>
      </c>
      <c r="U1666" s="3" t="s">
        <v>39</v>
      </c>
      <c r="V1666" s="3">
        <v>50.27</v>
      </c>
      <c r="W1666" s="3">
        <v>21.36</v>
      </c>
      <c r="X1666" s="3">
        <v>20.23</v>
      </c>
      <c r="Y1666" s="3">
        <v>8.68</v>
      </c>
    </row>
    <row r="1667" spans="1:25" ht="72.75" x14ac:dyDescent="0.25">
      <c r="A1667" s="3" t="s">
        <v>26</v>
      </c>
      <c r="B1667" s="3" t="s">
        <v>27</v>
      </c>
      <c r="C1667" s="3" t="s">
        <v>28</v>
      </c>
      <c r="D1667" s="3" t="s">
        <v>50</v>
      </c>
      <c r="E1667" s="3" t="s">
        <v>60</v>
      </c>
      <c r="F1667" s="3" t="s">
        <v>52</v>
      </c>
      <c r="G1667" s="3" t="s">
        <v>60</v>
      </c>
      <c r="H1667" s="3" t="s">
        <v>45</v>
      </c>
      <c r="I1667" s="3">
        <v>2025</v>
      </c>
      <c r="J1667" s="3" t="str">
        <f>CONCATENATE("54820200118")</f>
        <v>54820200118</v>
      </c>
      <c r="K1667" s="3" t="s">
        <v>33</v>
      </c>
      <c r="L1667" s="3"/>
      <c r="M1667" s="3" t="s">
        <v>131</v>
      </c>
      <c r="N1667" s="3" t="str">
        <f>CONCATENATE("VTLVNI72D03G453M")</f>
        <v>VTLVNI72D03G453M</v>
      </c>
      <c r="O1667" s="3" t="s">
        <v>1794</v>
      </c>
      <c r="P1667" s="3" t="s">
        <v>36</v>
      </c>
      <c r="Q1667" s="3"/>
      <c r="R1667" s="4">
        <v>45996</v>
      </c>
      <c r="S1667" s="3" t="s">
        <v>37</v>
      </c>
      <c r="T1667" s="3" t="s">
        <v>38</v>
      </c>
      <c r="U1667" s="3" t="s">
        <v>39</v>
      </c>
      <c r="V1667" s="3">
        <v>208.14</v>
      </c>
      <c r="W1667" s="3">
        <v>88.46</v>
      </c>
      <c r="X1667" s="3">
        <v>83.78</v>
      </c>
      <c r="Y1667" s="3">
        <v>35.9</v>
      </c>
    </row>
    <row r="1668" spans="1:25" ht="60.75" x14ac:dyDescent="0.25">
      <c r="A1668" s="3" t="s">
        <v>26</v>
      </c>
      <c r="B1668" s="3" t="s">
        <v>27</v>
      </c>
      <c r="C1668" s="3" t="s">
        <v>28</v>
      </c>
      <c r="D1668" s="3" t="s">
        <v>50</v>
      </c>
      <c r="E1668" s="3" t="s">
        <v>60</v>
      </c>
      <c r="F1668" s="3" t="s">
        <v>52</v>
      </c>
      <c r="G1668" s="3" t="s">
        <v>60</v>
      </c>
      <c r="H1668" s="3" t="s">
        <v>45</v>
      </c>
      <c r="I1668" s="3">
        <v>2025</v>
      </c>
      <c r="J1668" s="3" t="str">
        <f>CONCATENATE("54820156831")</f>
        <v>54820156831</v>
      </c>
      <c r="K1668" s="3" t="s">
        <v>33</v>
      </c>
      <c r="L1668" s="3"/>
      <c r="M1668" s="3" t="s">
        <v>131</v>
      </c>
      <c r="N1668" s="3" t="str">
        <f>CONCATENATE("BRZSNT41H07A327L")</f>
        <v>BRZSNT41H07A327L</v>
      </c>
      <c r="O1668" s="3" t="s">
        <v>1795</v>
      </c>
      <c r="P1668" s="3" t="s">
        <v>36</v>
      </c>
      <c r="Q1668" s="3"/>
      <c r="R1668" s="4">
        <v>45996</v>
      </c>
      <c r="S1668" s="3" t="s">
        <v>37</v>
      </c>
      <c r="T1668" s="3" t="s">
        <v>38</v>
      </c>
      <c r="U1668" s="3" t="s">
        <v>39</v>
      </c>
      <c r="V1668" s="3">
        <v>52.71</v>
      </c>
      <c r="W1668" s="3">
        <v>22.4</v>
      </c>
      <c r="X1668" s="3">
        <v>21.22</v>
      </c>
      <c r="Y1668" s="3">
        <v>9.09</v>
      </c>
    </row>
    <row r="1669" spans="1:25" ht="60.75" x14ac:dyDescent="0.25">
      <c r="A1669" s="3" t="s">
        <v>26</v>
      </c>
      <c r="B1669" s="3" t="s">
        <v>27</v>
      </c>
      <c r="C1669" s="3" t="s">
        <v>28</v>
      </c>
      <c r="D1669" s="3" t="s">
        <v>50</v>
      </c>
      <c r="E1669" s="3" t="s">
        <v>147</v>
      </c>
      <c r="F1669" s="3" t="s">
        <v>52</v>
      </c>
      <c r="G1669" s="3" t="s">
        <v>147</v>
      </c>
      <c r="H1669" s="3" t="s">
        <v>45</v>
      </c>
      <c r="I1669" s="3">
        <v>2025</v>
      </c>
      <c r="J1669" s="3" t="str">
        <f>CONCATENATE("54820203088")</f>
        <v>54820203088</v>
      </c>
      <c r="K1669" s="3" t="s">
        <v>33</v>
      </c>
      <c r="L1669" s="3"/>
      <c r="M1669" s="3" t="s">
        <v>131</v>
      </c>
      <c r="N1669" s="3" t="str">
        <f>CONCATENATE("LBWGRD53B27Z103H")</f>
        <v>LBWGRD53B27Z103H</v>
      </c>
      <c r="O1669" s="3" t="s">
        <v>1796</v>
      </c>
      <c r="P1669" s="3" t="s">
        <v>36</v>
      </c>
      <c r="Q1669" s="3"/>
      <c r="R1669" s="4">
        <v>45996</v>
      </c>
      <c r="S1669" s="3" t="s">
        <v>37</v>
      </c>
      <c r="T1669" s="3" t="s">
        <v>38</v>
      </c>
      <c r="U1669" s="3" t="s">
        <v>39</v>
      </c>
      <c r="V1669" s="3">
        <v>126.78</v>
      </c>
      <c r="W1669" s="3">
        <v>53.88</v>
      </c>
      <c r="X1669" s="3">
        <v>51.03</v>
      </c>
      <c r="Y1669" s="3">
        <v>21.87</v>
      </c>
    </row>
    <row r="1670" spans="1:25" ht="60.75" x14ac:dyDescent="0.25">
      <c r="A1670" s="3" t="s">
        <v>26</v>
      </c>
      <c r="B1670" s="3" t="s">
        <v>27</v>
      </c>
      <c r="C1670" s="3" t="s">
        <v>28</v>
      </c>
      <c r="D1670" s="3" t="s">
        <v>50</v>
      </c>
      <c r="E1670" s="3" t="s">
        <v>51</v>
      </c>
      <c r="F1670" s="3" t="s">
        <v>52</v>
      </c>
      <c r="G1670" s="3" t="s">
        <v>51</v>
      </c>
      <c r="H1670" s="3" t="s">
        <v>48</v>
      </c>
      <c r="I1670" s="3">
        <v>2025</v>
      </c>
      <c r="J1670" s="3" t="str">
        <f>CONCATENATE("54820121751")</f>
        <v>54820121751</v>
      </c>
      <c r="K1670" s="3" t="s">
        <v>33</v>
      </c>
      <c r="L1670" s="3"/>
      <c r="M1670" s="3" t="s">
        <v>131</v>
      </c>
      <c r="N1670" s="3" t="str">
        <f>CONCATENATE("BNTBRN64L28I461M")</f>
        <v>BNTBRN64L28I461M</v>
      </c>
      <c r="O1670" s="3" t="s">
        <v>1797</v>
      </c>
      <c r="P1670" s="3" t="s">
        <v>36</v>
      </c>
      <c r="Q1670" s="3"/>
      <c r="R1670" s="4">
        <v>45996</v>
      </c>
      <c r="S1670" s="3" t="s">
        <v>37</v>
      </c>
      <c r="T1670" s="3" t="s">
        <v>38</v>
      </c>
      <c r="U1670" s="3" t="s">
        <v>39</v>
      </c>
      <c r="V1670" s="3">
        <v>71.760000000000005</v>
      </c>
      <c r="W1670" s="3">
        <v>30.5</v>
      </c>
      <c r="X1670" s="3">
        <v>28.88</v>
      </c>
      <c r="Y1670" s="3">
        <v>12.38</v>
      </c>
    </row>
    <row r="1671" spans="1:25" ht="60.75" x14ac:dyDescent="0.25">
      <c r="A1671" s="3" t="s">
        <v>26</v>
      </c>
      <c r="B1671" s="3" t="s">
        <v>27</v>
      </c>
      <c r="C1671" s="3" t="s">
        <v>28</v>
      </c>
      <c r="D1671" s="3" t="s">
        <v>29</v>
      </c>
      <c r="E1671" s="3" t="s">
        <v>47</v>
      </c>
      <c r="F1671" s="3" t="s">
        <v>31</v>
      </c>
      <c r="G1671" s="3" t="s">
        <v>47</v>
      </c>
      <c r="H1671" s="3" t="s">
        <v>48</v>
      </c>
      <c r="I1671" s="3">
        <v>2025</v>
      </c>
      <c r="J1671" s="3" t="str">
        <f>CONCATENATE("54820192133")</f>
        <v>54820192133</v>
      </c>
      <c r="K1671" s="3" t="s">
        <v>33</v>
      </c>
      <c r="L1671" s="3"/>
      <c r="M1671" s="3" t="s">
        <v>131</v>
      </c>
      <c r="N1671" s="3" t="str">
        <f>CONCATENATE("CNTFRC88L24D451C")</f>
        <v>CNTFRC88L24D451C</v>
      </c>
      <c r="O1671" s="3" t="s">
        <v>1798</v>
      </c>
      <c r="P1671" s="3" t="s">
        <v>36</v>
      </c>
      <c r="Q1671" s="3"/>
      <c r="R1671" s="4">
        <v>45996</v>
      </c>
      <c r="S1671" s="3" t="s">
        <v>37</v>
      </c>
      <c r="T1671" s="3" t="s">
        <v>38</v>
      </c>
      <c r="U1671" s="3" t="s">
        <v>39</v>
      </c>
      <c r="V1671" s="3">
        <v>118.6</v>
      </c>
      <c r="W1671" s="3">
        <v>50.41</v>
      </c>
      <c r="X1671" s="3">
        <v>47.74</v>
      </c>
      <c r="Y1671" s="3">
        <v>20.45</v>
      </c>
    </row>
    <row r="1672" spans="1:25" ht="72.75" x14ac:dyDescent="0.25">
      <c r="A1672" s="3" t="s">
        <v>26</v>
      </c>
      <c r="B1672" s="3" t="s">
        <v>27</v>
      </c>
      <c r="C1672" s="3" t="s">
        <v>28</v>
      </c>
      <c r="D1672" s="3" t="s">
        <v>29</v>
      </c>
      <c r="E1672" s="3" t="s">
        <v>56</v>
      </c>
      <c r="F1672" s="3" t="s">
        <v>31</v>
      </c>
      <c r="G1672" s="3" t="s">
        <v>56</v>
      </c>
      <c r="H1672" s="3" t="s">
        <v>32</v>
      </c>
      <c r="I1672" s="3">
        <v>2025</v>
      </c>
      <c r="J1672" s="3" t="str">
        <f>CONCATENATE("54820165121")</f>
        <v>54820165121</v>
      </c>
      <c r="K1672" s="3" t="s">
        <v>33</v>
      </c>
      <c r="L1672" s="3"/>
      <c r="M1672" s="3" t="s">
        <v>131</v>
      </c>
      <c r="N1672" s="3" t="str">
        <f>CONCATENATE("RCCFNC41D63M052R")</f>
        <v>RCCFNC41D63M052R</v>
      </c>
      <c r="O1672" s="3" t="s">
        <v>1799</v>
      </c>
      <c r="P1672" s="3" t="s">
        <v>36</v>
      </c>
      <c r="Q1672" s="3"/>
      <c r="R1672" s="4">
        <v>45996</v>
      </c>
      <c r="S1672" s="3" t="s">
        <v>37</v>
      </c>
      <c r="T1672" s="3" t="s">
        <v>38</v>
      </c>
      <c r="U1672" s="3" t="s">
        <v>39</v>
      </c>
      <c r="V1672" s="3">
        <v>169.85</v>
      </c>
      <c r="W1672" s="3">
        <v>72.19</v>
      </c>
      <c r="X1672" s="3">
        <v>68.36</v>
      </c>
      <c r="Y1672" s="3">
        <v>29.3</v>
      </c>
    </row>
    <row r="1673" spans="1:25" ht="60.75" x14ac:dyDescent="0.25">
      <c r="A1673" s="3" t="s">
        <v>26</v>
      </c>
      <c r="B1673" s="3" t="s">
        <v>27</v>
      </c>
      <c r="C1673" s="3" t="s">
        <v>28</v>
      </c>
      <c r="D1673" s="3" t="s">
        <v>29</v>
      </c>
      <c r="E1673" s="3" t="s">
        <v>136</v>
      </c>
      <c r="F1673" s="3" t="s">
        <v>31</v>
      </c>
      <c r="G1673" s="3" t="s">
        <v>136</v>
      </c>
      <c r="H1673" s="3" t="s">
        <v>48</v>
      </c>
      <c r="I1673" s="3">
        <v>2025</v>
      </c>
      <c r="J1673" s="3" t="str">
        <f>CONCATENATE("54820138888")</f>
        <v>54820138888</v>
      </c>
      <c r="K1673" s="3" t="s">
        <v>33</v>
      </c>
      <c r="L1673" s="3"/>
      <c r="M1673" s="3" t="s">
        <v>131</v>
      </c>
      <c r="N1673" s="3" t="str">
        <f>CONCATENATE("GCCFNC54L27I461I")</f>
        <v>GCCFNC54L27I461I</v>
      </c>
      <c r="O1673" s="3" t="s">
        <v>1800</v>
      </c>
      <c r="P1673" s="3" t="s">
        <v>36</v>
      </c>
      <c r="Q1673" s="3"/>
      <c r="R1673" s="4">
        <v>45996</v>
      </c>
      <c r="S1673" s="3" t="s">
        <v>37</v>
      </c>
      <c r="T1673" s="3" t="s">
        <v>38</v>
      </c>
      <c r="U1673" s="3" t="s">
        <v>39</v>
      </c>
      <c r="V1673" s="3">
        <v>175.26</v>
      </c>
      <c r="W1673" s="3">
        <v>74.489999999999995</v>
      </c>
      <c r="X1673" s="3">
        <v>70.540000000000006</v>
      </c>
      <c r="Y1673" s="3">
        <v>30.23</v>
      </c>
    </row>
    <row r="1674" spans="1:25" ht="60.75" x14ac:dyDescent="0.25">
      <c r="A1674" s="3" t="s">
        <v>26</v>
      </c>
      <c r="B1674" s="3" t="s">
        <v>27</v>
      </c>
      <c r="C1674" s="3" t="s">
        <v>28</v>
      </c>
      <c r="D1674" s="3" t="s">
        <v>50</v>
      </c>
      <c r="E1674" s="3" t="s">
        <v>173</v>
      </c>
      <c r="F1674" s="3" t="s">
        <v>52</v>
      </c>
      <c r="G1674" s="3" t="s">
        <v>173</v>
      </c>
      <c r="H1674" s="3" t="s">
        <v>45</v>
      </c>
      <c r="I1674" s="3">
        <v>2025</v>
      </c>
      <c r="J1674" s="3" t="str">
        <f>CONCATENATE("54820091772")</f>
        <v>54820091772</v>
      </c>
      <c r="K1674" s="3" t="s">
        <v>33</v>
      </c>
      <c r="L1674" s="3"/>
      <c r="M1674" s="3" t="s">
        <v>131</v>
      </c>
      <c r="N1674" s="3" t="str">
        <f>CONCATENATE("MRCGNR46E10G551D")</f>
        <v>MRCGNR46E10G551D</v>
      </c>
      <c r="O1674" s="3" t="s">
        <v>1801</v>
      </c>
      <c r="P1674" s="3" t="s">
        <v>36</v>
      </c>
      <c r="Q1674" s="3"/>
      <c r="R1674" s="4">
        <v>45996</v>
      </c>
      <c r="S1674" s="3" t="s">
        <v>37</v>
      </c>
      <c r="T1674" s="3" t="s">
        <v>38</v>
      </c>
      <c r="U1674" s="3" t="s">
        <v>39</v>
      </c>
      <c r="V1674" s="3">
        <v>509.83</v>
      </c>
      <c r="W1674" s="3">
        <v>216.68</v>
      </c>
      <c r="X1674" s="3">
        <v>205.21</v>
      </c>
      <c r="Y1674" s="3">
        <v>87.94</v>
      </c>
    </row>
    <row r="1675" spans="1:25" ht="60.75" x14ac:dyDescent="0.25">
      <c r="A1675" s="3" t="s">
        <v>26</v>
      </c>
      <c r="B1675" s="3" t="s">
        <v>27</v>
      </c>
      <c r="C1675" s="3" t="s">
        <v>28</v>
      </c>
      <c r="D1675" s="3" t="s">
        <v>50</v>
      </c>
      <c r="E1675" s="3" t="s">
        <v>60</v>
      </c>
      <c r="F1675" s="3" t="s">
        <v>52</v>
      </c>
      <c r="G1675" s="3" t="s">
        <v>60</v>
      </c>
      <c r="H1675" s="3" t="s">
        <v>45</v>
      </c>
      <c r="I1675" s="3">
        <v>2025</v>
      </c>
      <c r="J1675" s="3" t="str">
        <f>CONCATENATE("54820136429")</f>
        <v>54820136429</v>
      </c>
      <c r="K1675" s="3" t="s">
        <v>33</v>
      </c>
      <c r="L1675" s="3"/>
      <c r="M1675" s="3" t="s">
        <v>131</v>
      </c>
      <c r="N1675" s="3" t="str">
        <f>CONCATENATE("CMLRTI81R64H501T")</f>
        <v>CMLRTI81R64H501T</v>
      </c>
      <c r="O1675" s="3" t="s">
        <v>1802</v>
      </c>
      <c r="P1675" s="3" t="s">
        <v>36</v>
      </c>
      <c r="Q1675" s="3"/>
      <c r="R1675" s="4">
        <v>45996</v>
      </c>
      <c r="S1675" s="3" t="s">
        <v>37</v>
      </c>
      <c r="T1675" s="3" t="s">
        <v>38</v>
      </c>
      <c r="U1675" s="3" t="s">
        <v>39</v>
      </c>
      <c r="V1675" s="3">
        <v>127.8</v>
      </c>
      <c r="W1675" s="3">
        <v>54.32</v>
      </c>
      <c r="X1675" s="3">
        <v>51.44</v>
      </c>
      <c r="Y1675" s="3">
        <v>22.04</v>
      </c>
    </row>
    <row r="1676" spans="1:25" ht="72.75" x14ac:dyDescent="0.25">
      <c r="A1676" s="3" t="s">
        <v>26</v>
      </c>
      <c r="B1676" s="3" t="s">
        <v>27</v>
      </c>
      <c r="C1676" s="3" t="s">
        <v>28</v>
      </c>
      <c r="D1676" s="3" t="s">
        <v>29</v>
      </c>
      <c r="E1676" s="3" t="s">
        <v>136</v>
      </c>
      <c r="F1676" s="3" t="s">
        <v>31</v>
      </c>
      <c r="G1676" s="3" t="s">
        <v>136</v>
      </c>
      <c r="H1676" s="3" t="s">
        <v>48</v>
      </c>
      <c r="I1676" s="3">
        <v>2025</v>
      </c>
      <c r="J1676" s="3" t="str">
        <f>CONCATENATE("54820136338")</f>
        <v>54820136338</v>
      </c>
      <c r="K1676" s="3" t="s">
        <v>33</v>
      </c>
      <c r="L1676" s="3"/>
      <c r="M1676" s="3" t="s">
        <v>131</v>
      </c>
      <c r="N1676" s="3" t="str">
        <f>CONCATENATE("MRNDRA49R02D965K")</f>
        <v>MRNDRA49R02D965K</v>
      </c>
      <c r="O1676" s="3" t="s">
        <v>1803</v>
      </c>
      <c r="P1676" s="3" t="s">
        <v>36</v>
      </c>
      <c r="Q1676" s="3"/>
      <c r="R1676" s="4">
        <v>45996</v>
      </c>
      <c r="S1676" s="3" t="s">
        <v>37</v>
      </c>
      <c r="T1676" s="3" t="s">
        <v>38</v>
      </c>
      <c r="U1676" s="3" t="s">
        <v>39</v>
      </c>
      <c r="V1676" s="3">
        <v>105.53</v>
      </c>
      <c r="W1676" s="3">
        <v>44.85</v>
      </c>
      <c r="X1676" s="3">
        <v>42.48</v>
      </c>
      <c r="Y1676" s="3">
        <v>18.2</v>
      </c>
    </row>
    <row r="1677" spans="1:25" ht="60.75" x14ac:dyDescent="0.25">
      <c r="A1677" s="3" t="s">
        <v>26</v>
      </c>
      <c r="B1677" s="3" t="s">
        <v>27</v>
      </c>
      <c r="C1677" s="3" t="s">
        <v>28</v>
      </c>
      <c r="D1677" s="3" t="s">
        <v>50</v>
      </c>
      <c r="E1677" s="3" t="s">
        <v>60</v>
      </c>
      <c r="F1677" s="3" t="s">
        <v>52</v>
      </c>
      <c r="G1677" s="3" t="s">
        <v>60</v>
      </c>
      <c r="H1677" s="3" t="s">
        <v>45</v>
      </c>
      <c r="I1677" s="3">
        <v>2025</v>
      </c>
      <c r="J1677" s="3" t="str">
        <f>CONCATENATE("54820166129")</f>
        <v>54820166129</v>
      </c>
      <c r="K1677" s="3" t="s">
        <v>33</v>
      </c>
      <c r="L1677" s="3"/>
      <c r="M1677" s="3" t="s">
        <v>131</v>
      </c>
      <c r="N1677" s="3" t="str">
        <f>CONCATENATE("RCCNLL44M29G453U")</f>
        <v>RCCNLL44M29G453U</v>
      </c>
      <c r="O1677" s="3" t="s">
        <v>1804</v>
      </c>
      <c r="P1677" s="3" t="s">
        <v>36</v>
      </c>
      <c r="Q1677" s="3"/>
      <c r="R1677" s="4">
        <v>45996</v>
      </c>
      <c r="S1677" s="3" t="s">
        <v>37</v>
      </c>
      <c r="T1677" s="3" t="s">
        <v>38</v>
      </c>
      <c r="U1677" s="3" t="s">
        <v>39</v>
      </c>
      <c r="V1677" s="3">
        <v>397.61</v>
      </c>
      <c r="W1677" s="3">
        <v>168.98</v>
      </c>
      <c r="X1677" s="3">
        <v>160.04</v>
      </c>
      <c r="Y1677" s="3">
        <v>68.59</v>
      </c>
    </row>
    <row r="1678" spans="1:25" ht="72.75" x14ac:dyDescent="0.25">
      <c r="A1678" s="3" t="s">
        <v>26</v>
      </c>
      <c r="B1678" s="3" t="s">
        <v>27</v>
      </c>
      <c r="C1678" s="3" t="s">
        <v>28</v>
      </c>
      <c r="D1678" s="3" t="s">
        <v>50</v>
      </c>
      <c r="E1678" s="3" t="s">
        <v>60</v>
      </c>
      <c r="F1678" s="3" t="s">
        <v>52</v>
      </c>
      <c r="G1678" s="3" t="s">
        <v>60</v>
      </c>
      <c r="H1678" s="3" t="s">
        <v>45</v>
      </c>
      <c r="I1678" s="3">
        <v>2025</v>
      </c>
      <c r="J1678" s="3" t="str">
        <f>CONCATENATE("54820119862")</f>
        <v>54820119862</v>
      </c>
      <c r="K1678" s="3" t="s">
        <v>33</v>
      </c>
      <c r="L1678" s="3"/>
      <c r="M1678" s="3" t="s">
        <v>131</v>
      </c>
      <c r="N1678" s="3" t="str">
        <f>CONCATENATE("BGLLBA48B48B352B")</f>
        <v>BGLLBA48B48B352B</v>
      </c>
      <c r="O1678" s="3" t="s">
        <v>1805</v>
      </c>
      <c r="P1678" s="3" t="s">
        <v>36</v>
      </c>
      <c r="Q1678" s="3"/>
      <c r="R1678" s="4">
        <v>45996</v>
      </c>
      <c r="S1678" s="3" t="s">
        <v>37</v>
      </c>
      <c r="T1678" s="3" t="s">
        <v>38</v>
      </c>
      <c r="U1678" s="3" t="s">
        <v>39</v>
      </c>
      <c r="V1678" s="3">
        <v>61.9</v>
      </c>
      <c r="W1678" s="3">
        <v>26.31</v>
      </c>
      <c r="X1678" s="3">
        <v>24.91</v>
      </c>
      <c r="Y1678" s="3">
        <v>10.68</v>
      </c>
    </row>
    <row r="1679" spans="1:25" ht="60.75" x14ac:dyDescent="0.25">
      <c r="A1679" s="3" t="s">
        <v>26</v>
      </c>
      <c r="B1679" s="3" t="s">
        <v>27</v>
      </c>
      <c r="C1679" s="3" t="s">
        <v>28</v>
      </c>
      <c r="D1679" s="3" t="s">
        <v>29</v>
      </c>
      <c r="E1679" s="3" t="s">
        <v>136</v>
      </c>
      <c r="F1679" s="3" t="s">
        <v>31</v>
      </c>
      <c r="G1679" s="3" t="s">
        <v>136</v>
      </c>
      <c r="H1679" s="3" t="s">
        <v>48</v>
      </c>
      <c r="I1679" s="3">
        <v>2025</v>
      </c>
      <c r="J1679" s="3" t="str">
        <f>CONCATENATE("54820176011")</f>
        <v>54820176011</v>
      </c>
      <c r="K1679" s="3" t="s">
        <v>33</v>
      </c>
      <c r="L1679" s="3"/>
      <c r="M1679" s="3" t="s">
        <v>131</v>
      </c>
      <c r="N1679" s="3" t="str">
        <f>CONCATENATE("SPDLVR49P54I461A")</f>
        <v>SPDLVR49P54I461A</v>
      </c>
      <c r="O1679" s="3" t="s">
        <v>1806</v>
      </c>
      <c r="P1679" s="3" t="s">
        <v>36</v>
      </c>
      <c r="Q1679" s="3"/>
      <c r="R1679" s="4">
        <v>45996</v>
      </c>
      <c r="S1679" s="3" t="s">
        <v>37</v>
      </c>
      <c r="T1679" s="3" t="s">
        <v>38</v>
      </c>
      <c r="U1679" s="3" t="s">
        <v>39</v>
      </c>
      <c r="V1679" s="3">
        <v>570.82000000000005</v>
      </c>
      <c r="W1679" s="3">
        <v>242.6</v>
      </c>
      <c r="X1679" s="3">
        <v>229.76</v>
      </c>
      <c r="Y1679" s="3">
        <v>98.46</v>
      </c>
    </row>
    <row r="1680" spans="1:25" ht="72.75" x14ac:dyDescent="0.25">
      <c r="A1680" s="3" t="s">
        <v>26</v>
      </c>
      <c r="B1680" s="3" t="s">
        <v>27</v>
      </c>
      <c r="C1680" s="3" t="s">
        <v>28</v>
      </c>
      <c r="D1680" s="3" t="s">
        <v>50</v>
      </c>
      <c r="E1680" s="3" t="s">
        <v>60</v>
      </c>
      <c r="F1680" s="3" t="s">
        <v>52</v>
      </c>
      <c r="G1680" s="3" t="s">
        <v>60</v>
      </c>
      <c r="H1680" s="3" t="s">
        <v>45</v>
      </c>
      <c r="I1680" s="3">
        <v>2025</v>
      </c>
      <c r="J1680" s="3" t="str">
        <f>CONCATENATE("54820162268")</f>
        <v>54820162268</v>
      </c>
      <c r="K1680" s="3" t="s">
        <v>33</v>
      </c>
      <c r="L1680" s="3"/>
      <c r="M1680" s="3" t="s">
        <v>131</v>
      </c>
      <c r="N1680" s="3" t="str">
        <f>CONCATENATE("PNTLVR61A15B352N")</f>
        <v>PNTLVR61A15B352N</v>
      </c>
      <c r="O1680" s="3" t="s">
        <v>1807</v>
      </c>
      <c r="P1680" s="3" t="s">
        <v>36</v>
      </c>
      <c r="Q1680" s="3"/>
      <c r="R1680" s="4">
        <v>45996</v>
      </c>
      <c r="S1680" s="3" t="s">
        <v>37</v>
      </c>
      <c r="T1680" s="3" t="s">
        <v>38</v>
      </c>
      <c r="U1680" s="3" t="s">
        <v>39</v>
      </c>
      <c r="V1680" s="3">
        <v>59.98</v>
      </c>
      <c r="W1680" s="3">
        <v>25.49</v>
      </c>
      <c r="X1680" s="3">
        <v>24.14</v>
      </c>
      <c r="Y1680" s="3">
        <v>10.35</v>
      </c>
    </row>
    <row r="1681" spans="1:25" ht="36.75" x14ac:dyDescent="0.25">
      <c r="A1681" s="3" t="s">
        <v>26</v>
      </c>
      <c r="B1681" s="3" t="s">
        <v>27</v>
      </c>
      <c r="C1681" s="3" t="s">
        <v>28</v>
      </c>
      <c r="D1681" s="3" t="s">
        <v>91</v>
      </c>
      <c r="E1681" s="3" t="s">
        <v>95</v>
      </c>
      <c r="F1681" s="3" t="s">
        <v>93</v>
      </c>
      <c r="G1681" s="3" t="s">
        <v>95</v>
      </c>
      <c r="H1681" s="3" t="s">
        <v>96</v>
      </c>
      <c r="I1681" s="3">
        <v>2025</v>
      </c>
      <c r="J1681" s="3" t="str">
        <f>CONCATENATE("54820190335")</f>
        <v>54820190335</v>
      </c>
      <c r="K1681" s="3" t="s">
        <v>33</v>
      </c>
      <c r="L1681" s="3"/>
      <c r="M1681" s="3" t="s">
        <v>131</v>
      </c>
      <c r="N1681" s="3" t="str">
        <f>CONCATENATE("01824030439")</f>
        <v>01824030439</v>
      </c>
      <c r="O1681" s="3" t="s">
        <v>1808</v>
      </c>
      <c r="P1681" s="3" t="s">
        <v>36</v>
      </c>
      <c r="Q1681" s="3"/>
      <c r="R1681" s="4">
        <v>45996</v>
      </c>
      <c r="S1681" s="3" t="s">
        <v>37</v>
      </c>
      <c r="T1681" s="3" t="s">
        <v>38</v>
      </c>
      <c r="U1681" s="3" t="s">
        <v>39</v>
      </c>
      <c r="V1681" s="5">
        <v>1053.04</v>
      </c>
      <c r="W1681" s="3">
        <v>447.54</v>
      </c>
      <c r="X1681" s="3">
        <v>423.85</v>
      </c>
      <c r="Y1681" s="3">
        <v>181.65</v>
      </c>
    </row>
    <row r="1682" spans="1:25" ht="60.75" x14ac:dyDescent="0.25">
      <c r="A1682" s="3" t="s">
        <v>26</v>
      </c>
      <c r="B1682" s="3" t="s">
        <v>27</v>
      </c>
      <c r="C1682" s="3" t="s">
        <v>28</v>
      </c>
      <c r="D1682" s="3" t="s">
        <v>29</v>
      </c>
      <c r="E1682" s="3" t="s">
        <v>136</v>
      </c>
      <c r="F1682" s="3" t="s">
        <v>31</v>
      </c>
      <c r="G1682" s="3" t="s">
        <v>136</v>
      </c>
      <c r="H1682" s="3" t="s">
        <v>48</v>
      </c>
      <c r="I1682" s="3">
        <v>2025</v>
      </c>
      <c r="J1682" s="3" t="str">
        <f>CONCATENATE("54820122015")</f>
        <v>54820122015</v>
      </c>
      <c r="K1682" s="3" t="s">
        <v>33</v>
      </c>
      <c r="L1682" s="3"/>
      <c r="M1682" s="3" t="s">
        <v>131</v>
      </c>
      <c r="N1682" s="3" t="str">
        <f>CONCATENATE("PVRSFN69S57A626K")</f>
        <v>PVRSFN69S57A626K</v>
      </c>
      <c r="O1682" s="3" t="s">
        <v>1809</v>
      </c>
      <c r="P1682" s="3" t="s">
        <v>36</v>
      </c>
      <c r="Q1682" s="3"/>
      <c r="R1682" s="4">
        <v>45996</v>
      </c>
      <c r="S1682" s="3" t="s">
        <v>37</v>
      </c>
      <c r="T1682" s="3" t="s">
        <v>38</v>
      </c>
      <c r="U1682" s="3" t="s">
        <v>39</v>
      </c>
      <c r="V1682" s="3">
        <v>196.37</v>
      </c>
      <c r="W1682" s="3">
        <v>83.46</v>
      </c>
      <c r="X1682" s="3">
        <v>79.040000000000006</v>
      </c>
      <c r="Y1682" s="3">
        <v>33.869999999999997</v>
      </c>
    </row>
    <row r="1683" spans="1:25" ht="72.75" x14ac:dyDescent="0.25">
      <c r="A1683" s="3" t="s">
        <v>26</v>
      </c>
      <c r="B1683" s="3" t="s">
        <v>27</v>
      </c>
      <c r="C1683" s="3" t="s">
        <v>28</v>
      </c>
      <c r="D1683" s="3" t="s">
        <v>29</v>
      </c>
      <c r="E1683" s="3" t="s">
        <v>228</v>
      </c>
      <c r="F1683" s="3" t="s">
        <v>31</v>
      </c>
      <c r="G1683" s="3" t="s">
        <v>228</v>
      </c>
      <c r="H1683" s="3" t="s">
        <v>45</v>
      </c>
      <c r="I1683" s="3">
        <v>2025</v>
      </c>
      <c r="J1683" s="3" t="str">
        <f>CONCATENATE("54820167416")</f>
        <v>54820167416</v>
      </c>
      <c r="K1683" s="3" t="s">
        <v>33</v>
      </c>
      <c r="L1683" s="3"/>
      <c r="M1683" s="3" t="s">
        <v>131</v>
      </c>
      <c r="N1683" s="3" t="str">
        <f>CONCATENATE("GRSMGR48A62D749G")</f>
        <v>GRSMGR48A62D749G</v>
      </c>
      <c r="O1683" s="3" t="s">
        <v>1810</v>
      </c>
      <c r="P1683" s="3" t="s">
        <v>36</v>
      </c>
      <c r="Q1683" s="3"/>
      <c r="R1683" s="4">
        <v>45996</v>
      </c>
      <c r="S1683" s="3" t="s">
        <v>37</v>
      </c>
      <c r="T1683" s="3" t="s">
        <v>38</v>
      </c>
      <c r="U1683" s="3" t="s">
        <v>39</v>
      </c>
      <c r="V1683" s="3">
        <v>182.52</v>
      </c>
      <c r="W1683" s="3">
        <v>77.569999999999993</v>
      </c>
      <c r="X1683" s="3">
        <v>73.459999999999994</v>
      </c>
      <c r="Y1683" s="3">
        <v>31.49</v>
      </c>
    </row>
    <row r="1684" spans="1:25" ht="60.75" x14ac:dyDescent="0.25">
      <c r="A1684" s="3" t="s">
        <v>26</v>
      </c>
      <c r="B1684" s="3" t="s">
        <v>27</v>
      </c>
      <c r="C1684" s="3" t="s">
        <v>28</v>
      </c>
      <c r="D1684" s="3" t="s">
        <v>29</v>
      </c>
      <c r="E1684" s="3" t="s">
        <v>80</v>
      </c>
      <c r="F1684" s="3" t="s">
        <v>31</v>
      </c>
      <c r="G1684" s="3" t="s">
        <v>80</v>
      </c>
      <c r="H1684" s="3" t="s">
        <v>45</v>
      </c>
      <c r="I1684" s="3">
        <v>2025</v>
      </c>
      <c r="J1684" s="3" t="str">
        <f>CONCATENATE("54820177324")</f>
        <v>54820177324</v>
      </c>
      <c r="K1684" s="3" t="s">
        <v>33</v>
      </c>
      <c r="L1684" s="3"/>
      <c r="M1684" s="3" t="s">
        <v>131</v>
      </c>
      <c r="N1684" s="3" t="str">
        <f>CONCATENATE("GRGGCM89P13L500E")</f>
        <v>GRGGCM89P13L500E</v>
      </c>
      <c r="O1684" s="3" t="s">
        <v>1811</v>
      </c>
      <c r="P1684" s="3" t="s">
        <v>36</v>
      </c>
      <c r="Q1684" s="3"/>
      <c r="R1684" s="4">
        <v>45996</v>
      </c>
      <c r="S1684" s="3" t="s">
        <v>37</v>
      </c>
      <c r="T1684" s="3" t="s">
        <v>38</v>
      </c>
      <c r="U1684" s="3" t="s">
        <v>39</v>
      </c>
      <c r="V1684" s="3">
        <v>340.27</v>
      </c>
      <c r="W1684" s="3">
        <v>144.61000000000001</v>
      </c>
      <c r="X1684" s="3">
        <v>136.96</v>
      </c>
      <c r="Y1684" s="3">
        <v>58.7</v>
      </c>
    </row>
    <row r="1685" spans="1:25" ht="36.75" x14ac:dyDescent="0.25">
      <c r="A1685" s="3" t="s">
        <v>26</v>
      </c>
      <c r="B1685" s="3" t="s">
        <v>27</v>
      </c>
      <c r="C1685" s="3" t="s">
        <v>28</v>
      </c>
      <c r="D1685" s="3" t="s">
        <v>50</v>
      </c>
      <c r="E1685" s="3" t="s">
        <v>60</v>
      </c>
      <c r="F1685" s="3" t="s">
        <v>52</v>
      </c>
      <c r="G1685" s="3" t="s">
        <v>60</v>
      </c>
      <c r="H1685" s="3" t="s">
        <v>45</v>
      </c>
      <c r="I1685" s="3">
        <v>2025</v>
      </c>
      <c r="J1685" s="3" t="str">
        <f>CONCATENATE("54820146774")</f>
        <v>54820146774</v>
      </c>
      <c r="K1685" s="3" t="s">
        <v>33</v>
      </c>
      <c r="L1685" s="3"/>
      <c r="M1685" s="3" t="s">
        <v>131</v>
      </c>
      <c r="N1685" s="3" t="str">
        <f>CONCATENATE("01106130410")</f>
        <v>01106130410</v>
      </c>
      <c r="O1685" s="3" t="s">
        <v>1812</v>
      </c>
      <c r="P1685" s="3" t="s">
        <v>36</v>
      </c>
      <c r="Q1685" s="3"/>
      <c r="R1685" s="4">
        <v>45996</v>
      </c>
      <c r="S1685" s="3" t="s">
        <v>37</v>
      </c>
      <c r="T1685" s="3" t="s">
        <v>38</v>
      </c>
      <c r="U1685" s="3" t="s">
        <v>39</v>
      </c>
      <c r="V1685" s="3">
        <v>68.05</v>
      </c>
      <c r="W1685" s="3">
        <v>28.92</v>
      </c>
      <c r="X1685" s="3">
        <v>27.39</v>
      </c>
      <c r="Y1685" s="3">
        <v>11.74</v>
      </c>
    </row>
    <row r="1686" spans="1:25" ht="60.75" x14ac:dyDescent="0.25">
      <c r="A1686" s="3" t="s">
        <v>26</v>
      </c>
      <c r="B1686" s="3" t="s">
        <v>27</v>
      </c>
      <c r="C1686" s="3" t="s">
        <v>28</v>
      </c>
      <c r="D1686" s="3" t="s">
        <v>104</v>
      </c>
      <c r="E1686" s="3" t="s">
        <v>141</v>
      </c>
      <c r="F1686" s="3" t="s">
        <v>104</v>
      </c>
      <c r="G1686" s="3" t="s">
        <v>141</v>
      </c>
      <c r="H1686" s="3" t="s">
        <v>96</v>
      </c>
      <c r="I1686" s="3">
        <v>2025</v>
      </c>
      <c r="J1686" s="3" t="str">
        <f>CONCATENATE("54820144001")</f>
        <v>54820144001</v>
      </c>
      <c r="K1686" s="3" t="s">
        <v>33</v>
      </c>
      <c r="L1686" s="3"/>
      <c r="M1686" s="3" t="s">
        <v>131</v>
      </c>
      <c r="N1686" s="3" t="str">
        <f>CONCATENATE("MRNFNC65C46A252L")</f>
        <v>MRNFNC65C46A252L</v>
      </c>
      <c r="O1686" s="3" t="s">
        <v>1813</v>
      </c>
      <c r="P1686" s="3" t="s">
        <v>36</v>
      </c>
      <c r="Q1686" s="3"/>
      <c r="R1686" s="4">
        <v>45996</v>
      </c>
      <c r="S1686" s="3" t="s">
        <v>37</v>
      </c>
      <c r="T1686" s="3" t="s">
        <v>38</v>
      </c>
      <c r="U1686" s="3" t="s">
        <v>39</v>
      </c>
      <c r="V1686" s="3">
        <v>166.69</v>
      </c>
      <c r="W1686" s="3">
        <v>70.84</v>
      </c>
      <c r="X1686" s="3">
        <v>67.09</v>
      </c>
      <c r="Y1686" s="3">
        <v>28.76</v>
      </c>
    </row>
    <row r="1687" spans="1:25" ht="60.75" x14ac:dyDescent="0.25">
      <c r="A1687" s="3" t="s">
        <v>26</v>
      </c>
      <c r="B1687" s="3" t="s">
        <v>27</v>
      </c>
      <c r="C1687" s="3" t="s">
        <v>28</v>
      </c>
      <c r="D1687" s="3" t="s">
        <v>104</v>
      </c>
      <c r="E1687" s="3" t="s">
        <v>141</v>
      </c>
      <c r="F1687" s="3" t="s">
        <v>104</v>
      </c>
      <c r="G1687" s="3" t="s">
        <v>141</v>
      </c>
      <c r="H1687" s="3" t="s">
        <v>96</v>
      </c>
      <c r="I1687" s="3">
        <v>2025</v>
      </c>
      <c r="J1687" s="3" t="str">
        <f>CONCATENATE("54820137294")</f>
        <v>54820137294</v>
      </c>
      <c r="K1687" s="3" t="s">
        <v>33</v>
      </c>
      <c r="L1687" s="3"/>
      <c r="M1687" s="3" t="s">
        <v>131</v>
      </c>
      <c r="N1687" s="3" t="str">
        <f>CONCATENATE("FBNPIA39S69F516B")</f>
        <v>FBNPIA39S69F516B</v>
      </c>
      <c r="O1687" s="3" t="s">
        <v>1814</v>
      </c>
      <c r="P1687" s="3" t="s">
        <v>36</v>
      </c>
      <c r="Q1687" s="3"/>
      <c r="R1687" s="4">
        <v>45996</v>
      </c>
      <c r="S1687" s="3" t="s">
        <v>37</v>
      </c>
      <c r="T1687" s="3" t="s">
        <v>38</v>
      </c>
      <c r="U1687" s="3" t="s">
        <v>39</v>
      </c>
      <c r="V1687" s="3">
        <v>150.75</v>
      </c>
      <c r="W1687" s="3">
        <v>64.069999999999993</v>
      </c>
      <c r="X1687" s="3">
        <v>60.68</v>
      </c>
      <c r="Y1687" s="3">
        <v>26</v>
      </c>
    </row>
    <row r="1688" spans="1:25" ht="60.75" x14ac:dyDescent="0.25">
      <c r="A1688" s="3" t="s">
        <v>26</v>
      </c>
      <c r="B1688" s="3" t="s">
        <v>27</v>
      </c>
      <c r="C1688" s="3" t="s">
        <v>28</v>
      </c>
      <c r="D1688" s="3" t="s">
        <v>50</v>
      </c>
      <c r="E1688" s="3" t="s">
        <v>252</v>
      </c>
      <c r="F1688" s="3" t="s">
        <v>52</v>
      </c>
      <c r="G1688" s="3" t="s">
        <v>252</v>
      </c>
      <c r="H1688" s="3" t="s">
        <v>45</v>
      </c>
      <c r="I1688" s="3">
        <v>2025</v>
      </c>
      <c r="J1688" s="3" t="str">
        <f>CONCATENATE("54820188867")</f>
        <v>54820188867</v>
      </c>
      <c r="K1688" s="3" t="s">
        <v>33</v>
      </c>
      <c r="L1688" s="3"/>
      <c r="M1688" s="3" t="s">
        <v>131</v>
      </c>
      <c r="N1688" s="3" t="str">
        <f>CONCATENATE("CHRRRT58E26D749A")</f>
        <v>CHRRRT58E26D749A</v>
      </c>
      <c r="O1688" s="3" t="s">
        <v>1815</v>
      </c>
      <c r="P1688" s="3" t="s">
        <v>36</v>
      </c>
      <c r="Q1688" s="3"/>
      <c r="R1688" s="4">
        <v>45996</v>
      </c>
      <c r="S1688" s="3" t="s">
        <v>37</v>
      </c>
      <c r="T1688" s="3" t="s">
        <v>38</v>
      </c>
      <c r="U1688" s="3" t="s">
        <v>39</v>
      </c>
      <c r="V1688" s="3">
        <v>90.12</v>
      </c>
      <c r="W1688" s="3">
        <v>38.299999999999997</v>
      </c>
      <c r="X1688" s="3">
        <v>36.270000000000003</v>
      </c>
      <c r="Y1688" s="3">
        <v>15.55</v>
      </c>
    </row>
    <row r="1689" spans="1:25" ht="60.75" x14ac:dyDescent="0.25">
      <c r="A1689" s="3" t="s">
        <v>26</v>
      </c>
      <c r="B1689" s="3" t="s">
        <v>27</v>
      </c>
      <c r="C1689" s="3" t="s">
        <v>28</v>
      </c>
      <c r="D1689" s="3" t="s">
        <v>29</v>
      </c>
      <c r="E1689" s="3" t="s">
        <v>56</v>
      </c>
      <c r="F1689" s="3" t="s">
        <v>31</v>
      </c>
      <c r="G1689" s="3" t="s">
        <v>56</v>
      </c>
      <c r="H1689" s="3" t="s">
        <v>32</v>
      </c>
      <c r="I1689" s="3">
        <v>2025</v>
      </c>
      <c r="J1689" s="3" t="str">
        <f>CONCATENATE("54820121959")</f>
        <v>54820121959</v>
      </c>
      <c r="K1689" s="3" t="s">
        <v>33</v>
      </c>
      <c r="L1689" s="3"/>
      <c r="M1689" s="3" t="s">
        <v>131</v>
      </c>
      <c r="N1689" s="3" t="str">
        <f>CONCATENATE("PRGFLC62B04B474U")</f>
        <v>PRGFLC62B04B474U</v>
      </c>
      <c r="O1689" s="3" t="s">
        <v>1816</v>
      </c>
      <c r="P1689" s="3" t="s">
        <v>36</v>
      </c>
      <c r="Q1689" s="3"/>
      <c r="R1689" s="4">
        <v>45996</v>
      </c>
      <c r="S1689" s="3" t="s">
        <v>37</v>
      </c>
      <c r="T1689" s="3" t="s">
        <v>38</v>
      </c>
      <c r="U1689" s="3" t="s">
        <v>39</v>
      </c>
      <c r="V1689" s="3">
        <v>147.41</v>
      </c>
      <c r="W1689" s="3">
        <v>62.65</v>
      </c>
      <c r="X1689" s="3">
        <v>59.33</v>
      </c>
      <c r="Y1689" s="3">
        <v>25.43</v>
      </c>
    </row>
    <row r="1690" spans="1:25" ht="60.75" x14ac:dyDescent="0.25">
      <c r="A1690" s="3" t="s">
        <v>26</v>
      </c>
      <c r="B1690" s="3" t="s">
        <v>27</v>
      </c>
      <c r="C1690" s="3" t="s">
        <v>28</v>
      </c>
      <c r="D1690" s="3" t="s">
        <v>29</v>
      </c>
      <c r="E1690" s="3" t="s">
        <v>56</v>
      </c>
      <c r="F1690" s="3" t="s">
        <v>31</v>
      </c>
      <c r="G1690" s="3" t="s">
        <v>56</v>
      </c>
      <c r="H1690" s="3" t="s">
        <v>32</v>
      </c>
      <c r="I1690" s="3">
        <v>2025</v>
      </c>
      <c r="J1690" s="3" t="str">
        <f>CONCATENATE("54820122676")</f>
        <v>54820122676</v>
      </c>
      <c r="K1690" s="3" t="s">
        <v>33</v>
      </c>
      <c r="L1690" s="3"/>
      <c r="M1690" s="3" t="s">
        <v>131</v>
      </c>
      <c r="N1690" s="3" t="str">
        <f>CONCATENATE("QTTCTA57C45H501N")</f>
        <v>QTTCTA57C45H501N</v>
      </c>
      <c r="O1690" s="3" t="s">
        <v>1817</v>
      </c>
      <c r="P1690" s="3" t="s">
        <v>36</v>
      </c>
      <c r="Q1690" s="3"/>
      <c r="R1690" s="4">
        <v>45996</v>
      </c>
      <c r="S1690" s="3" t="s">
        <v>37</v>
      </c>
      <c r="T1690" s="3" t="s">
        <v>38</v>
      </c>
      <c r="U1690" s="3" t="s">
        <v>39</v>
      </c>
      <c r="V1690" s="3">
        <v>503.46</v>
      </c>
      <c r="W1690" s="3">
        <v>213.97</v>
      </c>
      <c r="X1690" s="3">
        <v>202.64</v>
      </c>
      <c r="Y1690" s="3">
        <v>86.85</v>
      </c>
    </row>
    <row r="1691" spans="1:25" ht="60.75" x14ac:dyDescent="0.25">
      <c r="A1691" s="3" t="s">
        <v>26</v>
      </c>
      <c r="B1691" s="3" t="s">
        <v>27</v>
      </c>
      <c r="C1691" s="3" t="s">
        <v>28</v>
      </c>
      <c r="D1691" s="3" t="s">
        <v>29</v>
      </c>
      <c r="E1691" s="3" t="s">
        <v>182</v>
      </c>
      <c r="F1691" s="3" t="s">
        <v>31</v>
      </c>
      <c r="G1691" s="3" t="s">
        <v>182</v>
      </c>
      <c r="H1691" s="3" t="s">
        <v>45</v>
      </c>
      <c r="I1691" s="3">
        <v>2025</v>
      </c>
      <c r="J1691" s="3" t="str">
        <f>CONCATENATE("54820158365")</f>
        <v>54820158365</v>
      </c>
      <c r="K1691" s="3" t="s">
        <v>33</v>
      </c>
      <c r="L1691" s="3"/>
      <c r="M1691" s="3" t="s">
        <v>131</v>
      </c>
      <c r="N1691" s="3" t="str">
        <f>CONCATENATE("PLVFBA79C08L500A")</f>
        <v>PLVFBA79C08L500A</v>
      </c>
      <c r="O1691" s="3" t="s">
        <v>1818</v>
      </c>
      <c r="P1691" s="3" t="s">
        <v>36</v>
      </c>
      <c r="Q1691" s="3"/>
      <c r="R1691" s="4">
        <v>45996</v>
      </c>
      <c r="S1691" s="3" t="s">
        <v>37</v>
      </c>
      <c r="T1691" s="3" t="s">
        <v>38</v>
      </c>
      <c r="U1691" s="3" t="s">
        <v>39</v>
      </c>
      <c r="V1691" s="3">
        <v>51.87</v>
      </c>
      <c r="W1691" s="3">
        <v>22.04</v>
      </c>
      <c r="X1691" s="3">
        <v>20.88</v>
      </c>
      <c r="Y1691" s="3">
        <v>8.9499999999999993</v>
      </c>
    </row>
    <row r="1692" spans="1:25" ht="60.75" x14ac:dyDescent="0.25">
      <c r="A1692" s="3" t="s">
        <v>26</v>
      </c>
      <c r="B1692" s="3" t="s">
        <v>27</v>
      </c>
      <c r="C1692" s="3" t="s">
        <v>28</v>
      </c>
      <c r="D1692" s="3" t="s">
        <v>29</v>
      </c>
      <c r="E1692" s="3" t="s">
        <v>136</v>
      </c>
      <c r="F1692" s="3" t="s">
        <v>31</v>
      </c>
      <c r="G1692" s="3" t="s">
        <v>136</v>
      </c>
      <c r="H1692" s="3" t="s">
        <v>48</v>
      </c>
      <c r="I1692" s="3">
        <v>2025</v>
      </c>
      <c r="J1692" s="3" t="str">
        <f>CONCATENATE("54820117635")</f>
        <v>54820117635</v>
      </c>
      <c r="K1692" s="3" t="s">
        <v>33</v>
      </c>
      <c r="L1692" s="3"/>
      <c r="M1692" s="3" t="s">
        <v>131</v>
      </c>
      <c r="N1692" s="3" t="str">
        <f>CONCATENATE("PRSCTN54S04D965M")</f>
        <v>PRSCTN54S04D965M</v>
      </c>
      <c r="O1692" s="3" t="s">
        <v>1819</v>
      </c>
      <c r="P1692" s="3" t="s">
        <v>36</v>
      </c>
      <c r="Q1692" s="3"/>
      <c r="R1692" s="4">
        <v>45996</v>
      </c>
      <c r="S1692" s="3" t="s">
        <v>37</v>
      </c>
      <c r="T1692" s="3" t="s">
        <v>38</v>
      </c>
      <c r="U1692" s="3" t="s">
        <v>39</v>
      </c>
      <c r="V1692" s="3">
        <v>71.75</v>
      </c>
      <c r="W1692" s="3">
        <v>30.49</v>
      </c>
      <c r="X1692" s="3">
        <v>28.88</v>
      </c>
      <c r="Y1692" s="3">
        <v>12.38</v>
      </c>
    </row>
    <row r="1693" spans="1:25" ht="60.75" x14ac:dyDescent="0.25">
      <c r="A1693" s="3" t="s">
        <v>26</v>
      </c>
      <c r="B1693" s="3" t="s">
        <v>27</v>
      </c>
      <c r="C1693" s="3" t="s">
        <v>28</v>
      </c>
      <c r="D1693" s="3" t="s">
        <v>29</v>
      </c>
      <c r="E1693" s="3" t="s">
        <v>136</v>
      </c>
      <c r="F1693" s="3" t="s">
        <v>31</v>
      </c>
      <c r="G1693" s="3" t="s">
        <v>136</v>
      </c>
      <c r="H1693" s="3" t="s">
        <v>48</v>
      </c>
      <c r="I1693" s="3">
        <v>2025</v>
      </c>
      <c r="J1693" s="3" t="str">
        <f>CONCATENATE("54820154851")</f>
        <v>54820154851</v>
      </c>
      <c r="K1693" s="3" t="s">
        <v>33</v>
      </c>
      <c r="L1693" s="3"/>
      <c r="M1693" s="3" t="s">
        <v>131</v>
      </c>
      <c r="N1693" s="3" t="str">
        <f>CONCATENATE("MNTSNT34P68D493N")</f>
        <v>MNTSNT34P68D493N</v>
      </c>
      <c r="O1693" s="3" t="s">
        <v>1820</v>
      </c>
      <c r="P1693" s="3" t="s">
        <v>36</v>
      </c>
      <c r="Q1693" s="3"/>
      <c r="R1693" s="4">
        <v>45996</v>
      </c>
      <c r="S1693" s="3" t="s">
        <v>37</v>
      </c>
      <c r="T1693" s="3" t="s">
        <v>38</v>
      </c>
      <c r="U1693" s="3" t="s">
        <v>39</v>
      </c>
      <c r="V1693" s="5">
        <v>1051.1199999999999</v>
      </c>
      <c r="W1693" s="3">
        <v>446.73</v>
      </c>
      <c r="X1693" s="3">
        <v>423.08</v>
      </c>
      <c r="Y1693" s="3">
        <v>181.31</v>
      </c>
    </row>
    <row r="1694" spans="1:25" ht="60.75" x14ac:dyDescent="0.25">
      <c r="A1694" s="3" t="s">
        <v>26</v>
      </c>
      <c r="B1694" s="3" t="s">
        <v>27</v>
      </c>
      <c r="C1694" s="3" t="s">
        <v>28</v>
      </c>
      <c r="D1694" s="3" t="s">
        <v>50</v>
      </c>
      <c r="E1694" s="3" t="s">
        <v>173</v>
      </c>
      <c r="F1694" s="3" t="s">
        <v>52</v>
      </c>
      <c r="G1694" s="3" t="s">
        <v>173</v>
      </c>
      <c r="H1694" s="3" t="s">
        <v>45</v>
      </c>
      <c r="I1694" s="3">
        <v>2025</v>
      </c>
      <c r="J1694" s="3" t="str">
        <f>CONCATENATE("54820065206")</f>
        <v>54820065206</v>
      </c>
      <c r="K1694" s="3" t="s">
        <v>33</v>
      </c>
      <c r="L1694" s="3"/>
      <c r="M1694" s="3" t="s">
        <v>131</v>
      </c>
      <c r="N1694" s="3" t="str">
        <f>CONCATENATE("SPDNDR80B10I459F")</f>
        <v>SPDNDR80B10I459F</v>
      </c>
      <c r="O1694" s="3" t="s">
        <v>1821</v>
      </c>
      <c r="P1694" s="3" t="s">
        <v>36</v>
      </c>
      <c r="Q1694" s="3"/>
      <c r="R1694" s="4">
        <v>45996</v>
      </c>
      <c r="S1694" s="3" t="s">
        <v>37</v>
      </c>
      <c r="T1694" s="3" t="s">
        <v>38</v>
      </c>
      <c r="U1694" s="3" t="s">
        <v>39</v>
      </c>
      <c r="V1694" s="3">
        <v>87.57</v>
      </c>
      <c r="W1694" s="3">
        <v>37.22</v>
      </c>
      <c r="X1694" s="3">
        <v>35.25</v>
      </c>
      <c r="Y1694" s="3">
        <v>15.1</v>
      </c>
    </row>
    <row r="1695" spans="1:25" ht="60.75" x14ac:dyDescent="0.25">
      <c r="A1695" s="3" t="s">
        <v>26</v>
      </c>
      <c r="B1695" s="3" t="s">
        <v>27</v>
      </c>
      <c r="C1695" s="3" t="s">
        <v>28</v>
      </c>
      <c r="D1695" s="3" t="s">
        <v>29</v>
      </c>
      <c r="E1695" s="3" t="s">
        <v>47</v>
      </c>
      <c r="F1695" s="3" t="s">
        <v>31</v>
      </c>
      <c r="G1695" s="3" t="s">
        <v>47</v>
      </c>
      <c r="H1695" s="3" t="s">
        <v>48</v>
      </c>
      <c r="I1695" s="3">
        <v>2025</v>
      </c>
      <c r="J1695" s="3" t="str">
        <f>CONCATENATE("54820136015")</f>
        <v>54820136015</v>
      </c>
      <c r="K1695" s="3" t="s">
        <v>33</v>
      </c>
      <c r="L1695" s="3"/>
      <c r="M1695" s="3" t="s">
        <v>131</v>
      </c>
      <c r="N1695" s="3" t="str">
        <f>CONCATENATE("LPRMRA80S20D451U")</f>
        <v>LPRMRA80S20D451U</v>
      </c>
      <c r="O1695" s="3" t="s">
        <v>1822</v>
      </c>
      <c r="P1695" s="3" t="s">
        <v>36</v>
      </c>
      <c r="Q1695" s="3"/>
      <c r="R1695" s="4">
        <v>45996</v>
      </c>
      <c r="S1695" s="3" t="s">
        <v>37</v>
      </c>
      <c r="T1695" s="3" t="s">
        <v>38</v>
      </c>
      <c r="U1695" s="3" t="s">
        <v>39</v>
      </c>
      <c r="V1695" s="3">
        <v>75.22</v>
      </c>
      <c r="W1695" s="3">
        <v>31.97</v>
      </c>
      <c r="X1695" s="3">
        <v>30.28</v>
      </c>
      <c r="Y1695" s="3">
        <v>12.97</v>
      </c>
    </row>
    <row r="1696" spans="1:25" ht="36.75" x14ac:dyDescent="0.25">
      <c r="A1696" s="3" t="s">
        <v>26</v>
      </c>
      <c r="B1696" s="3" t="s">
        <v>27</v>
      </c>
      <c r="C1696" s="3" t="s">
        <v>28</v>
      </c>
      <c r="D1696" s="3" t="s">
        <v>29</v>
      </c>
      <c r="E1696" s="3" t="s">
        <v>1398</v>
      </c>
      <c r="F1696" s="3" t="s">
        <v>31</v>
      </c>
      <c r="G1696" s="3" t="s">
        <v>1398</v>
      </c>
      <c r="H1696" s="3" t="s">
        <v>32</v>
      </c>
      <c r="I1696" s="3">
        <v>2025</v>
      </c>
      <c r="J1696" s="3" t="str">
        <f>CONCATENATE("54820197157")</f>
        <v>54820197157</v>
      </c>
      <c r="K1696" s="3" t="s">
        <v>33</v>
      </c>
      <c r="L1696" s="3"/>
      <c r="M1696" s="3" t="s">
        <v>131</v>
      </c>
      <c r="N1696" s="3" t="str">
        <f>CONCATENATE("01695990430")</f>
        <v>01695990430</v>
      </c>
      <c r="O1696" s="3" t="s">
        <v>1823</v>
      </c>
      <c r="P1696" s="3" t="s">
        <v>36</v>
      </c>
      <c r="Q1696" s="3"/>
      <c r="R1696" s="4">
        <v>45996</v>
      </c>
      <c r="S1696" s="3" t="s">
        <v>37</v>
      </c>
      <c r="T1696" s="3" t="s">
        <v>38</v>
      </c>
      <c r="U1696" s="3" t="s">
        <v>39</v>
      </c>
      <c r="V1696" s="3">
        <v>77</v>
      </c>
      <c r="W1696" s="3">
        <v>32.729999999999997</v>
      </c>
      <c r="X1696" s="3">
        <v>30.99</v>
      </c>
      <c r="Y1696" s="3">
        <v>13.28</v>
      </c>
    </row>
    <row r="1697" spans="1:25" ht="60.75" x14ac:dyDescent="0.25">
      <c r="A1697" s="3" t="s">
        <v>26</v>
      </c>
      <c r="B1697" s="3" t="s">
        <v>27</v>
      </c>
      <c r="C1697" s="3" t="s">
        <v>28</v>
      </c>
      <c r="D1697" s="3" t="s">
        <v>50</v>
      </c>
      <c r="E1697" s="3" t="s">
        <v>60</v>
      </c>
      <c r="F1697" s="3" t="s">
        <v>52</v>
      </c>
      <c r="G1697" s="3" t="s">
        <v>60</v>
      </c>
      <c r="H1697" s="3" t="s">
        <v>45</v>
      </c>
      <c r="I1697" s="3">
        <v>2025</v>
      </c>
      <c r="J1697" s="3" t="str">
        <f>CONCATENATE("54820123138")</f>
        <v>54820123138</v>
      </c>
      <c r="K1697" s="3" t="s">
        <v>33</v>
      </c>
      <c r="L1697" s="3"/>
      <c r="M1697" s="3" t="s">
        <v>131</v>
      </c>
      <c r="N1697" s="3" t="str">
        <f>CONCATENATE("NCLGRL67C64G453Q")</f>
        <v>NCLGRL67C64G453Q</v>
      </c>
      <c r="O1697" s="3" t="s">
        <v>1824</v>
      </c>
      <c r="P1697" s="3" t="s">
        <v>36</v>
      </c>
      <c r="Q1697" s="3"/>
      <c r="R1697" s="4">
        <v>45996</v>
      </c>
      <c r="S1697" s="3" t="s">
        <v>37</v>
      </c>
      <c r="T1697" s="3" t="s">
        <v>38</v>
      </c>
      <c r="U1697" s="3" t="s">
        <v>39</v>
      </c>
      <c r="V1697" s="3">
        <v>88.36</v>
      </c>
      <c r="W1697" s="3">
        <v>37.549999999999997</v>
      </c>
      <c r="X1697" s="3">
        <v>35.56</v>
      </c>
      <c r="Y1697" s="3">
        <v>15.25</v>
      </c>
    </row>
    <row r="1698" spans="1:25" ht="60.75" x14ac:dyDescent="0.25">
      <c r="A1698" s="3" t="s">
        <v>26</v>
      </c>
      <c r="B1698" s="3" t="s">
        <v>27</v>
      </c>
      <c r="C1698" s="3" t="s">
        <v>28</v>
      </c>
      <c r="D1698" s="3" t="s">
        <v>50</v>
      </c>
      <c r="E1698" s="3" t="s">
        <v>107</v>
      </c>
      <c r="F1698" s="3" t="s">
        <v>52</v>
      </c>
      <c r="G1698" s="3" t="s">
        <v>107</v>
      </c>
      <c r="H1698" s="3" t="s">
        <v>48</v>
      </c>
      <c r="I1698" s="3">
        <v>2025</v>
      </c>
      <c r="J1698" s="3" t="str">
        <f>CONCATENATE("54820075510")</f>
        <v>54820075510</v>
      </c>
      <c r="K1698" s="3" t="s">
        <v>33</v>
      </c>
      <c r="L1698" s="3"/>
      <c r="M1698" s="3" t="s">
        <v>131</v>
      </c>
      <c r="N1698" s="3" t="str">
        <f>CONCATENATE("LTNNTN43C08D211Y")</f>
        <v>LTNNTN43C08D211Y</v>
      </c>
      <c r="O1698" s="3" t="s">
        <v>1825</v>
      </c>
      <c r="P1698" s="3" t="s">
        <v>36</v>
      </c>
      <c r="Q1698" s="3"/>
      <c r="R1698" s="4">
        <v>45996</v>
      </c>
      <c r="S1698" s="3" t="s">
        <v>37</v>
      </c>
      <c r="T1698" s="3" t="s">
        <v>38</v>
      </c>
      <c r="U1698" s="3" t="s">
        <v>39</v>
      </c>
      <c r="V1698" s="3">
        <v>97.05</v>
      </c>
      <c r="W1698" s="3">
        <v>41.25</v>
      </c>
      <c r="X1698" s="3">
        <v>39.06</v>
      </c>
      <c r="Y1698" s="3">
        <v>16.739999999999998</v>
      </c>
    </row>
    <row r="1699" spans="1:25" ht="60.75" x14ac:dyDescent="0.25">
      <c r="A1699" s="3" t="s">
        <v>26</v>
      </c>
      <c r="B1699" s="3" t="s">
        <v>27</v>
      </c>
      <c r="C1699" s="3" t="s">
        <v>28</v>
      </c>
      <c r="D1699" s="3" t="s">
        <v>29</v>
      </c>
      <c r="E1699" s="3" t="s">
        <v>476</v>
      </c>
      <c r="F1699" s="3" t="s">
        <v>31</v>
      </c>
      <c r="G1699" s="3" t="s">
        <v>476</v>
      </c>
      <c r="H1699" s="3" t="s">
        <v>48</v>
      </c>
      <c r="I1699" s="3">
        <v>2025</v>
      </c>
      <c r="J1699" s="3" t="str">
        <f>CONCATENATE("54820177803")</f>
        <v>54820177803</v>
      </c>
      <c r="K1699" s="3" t="s">
        <v>33</v>
      </c>
      <c r="L1699" s="3"/>
      <c r="M1699" s="3" t="s">
        <v>131</v>
      </c>
      <c r="N1699" s="3" t="str">
        <f>CONCATENATE("LCCMRC92P07E388K")</f>
        <v>LCCMRC92P07E388K</v>
      </c>
      <c r="O1699" s="3" t="s">
        <v>1826</v>
      </c>
      <c r="P1699" s="3" t="s">
        <v>36</v>
      </c>
      <c r="Q1699" s="3"/>
      <c r="R1699" s="4">
        <v>45996</v>
      </c>
      <c r="S1699" s="3" t="s">
        <v>37</v>
      </c>
      <c r="T1699" s="3" t="s">
        <v>38</v>
      </c>
      <c r="U1699" s="3" t="s">
        <v>39</v>
      </c>
      <c r="V1699" s="3">
        <v>105.55</v>
      </c>
      <c r="W1699" s="3">
        <v>44.86</v>
      </c>
      <c r="X1699" s="3">
        <v>42.48</v>
      </c>
      <c r="Y1699" s="3">
        <v>18.21</v>
      </c>
    </row>
    <row r="1700" spans="1:25" ht="60.75" x14ac:dyDescent="0.25">
      <c r="A1700" s="3" t="s">
        <v>26</v>
      </c>
      <c r="B1700" s="3" t="s">
        <v>27</v>
      </c>
      <c r="C1700" s="3" t="s">
        <v>28</v>
      </c>
      <c r="D1700" s="3" t="s">
        <v>50</v>
      </c>
      <c r="E1700" s="3" t="s">
        <v>60</v>
      </c>
      <c r="F1700" s="3" t="s">
        <v>52</v>
      </c>
      <c r="G1700" s="3" t="s">
        <v>60</v>
      </c>
      <c r="H1700" s="3" t="s">
        <v>45</v>
      </c>
      <c r="I1700" s="3">
        <v>2025</v>
      </c>
      <c r="J1700" s="3" t="str">
        <f>CONCATENATE("54820104559")</f>
        <v>54820104559</v>
      </c>
      <c r="K1700" s="3" t="s">
        <v>33</v>
      </c>
      <c r="L1700" s="3"/>
      <c r="M1700" s="3" t="s">
        <v>131</v>
      </c>
      <c r="N1700" s="3" t="str">
        <f>CONCATENATE("BRTDVD69S10B352Z")</f>
        <v>BRTDVD69S10B352Z</v>
      </c>
      <c r="O1700" s="3" t="s">
        <v>1827</v>
      </c>
      <c r="P1700" s="3" t="s">
        <v>36</v>
      </c>
      <c r="Q1700" s="3"/>
      <c r="R1700" s="4">
        <v>45996</v>
      </c>
      <c r="S1700" s="3" t="s">
        <v>37</v>
      </c>
      <c r="T1700" s="3" t="s">
        <v>38</v>
      </c>
      <c r="U1700" s="3" t="s">
        <v>39</v>
      </c>
      <c r="V1700" s="3">
        <v>75.44</v>
      </c>
      <c r="W1700" s="3">
        <v>32.06</v>
      </c>
      <c r="X1700" s="3">
        <v>30.36</v>
      </c>
      <c r="Y1700" s="3">
        <v>13.02</v>
      </c>
    </row>
    <row r="1701" spans="1:25" ht="60.75" x14ac:dyDescent="0.25">
      <c r="A1701" s="3" t="s">
        <v>26</v>
      </c>
      <c r="B1701" s="3" t="s">
        <v>27</v>
      </c>
      <c r="C1701" s="3" t="s">
        <v>28</v>
      </c>
      <c r="D1701" s="3" t="s">
        <v>50</v>
      </c>
      <c r="E1701" s="3" t="s">
        <v>147</v>
      </c>
      <c r="F1701" s="3" t="s">
        <v>52</v>
      </c>
      <c r="G1701" s="3" t="s">
        <v>147</v>
      </c>
      <c r="H1701" s="3" t="s">
        <v>45</v>
      </c>
      <c r="I1701" s="3">
        <v>2025</v>
      </c>
      <c r="J1701" s="3" t="str">
        <f>CONCATENATE("54820125026")</f>
        <v>54820125026</v>
      </c>
      <c r="K1701" s="3" t="s">
        <v>33</v>
      </c>
      <c r="L1701" s="3"/>
      <c r="M1701" s="3" t="s">
        <v>131</v>
      </c>
      <c r="N1701" s="3" t="str">
        <f>CONCATENATE("MZZCLS51E02G514R")</f>
        <v>MZZCLS51E02G514R</v>
      </c>
      <c r="O1701" s="3" t="s">
        <v>1828</v>
      </c>
      <c r="P1701" s="3" t="s">
        <v>36</v>
      </c>
      <c r="Q1701" s="3"/>
      <c r="R1701" s="4">
        <v>45996</v>
      </c>
      <c r="S1701" s="3" t="s">
        <v>37</v>
      </c>
      <c r="T1701" s="3" t="s">
        <v>38</v>
      </c>
      <c r="U1701" s="3" t="s">
        <v>39</v>
      </c>
      <c r="V1701" s="3">
        <v>162.59</v>
      </c>
      <c r="W1701" s="3">
        <v>69.099999999999994</v>
      </c>
      <c r="X1701" s="3">
        <v>65.44</v>
      </c>
      <c r="Y1701" s="3">
        <v>28.05</v>
      </c>
    </row>
    <row r="1702" spans="1:25" ht="60.75" x14ac:dyDescent="0.25">
      <c r="A1702" s="3" t="s">
        <v>26</v>
      </c>
      <c r="B1702" s="3" t="s">
        <v>27</v>
      </c>
      <c r="C1702" s="3" t="s">
        <v>28</v>
      </c>
      <c r="D1702" s="3" t="s">
        <v>50</v>
      </c>
      <c r="E1702" s="3" t="s">
        <v>51</v>
      </c>
      <c r="F1702" s="3" t="s">
        <v>52</v>
      </c>
      <c r="G1702" s="3" t="s">
        <v>51</v>
      </c>
      <c r="H1702" s="3" t="s">
        <v>48</v>
      </c>
      <c r="I1702" s="3">
        <v>2025</v>
      </c>
      <c r="J1702" s="3" t="str">
        <f>CONCATENATE("54820170261")</f>
        <v>54820170261</v>
      </c>
      <c r="K1702" s="3" t="s">
        <v>33</v>
      </c>
      <c r="L1702" s="3"/>
      <c r="M1702" s="3" t="s">
        <v>131</v>
      </c>
      <c r="N1702" s="3" t="str">
        <f>CONCATENATE("CRNLDN58R58I461T")</f>
        <v>CRNLDN58R58I461T</v>
      </c>
      <c r="O1702" s="3" t="s">
        <v>1829</v>
      </c>
      <c r="P1702" s="3" t="s">
        <v>36</v>
      </c>
      <c r="Q1702" s="3"/>
      <c r="R1702" s="4">
        <v>45996</v>
      </c>
      <c r="S1702" s="3" t="s">
        <v>37</v>
      </c>
      <c r="T1702" s="3" t="s">
        <v>38</v>
      </c>
      <c r="U1702" s="3" t="s">
        <v>39</v>
      </c>
      <c r="V1702" s="3">
        <v>361.7</v>
      </c>
      <c r="W1702" s="3">
        <v>153.72</v>
      </c>
      <c r="X1702" s="3">
        <v>145.58000000000001</v>
      </c>
      <c r="Y1702" s="3">
        <v>62.4</v>
      </c>
    </row>
    <row r="1703" spans="1:25" ht="36.75" x14ac:dyDescent="0.25">
      <c r="A1703" s="3" t="s">
        <v>26</v>
      </c>
      <c r="B1703" s="3" t="s">
        <v>27</v>
      </c>
      <c r="C1703" s="3" t="s">
        <v>28</v>
      </c>
      <c r="D1703" s="3" t="s">
        <v>91</v>
      </c>
      <c r="E1703" s="3" t="s">
        <v>151</v>
      </c>
      <c r="F1703" s="3" t="s">
        <v>93</v>
      </c>
      <c r="G1703" s="3" t="s">
        <v>151</v>
      </c>
      <c r="H1703" s="3" t="s">
        <v>45</v>
      </c>
      <c r="I1703" s="3">
        <v>2025</v>
      </c>
      <c r="J1703" s="3" t="str">
        <f>CONCATENATE("54820158357")</f>
        <v>54820158357</v>
      </c>
      <c r="K1703" s="3" t="s">
        <v>33</v>
      </c>
      <c r="L1703" s="3"/>
      <c r="M1703" s="3" t="s">
        <v>131</v>
      </c>
      <c r="N1703" s="3" t="str">
        <f>CONCATENATE("01246790412")</f>
        <v>01246790412</v>
      </c>
      <c r="O1703" s="3" t="s">
        <v>1830</v>
      </c>
      <c r="P1703" s="3" t="s">
        <v>36</v>
      </c>
      <c r="Q1703" s="3"/>
      <c r="R1703" s="4">
        <v>45996</v>
      </c>
      <c r="S1703" s="3" t="s">
        <v>37</v>
      </c>
      <c r="T1703" s="3" t="s">
        <v>38</v>
      </c>
      <c r="U1703" s="3" t="s">
        <v>39</v>
      </c>
      <c r="V1703" s="3">
        <v>588.1</v>
      </c>
      <c r="W1703" s="3">
        <v>249.94</v>
      </c>
      <c r="X1703" s="3">
        <v>236.71</v>
      </c>
      <c r="Y1703" s="3">
        <v>101.45</v>
      </c>
    </row>
    <row r="1704" spans="1:25" ht="60.75" x14ac:dyDescent="0.25">
      <c r="A1704" s="3" t="s">
        <v>26</v>
      </c>
      <c r="B1704" s="3" t="s">
        <v>27</v>
      </c>
      <c r="C1704" s="3" t="s">
        <v>28</v>
      </c>
      <c r="D1704" s="3" t="s">
        <v>91</v>
      </c>
      <c r="E1704" s="3" t="s">
        <v>95</v>
      </c>
      <c r="F1704" s="3" t="s">
        <v>93</v>
      </c>
      <c r="G1704" s="3" t="s">
        <v>95</v>
      </c>
      <c r="H1704" s="3" t="s">
        <v>96</v>
      </c>
      <c r="I1704" s="3">
        <v>2025</v>
      </c>
      <c r="J1704" s="3" t="str">
        <f>CONCATENATE("54820110739")</f>
        <v>54820110739</v>
      </c>
      <c r="K1704" s="3" t="s">
        <v>33</v>
      </c>
      <c r="L1704" s="3"/>
      <c r="M1704" s="3" t="s">
        <v>131</v>
      </c>
      <c r="N1704" s="3" t="str">
        <f>CONCATENATE("TRNRTI40S64A252L")</f>
        <v>TRNRTI40S64A252L</v>
      </c>
      <c r="O1704" s="3" t="s">
        <v>1831</v>
      </c>
      <c r="P1704" s="3" t="s">
        <v>36</v>
      </c>
      <c r="Q1704" s="3"/>
      <c r="R1704" s="4">
        <v>45996</v>
      </c>
      <c r="S1704" s="3" t="s">
        <v>37</v>
      </c>
      <c r="T1704" s="3" t="s">
        <v>38</v>
      </c>
      <c r="U1704" s="3" t="s">
        <v>39</v>
      </c>
      <c r="V1704" s="3">
        <v>75.989999999999995</v>
      </c>
      <c r="W1704" s="3">
        <v>32.299999999999997</v>
      </c>
      <c r="X1704" s="3">
        <v>30.59</v>
      </c>
      <c r="Y1704" s="3">
        <v>13.1</v>
      </c>
    </row>
    <row r="1705" spans="1:25" ht="36.75" x14ac:dyDescent="0.25">
      <c r="A1705" s="3" t="s">
        <v>26</v>
      </c>
      <c r="B1705" s="3" t="s">
        <v>27</v>
      </c>
      <c r="C1705" s="3" t="s">
        <v>28</v>
      </c>
      <c r="D1705" s="3" t="s">
        <v>29</v>
      </c>
      <c r="E1705" s="3" t="s">
        <v>182</v>
      </c>
      <c r="F1705" s="3" t="s">
        <v>31</v>
      </c>
      <c r="G1705" s="3" t="s">
        <v>182</v>
      </c>
      <c r="H1705" s="3" t="s">
        <v>45</v>
      </c>
      <c r="I1705" s="3">
        <v>2025</v>
      </c>
      <c r="J1705" s="3" t="str">
        <f>CONCATENATE("54820161534")</f>
        <v>54820161534</v>
      </c>
      <c r="K1705" s="3" t="s">
        <v>33</v>
      </c>
      <c r="L1705" s="3"/>
      <c r="M1705" s="3" t="s">
        <v>131</v>
      </c>
      <c r="N1705" s="3" t="str">
        <f>CONCATENATE("01003490412")</f>
        <v>01003490412</v>
      </c>
      <c r="O1705" s="3" t="s">
        <v>1832</v>
      </c>
      <c r="P1705" s="3" t="s">
        <v>36</v>
      </c>
      <c r="Q1705" s="3"/>
      <c r="R1705" s="4">
        <v>45996</v>
      </c>
      <c r="S1705" s="3" t="s">
        <v>37</v>
      </c>
      <c r="T1705" s="3" t="s">
        <v>38</v>
      </c>
      <c r="U1705" s="3" t="s">
        <v>39</v>
      </c>
      <c r="V1705" s="3">
        <v>739.04</v>
      </c>
      <c r="W1705" s="3">
        <v>314.08999999999997</v>
      </c>
      <c r="X1705" s="3">
        <v>297.45999999999998</v>
      </c>
      <c r="Y1705" s="3">
        <v>127.49</v>
      </c>
    </row>
    <row r="1706" spans="1:25" ht="60.75" x14ac:dyDescent="0.25">
      <c r="A1706" s="3" t="s">
        <v>26</v>
      </c>
      <c r="B1706" s="3" t="s">
        <v>27</v>
      </c>
      <c r="C1706" s="3" t="s">
        <v>28</v>
      </c>
      <c r="D1706" s="3" t="s">
        <v>50</v>
      </c>
      <c r="E1706" s="3" t="s">
        <v>147</v>
      </c>
      <c r="F1706" s="3" t="s">
        <v>52</v>
      </c>
      <c r="G1706" s="3" t="s">
        <v>147</v>
      </c>
      <c r="H1706" s="3" t="s">
        <v>45</v>
      </c>
      <c r="I1706" s="3">
        <v>2025</v>
      </c>
      <c r="J1706" s="3" t="str">
        <f>CONCATENATE("54820131248")</f>
        <v>54820131248</v>
      </c>
      <c r="K1706" s="3" t="s">
        <v>33</v>
      </c>
      <c r="L1706" s="3"/>
      <c r="M1706" s="3" t="s">
        <v>131</v>
      </c>
      <c r="N1706" s="3" t="str">
        <f>CONCATENATE("BLSGNI57B15I459E")</f>
        <v>BLSGNI57B15I459E</v>
      </c>
      <c r="O1706" s="3" t="s">
        <v>1833</v>
      </c>
      <c r="P1706" s="3" t="s">
        <v>36</v>
      </c>
      <c r="Q1706" s="3"/>
      <c r="R1706" s="4">
        <v>45996</v>
      </c>
      <c r="S1706" s="3" t="s">
        <v>37</v>
      </c>
      <c r="T1706" s="3" t="s">
        <v>38</v>
      </c>
      <c r="U1706" s="3" t="s">
        <v>39</v>
      </c>
      <c r="V1706" s="3">
        <v>566.99</v>
      </c>
      <c r="W1706" s="3">
        <v>240.97</v>
      </c>
      <c r="X1706" s="3">
        <v>228.21</v>
      </c>
      <c r="Y1706" s="3">
        <v>97.81</v>
      </c>
    </row>
    <row r="1707" spans="1:25" ht="60.75" x14ac:dyDescent="0.25">
      <c r="A1707" s="3" t="s">
        <v>26</v>
      </c>
      <c r="B1707" s="3" t="s">
        <v>27</v>
      </c>
      <c r="C1707" s="3" t="s">
        <v>28</v>
      </c>
      <c r="D1707" s="3" t="s">
        <v>29</v>
      </c>
      <c r="E1707" s="3" t="s">
        <v>136</v>
      </c>
      <c r="F1707" s="3" t="s">
        <v>31</v>
      </c>
      <c r="G1707" s="3" t="s">
        <v>136</v>
      </c>
      <c r="H1707" s="3" t="s">
        <v>48</v>
      </c>
      <c r="I1707" s="3">
        <v>2025</v>
      </c>
      <c r="J1707" s="3" t="str">
        <f>CONCATENATE("54820139324")</f>
        <v>54820139324</v>
      </c>
      <c r="K1707" s="3" t="s">
        <v>33</v>
      </c>
      <c r="L1707" s="3"/>
      <c r="M1707" s="3" t="s">
        <v>131</v>
      </c>
      <c r="N1707" s="3" t="str">
        <f>CONCATENATE("PLLTTL93H05D451D")</f>
        <v>PLLTTL93H05D451D</v>
      </c>
      <c r="O1707" s="3" t="s">
        <v>1834</v>
      </c>
      <c r="P1707" s="3" t="s">
        <v>36</v>
      </c>
      <c r="Q1707" s="3"/>
      <c r="R1707" s="4">
        <v>45996</v>
      </c>
      <c r="S1707" s="3" t="s">
        <v>37</v>
      </c>
      <c r="T1707" s="3" t="s">
        <v>38</v>
      </c>
      <c r="U1707" s="3" t="s">
        <v>39</v>
      </c>
      <c r="V1707" s="3">
        <v>174.81</v>
      </c>
      <c r="W1707" s="3">
        <v>74.290000000000006</v>
      </c>
      <c r="X1707" s="3">
        <v>70.36</v>
      </c>
      <c r="Y1707" s="3">
        <v>30.16</v>
      </c>
    </row>
    <row r="1708" spans="1:25" ht="36.75" x14ac:dyDescent="0.25">
      <c r="A1708" s="3" t="s">
        <v>26</v>
      </c>
      <c r="B1708" s="3" t="s">
        <v>27</v>
      </c>
      <c r="C1708" s="3" t="s">
        <v>28</v>
      </c>
      <c r="D1708" s="3" t="s">
        <v>40</v>
      </c>
      <c r="E1708" s="3" t="s">
        <v>41</v>
      </c>
      <c r="F1708" s="3" t="s">
        <v>42</v>
      </c>
      <c r="G1708" s="3" t="s">
        <v>41</v>
      </c>
      <c r="H1708" s="3" t="s">
        <v>96</v>
      </c>
      <c r="I1708" s="3">
        <v>2025</v>
      </c>
      <c r="J1708" s="3" t="str">
        <f>CONCATENATE("54820145016")</f>
        <v>54820145016</v>
      </c>
      <c r="K1708" s="3" t="s">
        <v>33</v>
      </c>
      <c r="L1708" s="3"/>
      <c r="M1708" s="3" t="s">
        <v>131</v>
      </c>
      <c r="N1708" s="3" t="str">
        <f>CONCATENATE("02417680440")</f>
        <v>02417680440</v>
      </c>
      <c r="O1708" s="3" t="s">
        <v>1835</v>
      </c>
      <c r="P1708" s="3" t="s">
        <v>36</v>
      </c>
      <c r="Q1708" s="3"/>
      <c r="R1708" s="4">
        <v>45996</v>
      </c>
      <c r="S1708" s="3" t="s">
        <v>37</v>
      </c>
      <c r="T1708" s="3" t="s">
        <v>38</v>
      </c>
      <c r="U1708" s="3" t="s">
        <v>39</v>
      </c>
      <c r="V1708" s="3">
        <v>234.04</v>
      </c>
      <c r="W1708" s="3">
        <v>99.47</v>
      </c>
      <c r="X1708" s="3">
        <v>94.2</v>
      </c>
      <c r="Y1708" s="3">
        <v>40.369999999999997</v>
      </c>
    </row>
    <row r="1709" spans="1:25" ht="60.75" x14ac:dyDescent="0.25">
      <c r="A1709" s="3" t="s">
        <v>26</v>
      </c>
      <c r="B1709" s="3" t="s">
        <v>27</v>
      </c>
      <c r="C1709" s="3" t="s">
        <v>28</v>
      </c>
      <c r="D1709" s="3" t="s">
        <v>29</v>
      </c>
      <c r="E1709" s="3" t="s">
        <v>68</v>
      </c>
      <c r="F1709" s="3" t="s">
        <v>31</v>
      </c>
      <c r="G1709" s="3" t="s">
        <v>68</v>
      </c>
      <c r="H1709" s="3" t="s">
        <v>32</v>
      </c>
      <c r="I1709" s="3">
        <v>2025</v>
      </c>
      <c r="J1709" s="3" t="str">
        <f>CONCATENATE("54820139381")</f>
        <v>54820139381</v>
      </c>
      <c r="K1709" s="3" t="s">
        <v>33</v>
      </c>
      <c r="L1709" s="3"/>
      <c r="M1709" s="3" t="s">
        <v>131</v>
      </c>
      <c r="N1709" s="3" t="str">
        <f>CONCATENATE("LAILNE68T60L992S")</f>
        <v>LAILNE68T60L992S</v>
      </c>
      <c r="O1709" s="3" t="s">
        <v>1836</v>
      </c>
      <c r="P1709" s="3" t="s">
        <v>36</v>
      </c>
      <c r="Q1709" s="3"/>
      <c r="R1709" s="4">
        <v>45996</v>
      </c>
      <c r="S1709" s="3" t="s">
        <v>37</v>
      </c>
      <c r="T1709" s="3" t="s">
        <v>38</v>
      </c>
      <c r="U1709" s="3" t="s">
        <v>39</v>
      </c>
      <c r="V1709" s="3">
        <v>94.85</v>
      </c>
      <c r="W1709" s="3">
        <v>40.31</v>
      </c>
      <c r="X1709" s="3">
        <v>38.18</v>
      </c>
      <c r="Y1709" s="3">
        <v>16.36</v>
      </c>
    </row>
    <row r="1710" spans="1:25" ht="60.75" x14ac:dyDescent="0.25">
      <c r="A1710" s="3" t="s">
        <v>26</v>
      </c>
      <c r="B1710" s="3" t="s">
        <v>27</v>
      </c>
      <c r="C1710" s="3" t="s">
        <v>28</v>
      </c>
      <c r="D1710" s="3" t="s">
        <v>50</v>
      </c>
      <c r="E1710" s="3" t="s">
        <v>173</v>
      </c>
      <c r="F1710" s="3" t="s">
        <v>52</v>
      </c>
      <c r="G1710" s="3" t="s">
        <v>173</v>
      </c>
      <c r="H1710" s="3" t="s">
        <v>45</v>
      </c>
      <c r="I1710" s="3">
        <v>2025</v>
      </c>
      <c r="J1710" s="3" t="str">
        <f>CONCATENATE("54820118823")</f>
        <v>54820118823</v>
      </c>
      <c r="K1710" s="3" t="s">
        <v>33</v>
      </c>
      <c r="L1710" s="3"/>
      <c r="M1710" s="3" t="s">
        <v>131</v>
      </c>
      <c r="N1710" s="3" t="str">
        <f>CONCATENATE("MRAGLI05C05L500Z")</f>
        <v>MRAGLI05C05L500Z</v>
      </c>
      <c r="O1710" s="3" t="s">
        <v>1837</v>
      </c>
      <c r="P1710" s="3" t="s">
        <v>36</v>
      </c>
      <c r="Q1710" s="3"/>
      <c r="R1710" s="4">
        <v>45996</v>
      </c>
      <c r="S1710" s="3" t="s">
        <v>37</v>
      </c>
      <c r="T1710" s="3" t="s">
        <v>38</v>
      </c>
      <c r="U1710" s="3" t="s">
        <v>39</v>
      </c>
      <c r="V1710" s="5">
        <v>1426.48</v>
      </c>
      <c r="W1710" s="3">
        <v>606.25</v>
      </c>
      <c r="X1710" s="3">
        <v>574.16</v>
      </c>
      <c r="Y1710" s="3">
        <v>246.07</v>
      </c>
    </row>
    <row r="1711" spans="1:25" ht="60.75" x14ac:dyDescent="0.25">
      <c r="A1711" s="3" t="s">
        <v>26</v>
      </c>
      <c r="B1711" s="3" t="s">
        <v>27</v>
      </c>
      <c r="C1711" s="3" t="s">
        <v>28</v>
      </c>
      <c r="D1711" s="3" t="s">
        <v>50</v>
      </c>
      <c r="E1711" s="3" t="s">
        <v>60</v>
      </c>
      <c r="F1711" s="3" t="s">
        <v>52</v>
      </c>
      <c r="G1711" s="3" t="s">
        <v>60</v>
      </c>
      <c r="H1711" s="3" t="s">
        <v>45</v>
      </c>
      <c r="I1711" s="3">
        <v>2025</v>
      </c>
      <c r="J1711" s="3" t="str">
        <f>CONCATENATE("54820086269")</f>
        <v>54820086269</v>
      </c>
      <c r="K1711" s="3" t="s">
        <v>33</v>
      </c>
      <c r="L1711" s="3"/>
      <c r="M1711" s="3" t="s">
        <v>131</v>
      </c>
      <c r="N1711" s="3" t="str">
        <f>CONCATENATE("FLPNTN51D14I654F")</f>
        <v>FLPNTN51D14I654F</v>
      </c>
      <c r="O1711" s="3" t="s">
        <v>1838</v>
      </c>
      <c r="P1711" s="3" t="s">
        <v>36</v>
      </c>
      <c r="Q1711" s="3"/>
      <c r="R1711" s="4">
        <v>45996</v>
      </c>
      <c r="S1711" s="3" t="s">
        <v>37</v>
      </c>
      <c r="T1711" s="3" t="s">
        <v>38</v>
      </c>
      <c r="U1711" s="3" t="s">
        <v>39</v>
      </c>
      <c r="V1711" s="3">
        <v>245.22</v>
      </c>
      <c r="W1711" s="3">
        <v>104.22</v>
      </c>
      <c r="X1711" s="3">
        <v>98.7</v>
      </c>
      <c r="Y1711" s="3">
        <v>42.3</v>
      </c>
    </row>
    <row r="1712" spans="1:25" ht="60.75" x14ac:dyDescent="0.25">
      <c r="A1712" s="3" t="s">
        <v>26</v>
      </c>
      <c r="B1712" s="3" t="s">
        <v>27</v>
      </c>
      <c r="C1712" s="3" t="s">
        <v>28</v>
      </c>
      <c r="D1712" s="3" t="s">
        <v>50</v>
      </c>
      <c r="E1712" s="3" t="s">
        <v>147</v>
      </c>
      <c r="F1712" s="3" t="s">
        <v>52</v>
      </c>
      <c r="G1712" s="3" t="s">
        <v>147</v>
      </c>
      <c r="H1712" s="3" t="s">
        <v>45</v>
      </c>
      <c r="I1712" s="3">
        <v>2025</v>
      </c>
      <c r="J1712" s="3" t="str">
        <f>CONCATENATE("54820116140")</f>
        <v>54820116140</v>
      </c>
      <c r="K1712" s="3" t="s">
        <v>33</v>
      </c>
      <c r="L1712" s="3"/>
      <c r="M1712" s="3" t="s">
        <v>131</v>
      </c>
      <c r="N1712" s="3" t="str">
        <f>CONCATENATE("GNNFNN57R16L500Z")</f>
        <v>GNNFNN57R16L500Z</v>
      </c>
      <c r="O1712" s="3" t="s">
        <v>1839</v>
      </c>
      <c r="P1712" s="3" t="s">
        <v>36</v>
      </c>
      <c r="Q1712" s="3"/>
      <c r="R1712" s="4">
        <v>45996</v>
      </c>
      <c r="S1712" s="3" t="s">
        <v>37</v>
      </c>
      <c r="T1712" s="3" t="s">
        <v>38</v>
      </c>
      <c r="U1712" s="3" t="s">
        <v>39</v>
      </c>
      <c r="V1712" s="3">
        <v>105.19</v>
      </c>
      <c r="W1712" s="3">
        <v>44.71</v>
      </c>
      <c r="X1712" s="3">
        <v>42.34</v>
      </c>
      <c r="Y1712" s="3">
        <v>18.14</v>
      </c>
    </row>
    <row r="1713" spans="1:25" ht="60.75" x14ac:dyDescent="0.25">
      <c r="A1713" s="3" t="s">
        <v>26</v>
      </c>
      <c r="B1713" s="3" t="s">
        <v>27</v>
      </c>
      <c r="C1713" s="3" t="s">
        <v>28</v>
      </c>
      <c r="D1713" s="3" t="s">
        <v>104</v>
      </c>
      <c r="E1713" s="3" t="s">
        <v>141</v>
      </c>
      <c r="F1713" s="3" t="s">
        <v>104</v>
      </c>
      <c r="G1713" s="3" t="s">
        <v>141</v>
      </c>
      <c r="H1713" s="3" t="s">
        <v>96</v>
      </c>
      <c r="I1713" s="3">
        <v>2025</v>
      </c>
      <c r="J1713" s="3" t="str">
        <f>CONCATENATE("54820143037")</f>
        <v>54820143037</v>
      </c>
      <c r="K1713" s="3" t="s">
        <v>33</v>
      </c>
      <c r="L1713" s="3"/>
      <c r="M1713" s="3" t="s">
        <v>131</v>
      </c>
      <c r="N1713" s="3" t="str">
        <f>CONCATENATE("FRTLDA62A01F570C")</f>
        <v>FRTLDA62A01F570C</v>
      </c>
      <c r="O1713" s="3" t="s">
        <v>1840</v>
      </c>
      <c r="P1713" s="3" t="s">
        <v>36</v>
      </c>
      <c r="Q1713" s="3"/>
      <c r="R1713" s="4">
        <v>45996</v>
      </c>
      <c r="S1713" s="3" t="s">
        <v>37</v>
      </c>
      <c r="T1713" s="3" t="s">
        <v>38</v>
      </c>
      <c r="U1713" s="3" t="s">
        <v>39</v>
      </c>
      <c r="V1713" s="3">
        <v>383.95</v>
      </c>
      <c r="W1713" s="3">
        <v>163.18</v>
      </c>
      <c r="X1713" s="3">
        <v>154.54</v>
      </c>
      <c r="Y1713" s="3">
        <v>66.23</v>
      </c>
    </row>
    <row r="1714" spans="1:25" ht="60.75" x14ac:dyDescent="0.25">
      <c r="A1714" s="3" t="s">
        <v>26</v>
      </c>
      <c r="B1714" s="3" t="s">
        <v>27</v>
      </c>
      <c r="C1714" s="3" t="s">
        <v>28</v>
      </c>
      <c r="D1714" s="3" t="s">
        <v>104</v>
      </c>
      <c r="E1714" s="3" t="s">
        <v>141</v>
      </c>
      <c r="F1714" s="3" t="s">
        <v>104</v>
      </c>
      <c r="G1714" s="3" t="s">
        <v>141</v>
      </c>
      <c r="H1714" s="3" t="s">
        <v>96</v>
      </c>
      <c r="I1714" s="3">
        <v>2025</v>
      </c>
      <c r="J1714" s="3" t="str">
        <f>CONCATENATE("54820144951")</f>
        <v>54820144951</v>
      </c>
      <c r="K1714" s="3" t="s">
        <v>33</v>
      </c>
      <c r="L1714" s="3"/>
      <c r="M1714" s="3" t="s">
        <v>131</v>
      </c>
      <c r="N1714" s="3" t="str">
        <f>CONCATENATE("VNEGLM31P27F509T")</f>
        <v>VNEGLM31P27F509T</v>
      </c>
      <c r="O1714" s="3" t="s">
        <v>1841</v>
      </c>
      <c r="P1714" s="3" t="s">
        <v>36</v>
      </c>
      <c r="Q1714" s="3"/>
      <c r="R1714" s="4">
        <v>45996</v>
      </c>
      <c r="S1714" s="3" t="s">
        <v>37</v>
      </c>
      <c r="T1714" s="3" t="s">
        <v>38</v>
      </c>
      <c r="U1714" s="3" t="s">
        <v>39</v>
      </c>
      <c r="V1714" s="3">
        <v>177.57</v>
      </c>
      <c r="W1714" s="3">
        <v>75.47</v>
      </c>
      <c r="X1714" s="3">
        <v>71.47</v>
      </c>
      <c r="Y1714" s="3">
        <v>30.63</v>
      </c>
    </row>
    <row r="1715" spans="1:25" ht="60.75" x14ac:dyDescent="0.25">
      <c r="A1715" s="3" t="s">
        <v>26</v>
      </c>
      <c r="B1715" s="3" t="s">
        <v>27</v>
      </c>
      <c r="C1715" s="3" t="s">
        <v>28</v>
      </c>
      <c r="D1715" s="3" t="s">
        <v>29</v>
      </c>
      <c r="E1715" s="3" t="s">
        <v>72</v>
      </c>
      <c r="F1715" s="3" t="s">
        <v>31</v>
      </c>
      <c r="G1715" s="3" t="s">
        <v>72</v>
      </c>
      <c r="H1715" s="3" t="s">
        <v>45</v>
      </c>
      <c r="I1715" s="3">
        <v>2025</v>
      </c>
      <c r="J1715" s="3" t="str">
        <f>CONCATENATE("54820081567")</f>
        <v>54820081567</v>
      </c>
      <c r="K1715" s="3" t="s">
        <v>33</v>
      </c>
      <c r="L1715" s="3"/>
      <c r="M1715" s="3" t="s">
        <v>131</v>
      </c>
      <c r="N1715" s="3" t="str">
        <f>CONCATENATE("CRPSDR54D18B352Z")</f>
        <v>CRPSDR54D18B352Z</v>
      </c>
      <c r="O1715" s="3" t="s">
        <v>1842</v>
      </c>
      <c r="P1715" s="3" t="s">
        <v>36</v>
      </c>
      <c r="Q1715" s="3"/>
      <c r="R1715" s="4">
        <v>45996</v>
      </c>
      <c r="S1715" s="3" t="s">
        <v>37</v>
      </c>
      <c r="T1715" s="3" t="s">
        <v>38</v>
      </c>
      <c r="U1715" s="3" t="s">
        <v>39</v>
      </c>
      <c r="V1715" s="3">
        <v>257.98</v>
      </c>
      <c r="W1715" s="3">
        <v>109.64</v>
      </c>
      <c r="X1715" s="3">
        <v>103.84</v>
      </c>
      <c r="Y1715" s="3">
        <v>44.5</v>
      </c>
    </row>
    <row r="1716" spans="1:25" ht="60.75" x14ac:dyDescent="0.25">
      <c r="A1716" s="3" t="s">
        <v>26</v>
      </c>
      <c r="B1716" s="3" t="s">
        <v>27</v>
      </c>
      <c r="C1716" s="3" t="s">
        <v>28</v>
      </c>
      <c r="D1716" s="3" t="s">
        <v>29</v>
      </c>
      <c r="E1716" s="3" t="s">
        <v>56</v>
      </c>
      <c r="F1716" s="3" t="s">
        <v>31</v>
      </c>
      <c r="G1716" s="3" t="s">
        <v>56</v>
      </c>
      <c r="H1716" s="3" t="s">
        <v>32</v>
      </c>
      <c r="I1716" s="3">
        <v>2025</v>
      </c>
      <c r="J1716" s="3" t="str">
        <f>CONCATENATE("54820014089")</f>
        <v>54820014089</v>
      </c>
      <c r="K1716" s="3" t="s">
        <v>33</v>
      </c>
      <c r="L1716" s="3"/>
      <c r="M1716" s="3" t="s">
        <v>131</v>
      </c>
      <c r="N1716" s="3" t="str">
        <f>CONCATENATE("BTTLNZ87M13I156N")</f>
        <v>BTTLNZ87M13I156N</v>
      </c>
      <c r="O1716" s="3" t="s">
        <v>1843</v>
      </c>
      <c r="P1716" s="3" t="s">
        <v>36</v>
      </c>
      <c r="Q1716" s="3"/>
      <c r="R1716" s="4">
        <v>45996</v>
      </c>
      <c r="S1716" s="3" t="s">
        <v>37</v>
      </c>
      <c r="T1716" s="3" t="s">
        <v>38</v>
      </c>
      <c r="U1716" s="3" t="s">
        <v>39</v>
      </c>
      <c r="V1716" s="3">
        <v>218.21</v>
      </c>
      <c r="W1716" s="3">
        <v>92.74</v>
      </c>
      <c r="X1716" s="3">
        <v>87.83</v>
      </c>
      <c r="Y1716" s="3">
        <v>37.64</v>
      </c>
    </row>
    <row r="1717" spans="1:25" ht="60.75" x14ac:dyDescent="0.25">
      <c r="A1717" s="3" t="s">
        <v>26</v>
      </c>
      <c r="B1717" s="3" t="s">
        <v>27</v>
      </c>
      <c r="C1717" s="3" t="s">
        <v>28</v>
      </c>
      <c r="D1717" s="3" t="s">
        <v>29</v>
      </c>
      <c r="E1717" s="3" t="s">
        <v>119</v>
      </c>
      <c r="F1717" s="3" t="s">
        <v>31</v>
      </c>
      <c r="G1717" s="3" t="s">
        <v>119</v>
      </c>
      <c r="H1717" s="3" t="s">
        <v>96</v>
      </c>
      <c r="I1717" s="3">
        <v>2025</v>
      </c>
      <c r="J1717" s="3" t="str">
        <f>CONCATENATE("54820083605")</f>
        <v>54820083605</v>
      </c>
      <c r="K1717" s="3" t="s">
        <v>33</v>
      </c>
      <c r="L1717" s="3"/>
      <c r="M1717" s="3" t="s">
        <v>131</v>
      </c>
      <c r="N1717" s="3" t="str">
        <f>CONCATENATE("PRRCST01B16H211O")</f>
        <v>PRRCST01B16H211O</v>
      </c>
      <c r="O1717" s="3" t="s">
        <v>1844</v>
      </c>
      <c r="P1717" s="3" t="s">
        <v>36</v>
      </c>
      <c r="Q1717" s="3"/>
      <c r="R1717" s="4">
        <v>45996</v>
      </c>
      <c r="S1717" s="3" t="s">
        <v>37</v>
      </c>
      <c r="T1717" s="3" t="s">
        <v>38</v>
      </c>
      <c r="U1717" s="3" t="s">
        <v>39</v>
      </c>
      <c r="V1717" s="3">
        <v>303.23</v>
      </c>
      <c r="W1717" s="3">
        <v>128.87</v>
      </c>
      <c r="X1717" s="3">
        <v>122.05</v>
      </c>
      <c r="Y1717" s="3">
        <v>52.31</v>
      </c>
    </row>
    <row r="1718" spans="1:25" ht="36.75" x14ac:dyDescent="0.25">
      <c r="A1718" s="3" t="s">
        <v>26</v>
      </c>
      <c r="B1718" s="3" t="s">
        <v>27</v>
      </c>
      <c r="C1718" s="3" t="s">
        <v>28</v>
      </c>
      <c r="D1718" s="3" t="s">
        <v>40</v>
      </c>
      <c r="E1718" s="3" t="s">
        <v>218</v>
      </c>
      <c r="F1718" s="3" t="s">
        <v>42</v>
      </c>
      <c r="G1718" s="3" t="s">
        <v>218</v>
      </c>
      <c r="H1718" s="3" t="s">
        <v>45</v>
      </c>
      <c r="I1718" s="3">
        <v>2025</v>
      </c>
      <c r="J1718" s="3" t="str">
        <f>CONCATENATE("54820081922")</f>
        <v>54820081922</v>
      </c>
      <c r="K1718" s="3" t="s">
        <v>33</v>
      </c>
      <c r="L1718" s="3"/>
      <c r="M1718" s="3" t="s">
        <v>131</v>
      </c>
      <c r="N1718" s="3" t="str">
        <f>CONCATENATE("01364170413")</f>
        <v>01364170413</v>
      </c>
      <c r="O1718" s="3" t="s">
        <v>1845</v>
      </c>
      <c r="P1718" s="3" t="s">
        <v>36</v>
      </c>
      <c r="Q1718" s="3"/>
      <c r="R1718" s="4">
        <v>45996</v>
      </c>
      <c r="S1718" s="3" t="s">
        <v>37</v>
      </c>
      <c r="T1718" s="3" t="s">
        <v>38</v>
      </c>
      <c r="U1718" s="3" t="s">
        <v>39</v>
      </c>
      <c r="V1718" s="3">
        <v>863.25</v>
      </c>
      <c r="W1718" s="3">
        <v>366.88</v>
      </c>
      <c r="X1718" s="3">
        <v>347.46</v>
      </c>
      <c r="Y1718" s="3">
        <v>148.91</v>
      </c>
    </row>
    <row r="1719" spans="1:25" ht="72.75" x14ac:dyDescent="0.25">
      <c r="A1719" s="3" t="s">
        <v>26</v>
      </c>
      <c r="B1719" s="3" t="s">
        <v>27</v>
      </c>
      <c r="C1719" s="3" t="s">
        <v>28</v>
      </c>
      <c r="D1719" s="3" t="s">
        <v>29</v>
      </c>
      <c r="E1719" s="3" t="s">
        <v>403</v>
      </c>
      <c r="F1719" s="3" t="s">
        <v>31</v>
      </c>
      <c r="G1719" s="3" t="s">
        <v>403</v>
      </c>
      <c r="H1719" s="3" t="s">
        <v>96</v>
      </c>
      <c r="I1719" s="3">
        <v>2025</v>
      </c>
      <c r="J1719" s="3" t="str">
        <f>CONCATENATE("54820019237")</f>
        <v>54820019237</v>
      </c>
      <c r="K1719" s="3" t="s">
        <v>33</v>
      </c>
      <c r="L1719" s="3"/>
      <c r="M1719" s="3" t="s">
        <v>131</v>
      </c>
      <c r="N1719" s="3" t="str">
        <f>CONCATENATE("GBRBNR43D41A462B")</f>
        <v>GBRBNR43D41A462B</v>
      </c>
      <c r="O1719" s="3" t="s">
        <v>1846</v>
      </c>
      <c r="P1719" s="3" t="s">
        <v>36</v>
      </c>
      <c r="Q1719" s="3"/>
      <c r="R1719" s="4">
        <v>45996</v>
      </c>
      <c r="S1719" s="3" t="s">
        <v>37</v>
      </c>
      <c r="T1719" s="3" t="s">
        <v>38</v>
      </c>
      <c r="U1719" s="3" t="s">
        <v>39</v>
      </c>
      <c r="V1719" s="3">
        <v>75.290000000000006</v>
      </c>
      <c r="W1719" s="3">
        <v>32</v>
      </c>
      <c r="X1719" s="3">
        <v>30.3</v>
      </c>
      <c r="Y1719" s="3">
        <v>12.99</v>
      </c>
    </row>
    <row r="1720" spans="1:25" ht="72.75" x14ac:dyDescent="0.25">
      <c r="A1720" s="3" t="s">
        <v>26</v>
      </c>
      <c r="B1720" s="3" t="s">
        <v>27</v>
      </c>
      <c r="C1720" s="3" t="s">
        <v>28</v>
      </c>
      <c r="D1720" s="3" t="s">
        <v>29</v>
      </c>
      <c r="E1720" s="3" t="s">
        <v>72</v>
      </c>
      <c r="F1720" s="3" t="s">
        <v>31</v>
      </c>
      <c r="G1720" s="3" t="s">
        <v>72</v>
      </c>
      <c r="H1720" s="3" t="s">
        <v>45</v>
      </c>
      <c r="I1720" s="3">
        <v>2025</v>
      </c>
      <c r="J1720" s="3" t="str">
        <f>CONCATENATE("54820032081")</f>
        <v>54820032081</v>
      </c>
      <c r="K1720" s="3" t="s">
        <v>33</v>
      </c>
      <c r="L1720" s="3"/>
      <c r="M1720" s="3" t="s">
        <v>131</v>
      </c>
      <c r="N1720" s="3" t="str">
        <f>CONCATENATE("BNCMRA43H27B352A")</f>
        <v>BNCMRA43H27B352A</v>
      </c>
      <c r="O1720" s="3" t="s">
        <v>1847</v>
      </c>
      <c r="P1720" s="3" t="s">
        <v>36</v>
      </c>
      <c r="Q1720" s="3"/>
      <c r="R1720" s="4">
        <v>45996</v>
      </c>
      <c r="S1720" s="3" t="s">
        <v>37</v>
      </c>
      <c r="T1720" s="3" t="s">
        <v>38</v>
      </c>
      <c r="U1720" s="3" t="s">
        <v>39</v>
      </c>
      <c r="V1720" s="3">
        <v>344.32</v>
      </c>
      <c r="W1720" s="3">
        <v>146.34</v>
      </c>
      <c r="X1720" s="3">
        <v>138.59</v>
      </c>
      <c r="Y1720" s="3">
        <v>59.39</v>
      </c>
    </row>
    <row r="1721" spans="1:25" ht="72.75" x14ac:dyDescent="0.25">
      <c r="A1721" s="3" t="s">
        <v>26</v>
      </c>
      <c r="B1721" s="3" t="s">
        <v>27</v>
      </c>
      <c r="C1721" s="3" t="s">
        <v>28</v>
      </c>
      <c r="D1721" s="3" t="s">
        <v>50</v>
      </c>
      <c r="E1721" s="3" t="s">
        <v>60</v>
      </c>
      <c r="F1721" s="3" t="s">
        <v>52</v>
      </c>
      <c r="G1721" s="3" t="s">
        <v>60</v>
      </c>
      <c r="H1721" s="3" t="s">
        <v>45</v>
      </c>
      <c r="I1721" s="3">
        <v>2025</v>
      </c>
      <c r="J1721" s="3" t="str">
        <f>CONCATENATE("54820126750")</f>
        <v>54820126750</v>
      </c>
      <c r="K1721" s="3" t="s">
        <v>33</v>
      </c>
      <c r="L1721" s="3"/>
      <c r="M1721" s="3" t="s">
        <v>131</v>
      </c>
      <c r="N1721" s="3" t="str">
        <f>CONCATENATE("FBBFRZ64H14G453V")</f>
        <v>FBBFRZ64H14G453V</v>
      </c>
      <c r="O1721" s="3" t="s">
        <v>1848</v>
      </c>
      <c r="P1721" s="3" t="s">
        <v>36</v>
      </c>
      <c r="Q1721" s="3"/>
      <c r="R1721" s="4">
        <v>45996</v>
      </c>
      <c r="S1721" s="3" t="s">
        <v>37</v>
      </c>
      <c r="T1721" s="3" t="s">
        <v>38</v>
      </c>
      <c r="U1721" s="3" t="s">
        <v>39</v>
      </c>
      <c r="V1721" s="3">
        <v>402.67</v>
      </c>
      <c r="W1721" s="3">
        <v>171.13</v>
      </c>
      <c r="X1721" s="3">
        <v>162.07</v>
      </c>
      <c r="Y1721" s="3">
        <v>69.47</v>
      </c>
    </row>
    <row r="1722" spans="1:25" ht="60.75" x14ac:dyDescent="0.25">
      <c r="A1722" s="3" t="s">
        <v>26</v>
      </c>
      <c r="B1722" s="3" t="s">
        <v>27</v>
      </c>
      <c r="C1722" s="3" t="s">
        <v>28</v>
      </c>
      <c r="D1722" s="3" t="s">
        <v>29</v>
      </c>
      <c r="E1722" s="3" t="s">
        <v>136</v>
      </c>
      <c r="F1722" s="3" t="s">
        <v>31</v>
      </c>
      <c r="G1722" s="3" t="s">
        <v>136</v>
      </c>
      <c r="H1722" s="3" t="s">
        <v>48</v>
      </c>
      <c r="I1722" s="3">
        <v>2025</v>
      </c>
      <c r="J1722" s="3" t="str">
        <f>CONCATENATE("54820201496")</f>
        <v>54820201496</v>
      </c>
      <c r="K1722" s="3" t="s">
        <v>33</v>
      </c>
      <c r="L1722" s="3"/>
      <c r="M1722" s="3" t="s">
        <v>131</v>
      </c>
      <c r="N1722" s="3" t="str">
        <f>CONCATENATE("SCPLRA68C62D451O")</f>
        <v>SCPLRA68C62D451O</v>
      </c>
      <c r="O1722" s="3" t="s">
        <v>1849</v>
      </c>
      <c r="P1722" s="3" t="s">
        <v>36</v>
      </c>
      <c r="Q1722" s="3"/>
      <c r="R1722" s="4">
        <v>45996</v>
      </c>
      <c r="S1722" s="3" t="s">
        <v>37</v>
      </c>
      <c r="T1722" s="3" t="s">
        <v>38</v>
      </c>
      <c r="U1722" s="3" t="s">
        <v>39</v>
      </c>
      <c r="V1722" s="3">
        <v>84.04</v>
      </c>
      <c r="W1722" s="3">
        <v>35.72</v>
      </c>
      <c r="X1722" s="3">
        <v>33.83</v>
      </c>
      <c r="Y1722" s="3">
        <v>14.49</v>
      </c>
    </row>
    <row r="1723" spans="1:25" ht="60.75" x14ac:dyDescent="0.25">
      <c r="A1723" s="3" t="s">
        <v>26</v>
      </c>
      <c r="B1723" s="3" t="s">
        <v>27</v>
      </c>
      <c r="C1723" s="3" t="s">
        <v>28</v>
      </c>
      <c r="D1723" s="3" t="s">
        <v>1850</v>
      </c>
      <c r="E1723" s="3" t="s">
        <v>1851</v>
      </c>
      <c r="F1723" s="3" t="s">
        <v>1852</v>
      </c>
      <c r="G1723" s="3" t="s">
        <v>1851</v>
      </c>
      <c r="H1723" s="3" t="s">
        <v>45</v>
      </c>
      <c r="I1723" s="3">
        <v>2025</v>
      </c>
      <c r="J1723" s="3" t="str">
        <f>CONCATENATE("54820217245")</f>
        <v>54820217245</v>
      </c>
      <c r="K1723" s="3" t="s">
        <v>33</v>
      </c>
      <c r="L1723" s="3"/>
      <c r="M1723" s="3" t="s">
        <v>131</v>
      </c>
      <c r="N1723" s="3" t="str">
        <f>CONCATENATE("BRRLGU64B20I460N")</f>
        <v>BRRLGU64B20I460N</v>
      </c>
      <c r="O1723" s="3" t="s">
        <v>1853</v>
      </c>
      <c r="P1723" s="3" t="s">
        <v>36</v>
      </c>
      <c r="Q1723" s="3"/>
      <c r="R1723" s="4">
        <v>45996</v>
      </c>
      <c r="S1723" s="3" t="s">
        <v>37</v>
      </c>
      <c r="T1723" s="3" t="s">
        <v>38</v>
      </c>
      <c r="U1723" s="3" t="s">
        <v>39</v>
      </c>
      <c r="V1723" s="3">
        <v>393.02</v>
      </c>
      <c r="W1723" s="3">
        <v>167.03</v>
      </c>
      <c r="X1723" s="3">
        <v>158.19</v>
      </c>
      <c r="Y1723" s="3">
        <v>67.8</v>
      </c>
    </row>
    <row r="1724" spans="1:25" ht="72.75" x14ac:dyDescent="0.25">
      <c r="A1724" s="3" t="s">
        <v>26</v>
      </c>
      <c r="B1724" s="3" t="s">
        <v>27</v>
      </c>
      <c r="C1724" s="3" t="s">
        <v>28</v>
      </c>
      <c r="D1724" s="3" t="s">
        <v>50</v>
      </c>
      <c r="E1724" s="3" t="s">
        <v>60</v>
      </c>
      <c r="F1724" s="3" t="s">
        <v>52</v>
      </c>
      <c r="G1724" s="3" t="s">
        <v>60</v>
      </c>
      <c r="H1724" s="3" t="s">
        <v>45</v>
      </c>
      <c r="I1724" s="3">
        <v>2025</v>
      </c>
      <c r="J1724" s="3" t="str">
        <f>CONCATENATE("54820237300")</f>
        <v>54820237300</v>
      </c>
      <c r="K1724" s="3" t="s">
        <v>33</v>
      </c>
      <c r="L1724" s="3"/>
      <c r="M1724" s="3" t="s">
        <v>131</v>
      </c>
      <c r="N1724" s="3" t="str">
        <f>CONCATENATE("BNDMSM67R22G682X")</f>
        <v>BNDMSM67R22G682X</v>
      </c>
      <c r="O1724" s="3" t="s">
        <v>1854</v>
      </c>
      <c r="P1724" s="3" t="s">
        <v>36</v>
      </c>
      <c r="Q1724" s="3"/>
      <c r="R1724" s="4">
        <v>45996</v>
      </c>
      <c r="S1724" s="3" t="s">
        <v>37</v>
      </c>
      <c r="T1724" s="3" t="s">
        <v>38</v>
      </c>
      <c r="U1724" s="3" t="s">
        <v>39</v>
      </c>
      <c r="V1724" s="3">
        <v>139.63999999999999</v>
      </c>
      <c r="W1724" s="3">
        <v>59.35</v>
      </c>
      <c r="X1724" s="3">
        <v>56.21</v>
      </c>
      <c r="Y1724" s="3">
        <v>24.08</v>
      </c>
    </row>
    <row r="1725" spans="1:25" ht="60.75" x14ac:dyDescent="0.25">
      <c r="A1725" s="3" t="s">
        <v>26</v>
      </c>
      <c r="B1725" s="3" t="s">
        <v>27</v>
      </c>
      <c r="C1725" s="3" t="s">
        <v>28</v>
      </c>
      <c r="D1725" s="3" t="s">
        <v>29</v>
      </c>
      <c r="E1725" s="3" t="s">
        <v>208</v>
      </c>
      <c r="F1725" s="3" t="s">
        <v>31</v>
      </c>
      <c r="G1725" s="3" t="s">
        <v>208</v>
      </c>
      <c r="H1725" s="3" t="s">
        <v>45</v>
      </c>
      <c r="I1725" s="3">
        <v>2025</v>
      </c>
      <c r="J1725" s="3" t="str">
        <f>CONCATENATE("54820252580")</f>
        <v>54820252580</v>
      </c>
      <c r="K1725" s="3" t="s">
        <v>33</v>
      </c>
      <c r="L1725" s="3"/>
      <c r="M1725" s="3" t="s">
        <v>131</v>
      </c>
      <c r="N1725" s="3" t="str">
        <f>CONCATENATE("SLVSLL71H56D488E")</f>
        <v>SLVSLL71H56D488E</v>
      </c>
      <c r="O1725" s="3" t="s">
        <v>1855</v>
      </c>
      <c r="P1725" s="3" t="s">
        <v>36</v>
      </c>
      <c r="Q1725" s="3"/>
      <c r="R1725" s="4">
        <v>45996</v>
      </c>
      <c r="S1725" s="3" t="s">
        <v>37</v>
      </c>
      <c r="T1725" s="3" t="s">
        <v>38</v>
      </c>
      <c r="U1725" s="3" t="s">
        <v>39</v>
      </c>
      <c r="V1725" s="3">
        <v>85.57</v>
      </c>
      <c r="W1725" s="3">
        <v>36.369999999999997</v>
      </c>
      <c r="X1725" s="3">
        <v>34.44</v>
      </c>
      <c r="Y1725" s="3">
        <v>14.76</v>
      </c>
    </row>
    <row r="1726" spans="1:25" ht="60.75" x14ac:dyDescent="0.25">
      <c r="A1726" s="3" t="s">
        <v>26</v>
      </c>
      <c r="B1726" s="3" t="s">
        <v>27</v>
      </c>
      <c r="C1726" s="3" t="s">
        <v>28</v>
      </c>
      <c r="D1726" s="3" t="s">
        <v>104</v>
      </c>
      <c r="E1726" s="3" t="s">
        <v>141</v>
      </c>
      <c r="F1726" s="3" t="s">
        <v>104</v>
      </c>
      <c r="G1726" s="3" t="s">
        <v>141</v>
      </c>
      <c r="H1726" s="3" t="s">
        <v>96</v>
      </c>
      <c r="I1726" s="3">
        <v>2025</v>
      </c>
      <c r="J1726" s="3" t="str">
        <f>CONCATENATE("54820277280")</f>
        <v>54820277280</v>
      </c>
      <c r="K1726" s="3" t="s">
        <v>33</v>
      </c>
      <c r="L1726" s="3"/>
      <c r="M1726" s="3" t="s">
        <v>131</v>
      </c>
      <c r="N1726" s="3" t="str">
        <f>CONCATENATE("LTRLGU68E16A252K")</f>
        <v>LTRLGU68E16A252K</v>
      </c>
      <c r="O1726" s="3" t="s">
        <v>1856</v>
      </c>
      <c r="P1726" s="3" t="s">
        <v>36</v>
      </c>
      <c r="Q1726" s="3"/>
      <c r="R1726" s="4">
        <v>45996</v>
      </c>
      <c r="S1726" s="3" t="s">
        <v>37</v>
      </c>
      <c r="T1726" s="3" t="s">
        <v>38</v>
      </c>
      <c r="U1726" s="3" t="s">
        <v>39</v>
      </c>
      <c r="V1726" s="3">
        <v>55.19</v>
      </c>
      <c r="W1726" s="3">
        <v>23.46</v>
      </c>
      <c r="X1726" s="3">
        <v>22.21</v>
      </c>
      <c r="Y1726" s="3">
        <v>9.52</v>
      </c>
    </row>
    <row r="1727" spans="1:25" ht="72.75" x14ac:dyDescent="0.25">
      <c r="A1727" s="3" t="s">
        <v>26</v>
      </c>
      <c r="B1727" s="3" t="s">
        <v>27</v>
      </c>
      <c r="C1727" s="3" t="s">
        <v>28</v>
      </c>
      <c r="D1727" s="3" t="s">
        <v>104</v>
      </c>
      <c r="E1727" s="3" t="s">
        <v>141</v>
      </c>
      <c r="F1727" s="3" t="s">
        <v>104</v>
      </c>
      <c r="G1727" s="3" t="s">
        <v>141</v>
      </c>
      <c r="H1727" s="3" t="s">
        <v>96</v>
      </c>
      <c r="I1727" s="3">
        <v>2025</v>
      </c>
      <c r="J1727" s="3" t="str">
        <f>CONCATENATE("54820282116")</f>
        <v>54820282116</v>
      </c>
      <c r="K1727" s="3" t="s">
        <v>33</v>
      </c>
      <c r="L1727" s="3"/>
      <c r="M1727" s="3" t="s">
        <v>131</v>
      </c>
      <c r="N1727" s="3" t="str">
        <f>CONCATENATE("TRBGLN69A19A252M")</f>
        <v>TRBGLN69A19A252M</v>
      </c>
      <c r="O1727" s="3" t="s">
        <v>1857</v>
      </c>
      <c r="P1727" s="3" t="s">
        <v>36</v>
      </c>
      <c r="Q1727" s="3"/>
      <c r="R1727" s="4">
        <v>45996</v>
      </c>
      <c r="S1727" s="3" t="s">
        <v>37</v>
      </c>
      <c r="T1727" s="3" t="s">
        <v>38</v>
      </c>
      <c r="U1727" s="3" t="s">
        <v>39</v>
      </c>
      <c r="V1727" s="3">
        <v>214.18</v>
      </c>
      <c r="W1727" s="3">
        <v>91.03</v>
      </c>
      <c r="X1727" s="3">
        <v>86.21</v>
      </c>
      <c r="Y1727" s="3">
        <v>36.94</v>
      </c>
    </row>
    <row r="1728" spans="1:25" ht="60.75" x14ac:dyDescent="0.25">
      <c r="A1728" s="3" t="s">
        <v>26</v>
      </c>
      <c r="B1728" s="3" t="s">
        <v>27</v>
      </c>
      <c r="C1728" s="3" t="s">
        <v>28</v>
      </c>
      <c r="D1728" s="3" t="s">
        <v>104</v>
      </c>
      <c r="E1728" s="3" t="s">
        <v>141</v>
      </c>
      <c r="F1728" s="3" t="s">
        <v>104</v>
      </c>
      <c r="G1728" s="3" t="s">
        <v>141</v>
      </c>
      <c r="H1728" s="3" t="s">
        <v>96</v>
      </c>
      <c r="I1728" s="3">
        <v>2025</v>
      </c>
      <c r="J1728" s="3" t="str">
        <f>CONCATENATE("54820280938")</f>
        <v>54820280938</v>
      </c>
      <c r="K1728" s="3" t="s">
        <v>33</v>
      </c>
      <c r="L1728" s="3"/>
      <c r="M1728" s="3" t="s">
        <v>131</v>
      </c>
      <c r="N1728" s="3" t="str">
        <f>CONCATENATE("PCFMGL63S61F509B")</f>
        <v>PCFMGL63S61F509B</v>
      </c>
      <c r="O1728" s="3" t="s">
        <v>1858</v>
      </c>
      <c r="P1728" s="3" t="s">
        <v>36</v>
      </c>
      <c r="Q1728" s="3"/>
      <c r="R1728" s="4">
        <v>45996</v>
      </c>
      <c r="S1728" s="3" t="s">
        <v>37</v>
      </c>
      <c r="T1728" s="3" t="s">
        <v>38</v>
      </c>
      <c r="U1728" s="3" t="s">
        <v>39</v>
      </c>
      <c r="V1728" s="3">
        <v>328.96</v>
      </c>
      <c r="W1728" s="3">
        <v>139.81</v>
      </c>
      <c r="X1728" s="3">
        <v>132.41</v>
      </c>
      <c r="Y1728" s="3">
        <v>56.74</v>
      </c>
    </row>
    <row r="1729" spans="1:25" ht="60.75" x14ac:dyDescent="0.25">
      <c r="A1729" s="3" t="s">
        <v>26</v>
      </c>
      <c r="B1729" s="3" t="s">
        <v>27</v>
      </c>
      <c r="C1729" s="3" t="s">
        <v>28</v>
      </c>
      <c r="D1729" s="3" t="s">
        <v>40</v>
      </c>
      <c r="E1729" s="3" t="s">
        <v>54</v>
      </c>
      <c r="F1729" s="3" t="s">
        <v>42</v>
      </c>
      <c r="G1729" s="3" t="s">
        <v>54</v>
      </c>
      <c r="H1729" s="3" t="s">
        <v>45</v>
      </c>
      <c r="I1729" s="3">
        <v>2025</v>
      </c>
      <c r="J1729" s="3" t="str">
        <f>CONCATENATE("54820197967")</f>
        <v>54820197967</v>
      </c>
      <c r="K1729" s="3" t="s">
        <v>33</v>
      </c>
      <c r="L1729" s="3"/>
      <c r="M1729" s="3" t="s">
        <v>131</v>
      </c>
      <c r="N1729" s="3" t="str">
        <f>CONCATENATE("MSCMRC73P24D749M")</f>
        <v>MSCMRC73P24D749M</v>
      </c>
      <c r="O1729" s="3" t="s">
        <v>1859</v>
      </c>
      <c r="P1729" s="3" t="s">
        <v>36</v>
      </c>
      <c r="Q1729" s="3"/>
      <c r="R1729" s="4">
        <v>45996</v>
      </c>
      <c r="S1729" s="3" t="s">
        <v>37</v>
      </c>
      <c r="T1729" s="3" t="s">
        <v>38</v>
      </c>
      <c r="U1729" s="3" t="s">
        <v>39</v>
      </c>
      <c r="V1729" s="3">
        <v>887.51</v>
      </c>
      <c r="W1729" s="3">
        <v>377.19</v>
      </c>
      <c r="X1729" s="3">
        <v>357.22</v>
      </c>
      <c r="Y1729" s="3">
        <v>153.1</v>
      </c>
    </row>
    <row r="1730" spans="1:25" ht="60.75" x14ac:dyDescent="0.25">
      <c r="A1730" s="3" t="s">
        <v>26</v>
      </c>
      <c r="B1730" s="3" t="s">
        <v>27</v>
      </c>
      <c r="C1730" s="3" t="s">
        <v>28</v>
      </c>
      <c r="D1730" s="3" t="s">
        <v>29</v>
      </c>
      <c r="E1730" s="3" t="s">
        <v>56</v>
      </c>
      <c r="F1730" s="3" t="s">
        <v>31</v>
      </c>
      <c r="G1730" s="3" t="s">
        <v>56</v>
      </c>
      <c r="H1730" s="3" t="s">
        <v>32</v>
      </c>
      <c r="I1730" s="3">
        <v>2025</v>
      </c>
      <c r="J1730" s="3" t="str">
        <f>CONCATENATE("54820156823")</f>
        <v>54820156823</v>
      </c>
      <c r="K1730" s="3" t="s">
        <v>33</v>
      </c>
      <c r="L1730" s="3"/>
      <c r="M1730" s="3" t="s">
        <v>131</v>
      </c>
      <c r="N1730" s="3" t="str">
        <f>CONCATENATE("TMSGNN66B01I436D")</f>
        <v>TMSGNN66B01I436D</v>
      </c>
      <c r="O1730" s="3" t="s">
        <v>1860</v>
      </c>
      <c r="P1730" s="3" t="s">
        <v>36</v>
      </c>
      <c r="Q1730" s="3"/>
      <c r="R1730" s="4">
        <v>45996</v>
      </c>
      <c r="S1730" s="3" t="s">
        <v>37</v>
      </c>
      <c r="T1730" s="3" t="s">
        <v>38</v>
      </c>
      <c r="U1730" s="3" t="s">
        <v>39</v>
      </c>
      <c r="V1730" s="3">
        <v>363.25</v>
      </c>
      <c r="W1730" s="3">
        <v>154.38</v>
      </c>
      <c r="X1730" s="3">
        <v>146.21</v>
      </c>
      <c r="Y1730" s="3">
        <v>62.66</v>
      </c>
    </row>
    <row r="1731" spans="1:25" ht="36.75" x14ac:dyDescent="0.25">
      <c r="A1731" s="3" t="s">
        <v>26</v>
      </c>
      <c r="B1731" s="3" t="s">
        <v>27</v>
      </c>
      <c r="C1731" s="3" t="s">
        <v>28</v>
      </c>
      <c r="D1731" s="3" t="s">
        <v>29</v>
      </c>
      <c r="E1731" s="3" t="s">
        <v>56</v>
      </c>
      <c r="F1731" s="3" t="s">
        <v>31</v>
      </c>
      <c r="G1731" s="3" t="s">
        <v>56</v>
      </c>
      <c r="H1731" s="3" t="s">
        <v>32</v>
      </c>
      <c r="I1731" s="3">
        <v>2025</v>
      </c>
      <c r="J1731" s="3" t="str">
        <f>CONCATENATE("54820290895")</f>
        <v>54820290895</v>
      </c>
      <c r="K1731" s="3" t="s">
        <v>33</v>
      </c>
      <c r="L1731" s="3"/>
      <c r="M1731" s="3" t="s">
        <v>131</v>
      </c>
      <c r="N1731" s="3" t="str">
        <f>CONCATENATE("01990480434")</f>
        <v>01990480434</v>
      </c>
      <c r="O1731" s="3" t="s">
        <v>1861</v>
      </c>
      <c r="P1731" s="3" t="s">
        <v>36</v>
      </c>
      <c r="Q1731" s="3"/>
      <c r="R1731" s="4">
        <v>45996</v>
      </c>
      <c r="S1731" s="3" t="s">
        <v>37</v>
      </c>
      <c r="T1731" s="3" t="s">
        <v>38</v>
      </c>
      <c r="U1731" s="3" t="s">
        <v>39</v>
      </c>
      <c r="V1731" s="3">
        <v>455.88</v>
      </c>
      <c r="W1731" s="3">
        <v>193.75</v>
      </c>
      <c r="X1731" s="3">
        <v>183.49</v>
      </c>
      <c r="Y1731" s="3">
        <v>78.64</v>
      </c>
    </row>
    <row r="1732" spans="1:25" ht="60.75" x14ac:dyDescent="0.25">
      <c r="A1732" s="3" t="s">
        <v>26</v>
      </c>
      <c r="B1732" s="3" t="s">
        <v>27</v>
      </c>
      <c r="C1732" s="3" t="s">
        <v>28</v>
      </c>
      <c r="D1732" s="3" t="s">
        <v>50</v>
      </c>
      <c r="E1732" s="3" t="s">
        <v>60</v>
      </c>
      <c r="F1732" s="3" t="s">
        <v>52</v>
      </c>
      <c r="G1732" s="3" t="s">
        <v>60</v>
      </c>
      <c r="H1732" s="3" t="s">
        <v>45</v>
      </c>
      <c r="I1732" s="3">
        <v>2025</v>
      </c>
      <c r="J1732" s="3" t="str">
        <f>CONCATENATE("54820273792")</f>
        <v>54820273792</v>
      </c>
      <c r="K1732" s="3" t="s">
        <v>33</v>
      </c>
      <c r="L1732" s="3"/>
      <c r="M1732" s="3" t="s">
        <v>131</v>
      </c>
      <c r="N1732" s="3" t="str">
        <f>CONCATENATE("PRCLNS83L06A783R")</f>
        <v>PRCLNS83L06A783R</v>
      </c>
      <c r="O1732" s="3" t="s">
        <v>1862</v>
      </c>
      <c r="P1732" s="3" t="s">
        <v>36</v>
      </c>
      <c r="Q1732" s="3"/>
      <c r="R1732" s="4">
        <v>45996</v>
      </c>
      <c r="S1732" s="3" t="s">
        <v>37</v>
      </c>
      <c r="T1732" s="3" t="s">
        <v>38</v>
      </c>
      <c r="U1732" s="3" t="s">
        <v>39</v>
      </c>
      <c r="V1732" s="5">
        <v>1275.4000000000001</v>
      </c>
      <c r="W1732" s="3">
        <v>542.04999999999995</v>
      </c>
      <c r="X1732" s="3">
        <v>513.35</v>
      </c>
      <c r="Y1732" s="3">
        <v>220</v>
      </c>
    </row>
    <row r="1733" spans="1:25" ht="60.75" x14ac:dyDescent="0.25">
      <c r="A1733" s="3" t="s">
        <v>26</v>
      </c>
      <c r="B1733" s="3" t="s">
        <v>27</v>
      </c>
      <c r="C1733" s="3" t="s">
        <v>28</v>
      </c>
      <c r="D1733" s="3" t="s">
        <v>29</v>
      </c>
      <c r="E1733" s="3" t="s">
        <v>47</v>
      </c>
      <c r="F1733" s="3" t="s">
        <v>31</v>
      </c>
      <c r="G1733" s="3" t="s">
        <v>47</v>
      </c>
      <c r="H1733" s="3" t="s">
        <v>48</v>
      </c>
      <c r="I1733" s="3">
        <v>2025</v>
      </c>
      <c r="J1733" s="3" t="str">
        <f>CONCATENATE("54820173141")</f>
        <v>54820173141</v>
      </c>
      <c r="K1733" s="3" t="s">
        <v>33</v>
      </c>
      <c r="L1733" s="3"/>
      <c r="M1733" s="3" t="s">
        <v>131</v>
      </c>
      <c r="N1733" s="3" t="str">
        <f>CONCATENATE("TZZGZL50B62L573I")</f>
        <v>TZZGZL50B62L573I</v>
      </c>
      <c r="O1733" s="3" t="s">
        <v>1863</v>
      </c>
      <c r="P1733" s="3" t="s">
        <v>36</v>
      </c>
      <c r="Q1733" s="3"/>
      <c r="R1733" s="4">
        <v>45996</v>
      </c>
      <c r="S1733" s="3" t="s">
        <v>37</v>
      </c>
      <c r="T1733" s="3" t="s">
        <v>38</v>
      </c>
      <c r="U1733" s="3" t="s">
        <v>39</v>
      </c>
      <c r="V1733" s="3">
        <v>54.1</v>
      </c>
      <c r="W1733" s="3">
        <v>22.99</v>
      </c>
      <c r="X1733" s="3">
        <v>21.78</v>
      </c>
      <c r="Y1733" s="3">
        <v>9.33</v>
      </c>
    </row>
    <row r="1734" spans="1:25" ht="60.75" x14ac:dyDescent="0.25">
      <c r="A1734" s="3" t="s">
        <v>26</v>
      </c>
      <c r="B1734" s="3" t="s">
        <v>27</v>
      </c>
      <c r="C1734" s="3" t="s">
        <v>28</v>
      </c>
      <c r="D1734" s="3" t="s">
        <v>104</v>
      </c>
      <c r="E1734" s="3" t="s">
        <v>141</v>
      </c>
      <c r="F1734" s="3" t="s">
        <v>104</v>
      </c>
      <c r="G1734" s="3" t="s">
        <v>141</v>
      </c>
      <c r="H1734" s="3" t="s">
        <v>96</v>
      </c>
      <c r="I1734" s="3">
        <v>2025</v>
      </c>
      <c r="J1734" s="3" t="str">
        <f>CONCATENATE("54820277611")</f>
        <v>54820277611</v>
      </c>
      <c r="K1734" s="3" t="s">
        <v>33</v>
      </c>
      <c r="L1734" s="3"/>
      <c r="M1734" s="3" t="s">
        <v>131</v>
      </c>
      <c r="N1734" s="3" t="str">
        <f>CONCATENATE("FRTFLV56T41F509U")</f>
        <v>FRTFLV56T41F509U</v>
      </c>
      <c r="O1734" s="3" t="s">
        <v>1864</v>
      </c>
      <c r="P1734" s="3" t="s">
        <v>36</v>
      </c>
      <c r="Q1734" s="3"/>
      <c r="R1734" s="4">
        <v>45996</v>
      </c>
      <c r="S1734" s="3" t="s">
        <v>37</v>
      </c>
      <c r="T1734" s="3" t="s">
        <v>38</v>
      </c>
      <c r="U1734" s="3" t="s">
        <v>39</v>
      </c>
      <c r="V1734" s="3">
        <v>115.56</v>
      </c>
      <c r="W1734" s="3">
        <v>49.11</v>
      </c>
      <c r="X1734" s="3">
        <v>46.51</v>
      </c>
      <c r="Y1734" s="3">
        <v>19.940000000000001</v>
      </c>
    </row>
    <row r="1735" spans="1:25" ht="72.75" x14ac:dyDescent="0.25">
      <c r="A1735" s="3" t="s">
        <v>26</v>
      </c>
      <c r="B1735" s="3" t="s">
        <v>27</v>
      </c>
      <c r="C1735" s="3" t="s">
        <v>28</v>
      </c>
      <c r="D1735" s="3" t="s">
        <v>40</v>
      </c>
      <c r="E1735" s="3" t="s">
        <v>44</v>
      </c>
      <c r="F1735" s="3" t="s">
        <v>42</v>
      </c>
      <c r="G1735" s="3" t="s">
        <v>44</v>
      </c>
      <c r="H1735" s="3" t="s">
        <v>32</v>
      </c>
      <c r="I1735" s="3">
        <v>2025</v>
      </c>
      <c r="J1735" s="3" t="str">
        <f>CONCATENATE("54820246327")</f>
        <v>54820246327</v>
      </c>
      <c r="K1735" s="3" t="s">
        <v>33</v>
      </c>
      <c r="L1735" s="3"/>
      <c r="M1735" s="3" t="s">
        <v>131</v>
      </c>
      <c r="N1735" s="3" t="str">
        <f>CONCATENATE("MRCSMN82D03B474U")</f>
        <v>MRCSMN82D03B474U</v>
      </c>
      <c r="O1735" s="3" t="s">
        <v>1865</v>
      </c>
      <c r="P1735" s="3" t="s">
        <v>36</v>
      </c>
      <c r="Q1735" s="3"/>
      <c r="R1735" s="4">
        <v>45996</v>
      </c>
      <c r="S1735" s="3" t="s">
        <v>37</v>
      </c>
      <c r="T1735" s="3" t="s">
        <v>38</v>
      </c>
      <c r="U1735" s="3" t="s">
        <v>39</v>
      </c>
      <c r="V1735" s="5">
        <v>1054.74</v>
      </c>
      <c r="W1735" s="3">
        <v>448.26</v>
      </c>
      <c r="X1735" s="3">
        <v>424.53</v>
      </c>
      <c r="Y1735" s="3">
        <v>181.95</v>
      </c>
    </row>
    <row r="1736" spans="1:25" ht="60.75" x14ac:dyDescent="0.25">
      <c r="A1736" s="3" t="s">
        <v>26</v>
      </c>
      <c r="B1736" s="3" t="s">
        <v>27</v>
      </c>
      <c r="C1736" s="3" t="s">
        <v>28</v>
      </c>
      <c r="D1736" s="3" t="s">
        <v>50</v>
      </c>
      <c r="E1736" s="3" t="s">
        <v>252</v>
      </c>
      <c r="F1736" s="3" t="s">
        <v>52</v>
      </c>
      <c r="G1736" s="3" t="s">
        <v>252</v>
      </c>
      <c r="H1736" s="3" t="s">
        <v>45</v>
      </c>
      <c r="I1736" s="3">
        <v>2025</v>
      </c>
      <c r="J1736" s="3" t="str">
        <f>CONCATENATE("54820190574")</f>
        <v>54820190574</v>
      </c>
      <c r="K1736" s="3" t="s">
        <v>33</v>
      </c>
      <c r="L1736" s="3"/>
      <c r="M1736" s="3" t="s">
        <v>131</v>
      </c>
      <c r="N1736" s="3" t="str">
        <f>CONCATENATE("GROSNZ65P02D749X")</f>
        <v>GROSNZ65P02D749X</v>
      </c>
      <c r="O1736" s="3" t="s">
        <v>1866</v>
      </c>
      <c r="P1736" s="3" t="s">
        <v>36</v>
      </c>
      <c r="Q1736" s="3"/>
      <c r="R1736" s="4">
        <v>45996</v>
      </c>
      <c r="S1736" s="3" t="s">
        <v>37</v>
      </c>
      <c r="T1736" s="3" t="s">
        <v>38</v>
      </c>
      <c r="U1736" s="3" t="s">
        <v>39</v>
      </c>
      <c r="V1736" s="3">
        <v>85.76</v>
      </c>
      <c r="W1736" s="3">
        <v>36.450000000000003</v>
      </c>
      <c r="X1736" s="3">
        <v>34.520000000000003</v>
      </c>
      <c r="Y1736" s="3">
        <v>14.79</v>
      </c>
    </row>
    <row r="1737" spans="1:25" ht="36.75" x14ac:dyDescent="0.25">
      <c r="A1737" s="3" t="s">
        <v>26</v>
      </c>
      <c r="B1737" s="3" t="s">
        <v>27</v>
      </c>
      <c r="C1737" s="3" t="s">
        <v>28</v>
      </c>
      <c r="D1737" s="3" t="s">
        <v>29</v>
      </c>
      <c r="E1737" s="3" t="s">
        <v>208</v>
      </c>
      <c r="F1737" s="3" t="s">
        <v>31</v>
      </c>
      <c r="G1737" s="3" t="s">
        <v>208</v>
      </c>
      <c r="H1737" s="3" t="s">
        <v>45</v>
      </c>
      <c r="I1737" s="3">
        <v>2025</v>
      </c>
      <c r="J1737" s="3" t="str">
        <f>CONCATENATE("54820241161")</f>
        <v>54820241161</v>
      </c>
      <c r="K1737" s="3" t="s">
        <v>33</v>
      </c>
      <c r="L1737" s="3"/>
      <c r="M1737" s="3" t="s">
        <v>131</v>
      </c>
      <c r="N1737" s="3" t="str">
        <f>CONCATENATE("02605800412")</f>
        <v>02605800412</v>
      </c>
      <c r="O1737" s="3" t="s">
        <v>1867</v>
      </c>
      <c r="P1737" s="3" t="s">
        <v>36</v>
      </c>
      <c r="Q1737" s="3"/>
      <c r="R1737" s="4">
        <v>45996</v>
      </c>
      <c r="S1737" s="3" t="s">
        <v>37</v>
      </c>
      <c r="T1737" s="3" t="s">
        <v>38</v>
      </c>
      <c r="U1737" s="3" t="s">
        <v>39</v>
      </c>
      <c r="V1737" s="3">
        <v>954.26</v>
      </c>
      <c r="W1737" s="3">
        <v>405.56</v>
      </c>
      <c r="X1737" s="3">
        <v>384.09</v>
      </c>
      <c r="Y1737" s="3">
        <v>164.61</v>
      </c>
    </row>
    <row r="1738" spans="1:25" ht="60.75" x14ac:dyDescent="0.25">
      <c r="A1738" s="3" t="s">
        <v>26</v>
      </c>
      <c r="B1738" s="3" t="s">
        <v>27</v>
      </c>
      <c r="C1738" s="3" t="s">
        <v>28</v>
      </c>
      <c r="D1738" s="3" t="s">
        <v>40</v>
      </c>
      <c r="E1738" s="3" t="s">
        <v>44</v>
      </c>
      <c r="F1738" s="3" t="s">
        <v>42</v>
      </c>
      <c r="G1738" s="3" t="s">
        <v>44</v>
      </c>
      <c r="H1738" s="3" t="s">
        <v>32</v>
      </c>
      <c r="I1738" s="3">
        <v>2025</v>
      </c>
      <c r="J1738" s="3" t="str">
        <f>CONCATENATE("54820018023")</f>
        <v>54820018023</v>
      </c>
      <c r="K1738" s="3" t="s">
        <v>33</v>
      </c>
      <c r="L1738" s="3"/>
      <c r="M1738" s="3" t="s">
        <v>131</v>
      </c>
      <c r="N1738" s="3" t="str">
        <f>CONCATENATE("RGNLSN84M61A271Z")</f>
        <v>RGNLSN84M61A271Z</v>
      </c>
      <c r="O1738" s="3" t="s">
        <v>1868</v>
      </c>
      <c r="P1738" s="3" t="s">
        <v>36</v>
      </c>
      <c r="Q1738" s="3"/>
      <c r="R1738" s="4">
        <v>45996</v>
      </c>
      <c r="S1738" s="3" t="s">
        <v>37</v>
      </c>
      <c r="T1738" s="3" t="s">
        <v>38</v>
      </c>
      <c r="U1738" s="3" t="s">
        <v>39</v>
      </c>
      <c r="V1738" s="3">
        <v>265.8</v>
      </c>
      <c r="W1738" s="3">
        <v>112.97</v>
      </c>
      <c r="X1738" s="3">
        <v>106.98</v>
      </c>
      <c r="Y1738" s="3">
        <v>45.85</v>
      </c>
    </row>
    <row r="1739" spans="1:25" ht="36.75" x14ac:dyDescent="0.25">
      <c r="A1739" s="3" t="s">
        <v>26</v>
      </c>
      <c r="B1739" s="3" t="s">
        <v>27</v>
      </c>
      <c r="C1739" s="3" t="s">
        <v>28</v>
      </c>
      <c r="D1739" s="3" t="s">
        <v>50</v>
      </c>
      <c r="E1739" s="3" t="s">
        <v>107</v>
      </c>
      <c r="F1739" s="3" t="s">
        <v>52</v>
      </c>
      <c r="G1739" s="3" t="s">
        <v>107</v>
      </c>
      <c r="H1739" s="3" t="s">
        <v>48</v>
      </c>
      <c r="I1739" s="3">
        <v>2025</v>
      </c>
      <c r="J1739" s="3" t="str">
        <f>CONCATENATE("54820087226")</f>
        <v>54820087226</v>
      </c>
      <c r="K1739" s="3" t="s">
        <v>33</v>
      </c>
      <c r="L1739" s="3"/>
      <c r="M1739" s="3" t="s">
        <v>131</v>
      </c>
      <c r="N1739" s="3" t="str">
        <f>CONCATENATE("02842610426")</f>
        <v>02842610426</v>
      </c>
      <c r="O1739" s="3" t="s">
        <v>1869</v>
      </c>
      <c r="P1739" s="3" t="s">
        <v>36</v>
      </c>
      <c r="Q1739" s="3"/>
      <c r="R1739" s="4">
        <v>45996</v>
      </c>
      <c r="S1739" s="3" t="s">
        <v>37</v>
      </c>
      <c r="T1739" s="3" t="s">
        <v>38</v>
      </c>
      <c r="U1739" s="3" t="s">
        <v>39</v>
      </c>
      <c r="V1739" s="3">
        <v>69.63</v>
      </c>
      <c r="W1739" s="3">
        <v>29.59</v>
      </c>
      <c r="X1739" s="3">
        <v>28.03</v>
      </c>
      <c r="Y1739" s="3">
        <v>12.01</v>
      </c>
    </row>
    <row r="1740" spans="1:25" ht="60.75" x14ac:dyDescent="0.25">
      <c r="A1740" s="3" t="s">
        <v>26</v>
      </c>
      <c r="B1740" s="3" t="s">
        <v>27</v>
      </c>
      <c r="C1740" s="3" t="s">
        <v>28</v>
      </c>
      <c r="D1740" s="3" t="s">
        <v>50</v>
      </c>
      <c r="E1740" s="3" t="s">
        <v>149</v>
      </c>
      <c r="F1740" s="3" t="s">
        <v>52</v>
      </c>
      <c r="G1740" s="3" t="s">
        <v>149</v>
      </c>
      <c r="H1740" s="3" t="s">
        <v>96</v>
      </c>
      <c r="I1740" s="3">
        <v>2025</v>
      </c>
      <c r="J1740" s="3" t="str">
        <f>CONCATENATE("54820067970")</f>
        <v>54820067970</v>
      </c>
      <c r="K1740" s="3" t="s">
        <v>33</v>
      </c>
      <c r="L1740" s="3"/>
      <c r="M1740" s="3" t="s">
        <v>131</v>
      </c>
      <c r="N1740" s="3" t="str">
        <f>CONCATENATE("FRVLGU72L26A462Q")</f>
        <v>FRVLGU72L26A462Q</v>
      </c>
      <c r="O1740" s="3" t="s">
        <v>1870</v>
      </c>
      <c r="P1740" s="3" t="s">
        <v>36</v>
      </c>
      <c r="Q1740" s="3"/>
      <c r="R1740" s="4">
        <v>45996</v>
      </c>
      <c r="S1740" s="3" t="s">
        <v>37</v>
      </c>
      <c r="T1740" s="3" t="s">
        <v>38</v>
      </c>
      <c r="U1740" s="3" t="s">
        <v>39</v>
      </c>
      <c r="V1740" s="3">
        <v>85.21</v>
      </c>
      <c r="W1740" s="3">
        <v>36.21</v>
      </c>
      <c r="X1740" s="3">
        <v>34.299999999999997</v>
      </c>
      <c r="Y1740" s="3">
        <v>14.7</v>
      </c>
    </row>
    <row r="1741" spans="1:25" ht="36.75" x14ac:dyDescent="0.25">
      <c r="A1741" s="3" t="s">
        <v>26</v>
      </c>
      <c r="B1741" s="3" t="s">
        <v>27</v>
      </c>
      <c r="C1741" s="3" t="s">
        <v>28</v>
      </c>
      <c r="D1741" s="3" t="s">
        <v>29</v>
      </c>
      <c r="E1741" s="3" t="s">
        <v>56</v>
      </c>
      <c r="F1741" s="3" t="s">
        <v>31</v>
      </c>
      <c r="G1741" s="3" t="s">
        <v>56</v>
      </c>
      <c r="H1741" s="3" t="s">
        <v>32</v>
      </c>
      <c r="I1741" s="3">
        <v>2025</v>
      </c>
      <c r="J1741" s="3" t="str">
        <f>CONCATENATE("54820165212")</f>
        <v>54820165212</v>
      </c>
      <c r="K1741" s="3" t="s">
        <v>33</v>
      </c>
      <c r="L1741" s="3"/>
      <c r="M1741" s="3" t="s">
        <v>131</v>
      </c>
      <c r="N1741" s="3" t="str">
        <f>CONCATENATE("00735960437")</f>
        <v>00735960437</v>
      </c>
      <c r="O1741" s="3" t="s">
        <v>1871</v>
      </c>
      <c r="P1741" s="3" t="s">
        <v>36</v>
      </c>
      <c r="Q1741" s="3"/>
      <c r="R1741" s="4">
        <v>45996</v>
      </c>
      <c r="S1741" s="3" t="s">
        <v>37</v>
      </c>
      <c r="T1741" s="3" t="s">
        <v>38</v>
      </c>
      <c r="U1741" s="3" t="s">
        <v>39</v>
      </c>
      <c r="V1741" s="3">
        <v>828.93</v>
      </c>
      <c r="W1741" s="3">
        <v>352.3</v>
      </c>
      <c r="X1741" s="3">
        <v>333.64</v>
      </c>
      <c r="Y1741" s="3">
        <v>142.99</v>
      </c>
    </row>
    <row r="1742" spans="1:25" ht="72.75" x14ac:dyDescent="0.25">
      <c r="A1742" s="3" t="s">
        <v>26</v>
      </c>
      <c r="B1742" s="3" t="s">
        <v>27</v>
      </c>
      <c r="C1742" s="3" t="s">
        <v>28</v>
      </c>
      <c r="D1742" s="3" t="s">
        <v>50</v>
      </c>
      <c r="E1742" s="3" t="s">
        <v>149</v>
      </c>
      <c r="F1742" s="3" t="s">
        <v>52</v>
      </c>
      <c r="G1742" s="3" t="s">
        <v>149</v>
      </c>
      <c r="H1742" s="3" t="s">
        <v>96</v>
      </c>
      <c r="I1742" s="3">
        <v>2025</v>
      </c>
      <c r="J1742" s="3" t="str">
        <f>CONCATENATE("54820031349")</f>
        <v>54820031349</v>
      </c>
      <c r="K1742" s="3" t="s">
        <v>33</v>
      </c>
      <c r="L1742" s="3"/>
      <c r="M1742" s="3" t="s">
        <v>131</v>
      </c>
      <c r="N1742" s="3" t="str">
        <f>CONCATENATE("BRNSFN69M03A462U")</f>
        <v>BRNSFN69M03A462U</v>
      </c>
      <c r="O1742" s="3" t="s">
        <v>1872</v>
      </c>
      <c r="P1742" s="3" t="s">
        <v>36</v>
      </c>
      <c r="Q1742" s="3"/>
      <c r="R1742" s="4">
        <v>45996</v>
      </c>
      <c r="S1742" s="3" t="s">
        <v>37</v>
      </c>
      <c r="T1742" s="3" t="s">
        <v>38</v>
      </c>
      <c r="U1742" s="3" t="s">
        <v>39</v>
      </c>
      <c r="V1742" s="3">
        <v>467.57</v>
      </c>
      <c r="W1742" s="3">
        <v>198.72</v>
      </c>
      <c r="X1742" s="3">
        <v>188.2</v>
      </c>
      <c r="Y1742" s="3">
        <v>80.650000000000006</v>
      </c>
    </row>
    <row r="1743" spans="1:25" ht="60.75" x14ac:dyDescent="0.25">
      <c r="A1743" s="3" t="s">
        <v>26</v>
      </c>
      <c r="B1743" s="3" t="s">
        <v>27</v>
      </c>
      <c r="C1743" s="3" t="s">
        <v>28</v>
      </c>
      <c r="D1743" s="3" t="s">
        <v>91</v>
      </c>
      <c r="E1743" s="3" t="s">
        <v>92</v>
      </c>
      <c r="F1743" s="3" t="s">
        <v>93</v>
      </c>
      <c r="G1743" s="3" t="s">
        <v>92</v>
      </c>
      <c r="H1743" s="3" t="s">
        <v>32</v>
      </c>
      <c r="I1743" s="3">
        <v>2025</v>
      </c>
      <c r="J1743" s="3" t="str">
        <f>CONCATENATE("54820008750")</f>
        <v>54820008750</v>
      </c>
      <c r="K1743" s="3" t="s">
        <v>33</v>
      </c>
      <c r="L1743" s="3"/>
      <c r="M1743" s="3" t="s">
        <v>131</v>
      </c>
      <c r="N1743" s="3" t="str">
        <f>CONCATENATE("BLNLNE77R44E388T")</f>
        <v>BLNLNE77R44E388T</v>
      </c>
      <c r="O1743" s="3" t="s">
        <v>1873</v>
      </c>
      <c r="P1743" s="3" t="s">
        <v>36</v>
      </c>
      <c r="Q1743" s="3"/>
      <c r="R1743" s="4">
        <v>45996</v>
      </c>
      <c r="S1743" s="3" t="s">
        <v>37</v>
      </c>
      <c r="T1743" s="3" t="s">
        <v>38</v>
      </c>
      <c r="U1743" s="3" t="s">
        <v>39</v>
      </c>
      <c r="V1743" s="3">
        <v>721.27</v>
      </c>
      <c r="W1743" s="3">
        <v>306.54000000000002</v>
      </c>
      <c r="X1743" s="3">
        <v>290.31</v>
      </c>
      <c r="Y1743" s="3">
        <v>124.42</v>
      </c>
    </row>
    <row r="1744" spans="1:25" ht="60.75" x14ac:dyDescent="0.25">
      <c r="A1744" s="3" t="s">
        <v>26</v>
      </c>
      <c r="B1744" s="3" t="s">
        <v>27</v>
      </c>
      <c r="C1744" s="3" t="s">
        <v>28</v>
      </c>
      <c r="D1744" s="3" t="s">
        <v>40</v>
      </c>
      <c r="E1744" s="3" t="s">
        <v>287</v>
      </c>
      <c r="F1744" s="3" t="s">
        <v>42</v>
      </c>
      <c r="G1744" s="3" t="s">
        <v>287</v>
      </c>
      <c r="H1744" s="3" t="s">
        <v>32</v>
      </c>
      <c r="I1744" s="3">
        <v>2025</v>
      </c>
      <c r="J1744" s="3" t="str">
        <f>CONCATENATE("54820023585")</f>
        <v>54820023585</v>
      </c>
      <c r="K1744" s="3" t="s">
        <v>33</v>
      </c>
      <c r="L1744" s="3"/>
      <c r="M1744" s="3" t="s">
        <v>131</v>
      </c>
      <c r="N1744" s="3" t="str">
        <f>CONCATENATE("SNTRSE84M11E388W")</f>
        <v>SNTRSE84M11E388W</v>
      </c>
      <c r="O1744" s="3" t="s">
        <v>1874</v>
      </c>
      <c r="P1744" s="3" t="s">
        <v>36</v>
      </c>
      <c r="Q1744" s="3"/>
      <c r="R1744" s="4">
        <v>45996</v>
      </c>
      <c r="S1744" s="3" t="s">
        <v>37</v>
      </c>
      <c r="T1744" s="3" t="s">
        <v>38</v>
      </c>
      <c r="U1744" s="3" t="s">
        <v>39</v>
      </c>
      <c r="V1744" s="3">
        <v>210.4</v>
      </c>
      <c r="W1744" s="3">
        <v>89.42</v>
      </c>
      <c r="X1744" s="3">
        <v>84.69</v>
      </c>
      <c r="Y1744" s="3">
        <v>36.29</v>
      </c>
    </row>
    <row r="1745" spans="1:25" ht="60.75" x14ac:dyDescent="0.25">
      <c r="A1745" s="3" t="s">
        <v>26</v>
      </c>
      <c r="B1745" s="3" t="s">
        <v>27</v>
      </c>
      <c r="C1745" s="3" t="s">
        <v>28</v>
      </c>
      <c r="D1745" s="3" t="s">
        <v>91</v>
      </c>
      <c r="E1745" s="3" t="s">
        <v>92</v>
      </c>
      <c r="F1745" s="3" t="s">
        <v>93</v>
      </c>
      <c r="G1745" s="3" t="s">
        <v>92</v>
      </c>
      <c r="H1745" s="3" t="s">
        <v>48</v>
      </c>
      <c r="I1745" s="3">
        <v>2025</v>
      </c>
      <c r="J1745" s="3" t="str">
        <f>CONCATENATE("54820023395")</f>
        <v>54820023395</v>
      </c>
      <c r="K1745" s="3" t="s">
        <v>33</v>
      </c>
      <c r="L1745" s="3"/>
      <c r="M1745" s="3" t="s">
        <v>131</v>
      </c>
      <c r="N1745" s="3" t="str">
        <f>CONCATENATE("CNRLRT64H07H501H")</f>
        <v>CNRLRT64H07H501H</v>
      </c>
      <c r="O1745" s="3" t="s">
        <v>1875</v>
      </c>
      <c r="P1745" s="3" t="s">
        <v>36</v>
      </c>
      <c r="Q1745" s="3"/>
      <c r="R1745" s="4">
        <v>45996</v>
      </c>
      <c r="S1745" s="3" t="s">
        <v>37</v>
      </c>
      <c r="T1745" s="3" t="s">
        <v>38</v>
      </c>
      <c r="U1745" s="3" t="s">
        <v>39</v>
      </c>
      <c r="V1745" s="3">
        <v>85.98</v>
      </c>
      <c r="W1745" s="3">
        <v>36.54</v>
      </c>
      <c r="X1745" s="3">
        <v>34.61</v>
      </c>
      <c r="Y1745" s="3">
        <v>14.83</v>
      </c>
    </row>
    <row r="1746" spans="1:25" ht="60.75" x14ac:dyDescent="0.25">
      <c r="A1746" s="3" t="s">
        <v>26</v>
      </c>
      <c r="B1746" s="3" t="s">
        <v>27</v>
      </c>
      <c r="C1746" s="3" t="s">
        <v>28</v>
      </c>
      <c r="D1746" s="3" t="s">
        <v>29</v>
      </c>
      <c r="E1746" s="3" t="s">
        <v>119</v>
      </c>
      <c r="F1746" s="3" t="s">
        <v>31</v>
      </c>
      <c r="G1746" s="3" t="s">
        <v>119</v>
      </c>
      <c r="H1746" s="3" t="s">
        <v>96</v>
      </c>
      <c r="I1746" s="3">
        <v>2025</v>
      </c>
      <c r="J1746" s="3" t="str">
        <f>CONCATENATE("54820018122")</f>
        <v>54820018122</v>
      </c>
      <c r="K1746" s="3" t="s">
        <v>33</v>
      </c>
      <c r="L1746" s="3"/>
      <c r="M1746" s="3" t="s">
        <v>131</v>
      </c>
      <c r="N1746" s="3" t="str">
        <f>CONCATENATE("CRCTRS57T63A252E")</f>
        <v>CRCTRS57T63A252E</v>
      </c>
      <c r="O1746" s="3" t="s">
        <v>1876</v>
      </c>
      <c r="P1746" s="3" t="s">
        <v>36</v>
      </c>
      <c r="Q1746" s="3"/>
      <c r="R1746" s="4">
        <v>45996</v>
      </c>
      <c r="S1746" s="3" t="s">
        <v>37</v>
      </c>
      <c r="T1746" s="3" t="s">
        <v>38</v>
      </c>
      <c r="U1746" s="3" t="s">
        <v>39</v>
      </c>
      <c r="V1746" s="3">
        <v>96.47</v>
      </c>
      <c r="W1746" s="3">
        <v>41</v>
      </c>
      <c r="X1746" s="3">
        <v>38.83</v>
      </c>
      <c r="Y1746" s="3">
        <v>16.64</v>
      </c>
    </row>
    <row r="1747" spans="1:25" ht="36.75" x14ac:dyDescent="0.25">
      <c r="A1747" s="3" t="s">
        <v>26</v>
      </c>
      <c r="B1747" s="3" t="s">
        <v>27</v>
      </c>
      <c r="C1747" s="3" t="s">
        <v>28</v>
      </c>
      <c r="D1747" s="3" t="s">
        <v>40</v>
      </c>
      <c r="E1747" s="3" t="s">
        <v>287</v>
      </c>
      <c r="F1747" s="3" t="s">
        <v>42</v>
      </c>
      <c r="G1747" s="3" t="s">
        <v>287</v>
      </c>
      <c r="H1747" s="3" t="s">
        <v>32</v>
      </c>
      <c r="I1747" s="3">
        <v>2025</v>
      </c>
      <c r="J1747" s="3" t="str">
        <f>CONCATENATE("54820026240")</f>
        <v>54820026240</v>
      </c>
      <c r="K1747" s="3" t="s">
        <v>33</v>
      </c>
      <c r="L1747" s="3"/>
      <c r="M1747" s="3" t="s">
        <v>131</v>
      </c>
      <c r="N1747" s="3" t="str">
        <f>CONCATENATE("01557370432")</f>
        <v>01557370432</v>
      </c>
      <c r="O1747" s="3" t="s">
        <v>1877</v>
      </c>
      <c r="P1747" s="3" t="s">
        <v>36</v>
      </c>
      <c r="Q1747" s="3"/>
      <c r="R1747" s="4">
        <v>45996</v>
      </c>
      <c r="S1747" s="3" t="s">
        <v>37</v>
      </c>
      <c r="T1747" s="3" t="s">
        <v>38</v>
      </c>
      <c r="U1747" s="3" t="s">
        <v>39</v>
      </c>
      <c r="V1747" s="3">
        <v>217.18</v>
      </c>
      <c r="W1747" s="3">
        <v>92.3</v>
      </c>
      <c r="X1747" s="3">
        <v>87.41</v>
      </c>
      <c r="Y1747" s="3">
        <v>37.47</v>
      </c>
    </row>
    <row r="1748" spans="1:25" ht="60.75" x14ac:dyDescent="0.25">
      <c r="A1748" s="3" t="s">
        <v>26</v>
      </c>
      <c r="B1748" s="3" t="s">
        <v>27</v>
      </c>
      <c r="C1748" s="3" t="s">
        <v>28</v>
      </c>
      <c r="D1748" s="3" t="s">
        <v>29</v>
      </c>
      <c r="E1748" s="3" t="s">
        <v>56</v>
      </c>
      <c r="F1748" s="3" t="s">
        <v>31</v>
      </c>
      <c r="G1748" s="3" t="s">
        <v>56</v>
      </c>
      <c r="H1748" s="3" t="s">
        <v>32</v>
      </c>
      <c r="I1748" s="3">
        <v>2025</v>
      </c>
      <c r="J1748" s="3" t="str">
        <f>CONCATENATE("54820047212")</f>
        <v>54820047212</v>
      </c>
      <c r="K1748" s="3" t="s">
        <v>33</v>
      </c>
      <c r="L1748" s="3"/>
      <c r="M1748" s="3" t="s">
        <v>131</v>
      </c>
      <c r="N1748" s="3" t="str">
        <f>CONCATENATE("CCNNGL43H56B474L")</f>
        <v>CCNNGL43H56B474L</v>
      </c>
      <c r="O1748" s="3" t="s">
        <v>1878</v>
      </c>
      <c r="P1748" s="3" t="s">
        <v>36</v>
      </c>
      <c r="Q1748" s="3"/>
      <c r="R1748" s="4">
        <v>45996</v>
      </c>
      <c r="S1748" s="3" t="s">
        <v>37</v>
      </c>
      <c r="T1748" s="3" t="s">
        <v>38</v>
      </c>
      <c r="U1748" s="3" t="s">
        <v>39</v>
      </c>
      <c r="V1748" s="3">
        <v>857.13</v>
      </c>
      <c r="W1748" s="3">
        <v>364.28</v>
      </c>
      <c r="X1748" s="3">
        <v>344.99</v>
      </c>
      <c r="Y1748" s="3">
        <v>147.86000000000001</v>
      </c>
    </row>
    <row r="1749" spans="1:25" ht="60.75" x14ac:dyDescent="0.25">
      <c r="A1749" s="3" t="s">
        <v>26</v>
      </c>
      <c r="B1749" s="3" t="s">
        <v>27</v>
      </c>
      <c r="C1749" s="3" t="s">
        <v>28</v>
      </c>
      <c r="D1749" s="3" t="s">
        <v>29</v>
      </c>
      <c r="E1749" s="3" t="s">
        <v>80</v>
      </c>
      <c r="F1749" s="3" t="s">
        <v>31</v>
      </c>
      <c r="G1749" s="3" t="s">
        <v>80</v>
      </c>
      <c r="H1749" s="3" t="s">
        <v>45</v>
      </c>
      <c r="I1749" s="3">
        <v>2025</v>
      </c>
      <c r="J1749" s="3" t="str">
        <f>CONCATENATE("54820024492")</f>
        <v>54820024492</v>
      </c>
      <c r="K1749" s="3" t="s">
        <v>33</v>
      </c>
      <c r="L1749" s="3"/>
      <c r="M1749" s="3" t="s">
        <v>131</v>
      </c>
      <c r="N1749" s="3" t="str">
        <f>CONCATENATE("NLFLGU47S23I654I")</f>
        <v>NLFLGU47S23I654I</v>
      </c>
      <c r="O1749" s="3" t="s">
        <v>1879</v>
      </c>
      <c r="P1749" s="3" t="s">
        <v>36</v>
      </c>
      <c r="Q1749" s="3"/>
      <c r="R1749" s="4">
        <v>45996</v>
      </c>
      <c r="S1749" s="3" t="s">
        <v>37</v>
      </c>
      <c r="T1749" s="3" t="s">
        <v>38</v>
      </c>
      <c r="U1749" s="3" t="s">
        <v>39</v>
      </c>
      <c r="V1749" s="3">
        <v>89.62</v>
      </c>
      <c r="W1749" s="3">
        <v>38.090000000000003</v>
      </c>
      <c r="X1749" s="3">
        <v>36.07</v>
      </c>
      <c r="Y1749" s="3">
        <v>15.46</v>
      </c>
    </row>
    <row r="1750" spans="1:25" ht="36.75" x14ac:dyDescent="0.25">
      <c r="A1750" s="3" t="s">
        <v>26</v>
      </c>
      <c r="B1750" s="3" t="s">
        <v>27</v>
      </c>
      <c r="C1750" s="3" t="s">
        <v>28</v>
      </c>
      <c r="D1750" s="3" t="s">
        <v>29</v>
      </c>
      <c r="E1750" s="3" t="s">
        <v>186</v>
      </c>
      <c r="F1750" s="3" t="s">
        <v>31</v>
      </c>
      <c r="G1750" s="3" t="s">
        <v>186</v>
      </c>
      <c r="H1750" s="3" t="s">
        <v>45</v>
      </c>
      <c r="I1750" s="3">
        <v>2025</v>
      </c>
      <c r="J1750" s="3" t="str">
        <f>CONCATENATE("54820054077")</f>
        <v>54820054077</v>
      </c>
      <c r="K1750" s="3" t="s">
        <v>33</v>
      </c>
      <c r="L1750" s="3"/>
      <c r="M1750" s="3" t="s">
        <v>131</v>
      </c>
      <c r="N1750" s="3" t="str">
        <f>CONCATENATE("02734010412")</f>
        <v>02734010412</v>
      </c>
      <c r="O1750" s="3" t="s">
        <v>1880</v>
      </c>
      <c r="P1750" s="3" t="s">
        <v>36</v>
      </c>
      <c r="Q1750" s="3"/>
      <c r="R1750" s="4">
        <v>45996</v>
      </c>
      <c r="S1750" s="3" t="s">
        <v>37</v>
      </c>
      <c r="T1750" s="3" t="s">
        <v>38</v>
      </c>
      <c r="U1750" s="3" t="s">
        <v>39</v>
      </c>
      <c r="V1750" s="3">
        <v>157.31</v>
      </c>
      <c r="W1750" s="3">
        <v>66.86</v>
      </c>
      <c r="X1750" s="3">
        <v>63.32</v>
      </c>
      <c r="Y1750" s="3">
        <v>27.13</v>
      </c>
    </row>
    <row r="1751" spans="1:25" ht="60.75" x14ac:dyDescent="0.25">
      <c r="A1751" s="3" t="s">
        <v>26</v>
      </c>
      <c r="B1751" s="3" t="s">
        <v>27</v>
      </c>
      <c r="C1751" s="3" t="s">
        <v>28</v>
      </c>
      <c r="D1751" s="3" t="s">
        <v>29</v>
      </c>
      <c r="E1751" s="3" t="s">
        <v>72</v>
      </c>
      <c r="F1751" s="3" t="s">
        <v>31</v>
      </c>
      <c r="G1751" s="3" t="s">
        <v>72</v>
      </c>
      <c r="H1751" s="3" t="s">
        <v>45</v>
      </c>
      <c r="I1751" s="3">
        <v>2025</v>
      </c>
      <c r="J1751" s="3" t="str">
        <f>CONCATENATE("54820061007")</f>
        <v>54820061007</v>
      </c>
      <c r="K1751" s="3" t="s">
        <v>33</v>
      </c>
      <c r="L1751" s="3"/>
      <c r="M1751" s="3" t="s">
        <v>131</v>
      </c>
      <c r="N1751" s="3" t="str">
        <f>CONCATENATE("PLNGZL62H51Z120L")</f>
        <v>PLNGZL62H51Z120L</v>
      </c>
      <c r="O1751" s="3" t="s">
        <v>1881</v>
      </c>
      <c r="P1751" s="3" t="s">
        <v>36</v>
      </c>
      <c r="Q1751" s="3"/>
      <c r="R1751" s="4">
        <v>45996</v>
      </c>
      <c r="S1751" s="3" t="s">
        <v>37</v>
      </c>
      <c r="T1751" s="3" t="s">
        <v>38</v>
      </c>
      <c r="U1751" s="3" t="s">
        <v>39</v>
      </c>
      <c r="V1751" s="3">
        <v>622.34</v>
      </c>
      <c r="W1751" s="3">
        <v>264.49</v>
      </c>
      <c r="X1751" s="3">
        <v>250.49</v>
      </c>
      <c r="Y1751" s="3">
        <v>107.36</v>
      </c>
    </row>
    <row r="1752" spans="1:25" ht="60.75" x14ac:dyDescent="0.25">
      <c r="A1752" s="3" t="s">
        <v>26</v>
      </c>
      <c r="B1752" s="3" t="s">
        <v>27</v>
      </c>
      <c r="C1752" s="3" t="s">
        <v>28</v>
      </c>
      <c r="D1752" s="3" t="s">
        <v>29</v>
      </c>
      <c r="E1752" s="3" t="s">
        <v>119</v>
      </c>
      <c r="F1752" s="3" t="s">
        <v>31</v>
      </c>
      <c r="G1752" s="3" t="s">
        <v>119</v>
      </c>
      <c r="H1752" s="3" t="s">
        <v>96</v>
      </c>
      <c r="I1752" s="3">
        <v>2025</v>
      </c>
      <c r="J1752" s="3" t="str">
        <f>CONCATENATE("54820069216")</f>
        <v>54820069216</v>
      </c>
      <c r="K1752" s="3" t="s">
        <v>33</v>
      </c>
      <c r="L1752" s="3"/>
      <c r="M1752" s="3" t="s">
        <v>131</v>
      </c>
      <c r="N1752" s="3" t="str">
        <f>CONCATENATE("LRNCRD43S19A252L")</f>
        <v>LRNCRD43S19A252L</v>
      </c>
      <c r="O1752" s="3" t="s">
        <v>1882</v>
      </c>
      <c r="P1752" s="3" t="s">
        <v>36</v>
      </c>
      <c r="Q1752" s="3"/>
      <c r="R1752" s="4">
        <v>45996</v>
      </c>
      <c r="S1752" s="3" t="s">
        <v>37</v>
      </c>
      <c r="T1752" s="3" t="s">
        <v>38</v>
      </c>
      <c r="U1752" s="3" t="s">
        <v>39</v>
      </c>
      <c r="V1752" s="3">
        <v>438.23</v>
      </c>
      <c r="W1752" s="3">
        <v>186.25</v>
      </c>
      <c r="X1752" s="3">
        <v>176.39</v>
      </c>
      <c r="Y1752" s="3">
        <v>75.59</v>
      </c>
    </row>
    <row r="1753" spans="1:25" ht="60.75" x14ac:dyDescent="0.25">
      <c r="A1753" s="3" t="s">
        <v>26</v>
      </c>
      <c r="B1753" s="3" t="s">
        <v>27</v>
      </c>
      <c r="C1753" s="3" t="s">
        <v>28</v>
      </c>
      <c r="D1753" s="3" t="s">
        <v>29</v>
      </c>
      <c r="E1753" s="3" t="s">
        <v>186</v>
      </c>
      <c r="F1753" s="3" t="s">
        <v>31</v>
      </c>
      <c r="G1753" s="3" t="s">
        <v>186</v>
      </c>
      <c r="H1753" s="3" t="s">
        <v>45</v>
      </c>
      <c r="I1753" s="3">
        <v>2025</v>
      </c>
      <c r="J1753" s="3" t="str">
        <f>CONCATENATE("54820030770")</f>
        <v>54820030770</v>
      </c>
      <c r="K1753" s="3" t="s">
        <v>33</v>
      </c>
      <c r="L1753" s="3"/>
      <c r="M1753" s="3" t="s">
        <v>131</v>
      </c>
      <c r="N1753" s="3" t="str">
        <f>CONCATENATE("MRCLCU84C03I459Y")</f>
        <v>MRCLCU84C03I459Y</v>
      </c>
      <c r="O1753" s="3" t="s">
        <v>1883</v>
      </c>
      <c r="P1753" s="3" t="s">
        <v>36</v>
      </c>
      <c r="Q1753" s="3"/>
      <c r="R1753" s="4">
        <v>45996</v>
      </c>
      <c r="S1753" s="3" t="s">
        <v>37</v>
      </c>
      <c r="T1753" s="3" t="s">
        <v>38</v>
      </c>
      <c r="U1753" s="3" t="s">
        <v>39</v>
      </c>
      <c r="V1753" s="3">
        <v>240.36</v>
      </c>
      <c r="W1753" s="3">
        <v>102.15</v>
      </c>
      <c r="X1753" s="3">
        <v>96.74</v>
      </c>
      <c r="Y1753" s="3">
        <v>41.47</v>
      </c>
    </row>
    <row r="1754" spans="1:25" ht="60.75" x14ac:dyDescent="0.25">
      <c r="A1754" s="3" t="s">
        <v>26</v>
      </c>
      <c r="B1754" s="3" t="s">
        <v>27</v>
      </c>
      <c r="C1754" s="3" t="s">
        <v>28</v>
      </c>
      <c r="D1754" s="3" t="s">
        <v>40</v>
      </c>
      <c r="E1754" s="3" t="s">
        <v>287</v>
      </c>
      <c r="F1754" s="3" t="s">
        <v>42</v>
      </c>
      <c r="G1754" s="3" t="s">
        <v>287</v>
      </c>
      <c r="H1754" s="3" t="s">
        <v>32</v>
      </c>
      <c r="I1754" s="3">
        <v>2025</v>
      </c>
      <c r="J1754" s="3" t="str">
        <f>CONCATENATE("54820014618")</f>
        <v>54820014618</v>
      </c>
      <c r="K1754" s="3" t="s">
        <v>33</v>
      </c>
      <c r="L1754" s="3"/>
      <c r="M1754" s="3" t="s">
        <v>131</v>
      </c>
      <c r="N1754" s="3" t="str">
        <f>CONCATENATE("NTNRNT50S24B474V")</f>
        <v>NTNRNT50S24B474V</v>
      </c>
      <c r="O1754" s="3" t="s">
        <v>1884</v>
      </c>
      <c r="P1754" s="3" t="s">
        <v>36</v>
      </c>
      <c r="Q1754" s="3"/>
      <c r="R1754" s="4">
        <v>45996</v>
      </c>
      <c r="S1754" s="3" t="s">
        <v>37</v>
      </c>
      <c r="T1754" s="3" t="s">
        <v>38</v>
      </c>
      <c r="U1754" s="3" t="s">
        <v>39</v>
      </c>
      <c r="V1754" s="3">
        <v>47.88</v>
      </c>
      <c r="W1754" s="3">
        <v>20.350000000000001</v>
      </c>
      <c r="X1754" s="3">
        <v>19.27</v>
      </c>
      <c r="Y1754" s="3">
        <v>8.26</v>
      </c>
    </row>
    <row r="1755" spans="1:25" ht="36.75" x14ac:dyDescent="0.25">
      <c r="A1755" s="3" t="s">
        <v>26</v>
      </c>
      <c r="B1755" s="3" t="s">
        <v>27</v>
      </c>
      <c r="C1755" s="3" t="s">
        <v>28</v>
      </c>
      <c r="D1755" s="3" t="s">
        <v>50</v>
      </c>
      <c r="E1755" s="3" t="s">
        <v>107</v>
      </c>
      <c r="F1755" s="3" t="s">
        <v>52</v>
      </c>
      <c r="G1755" s="3" t="s">
        <v>107</v>
      </c>
      <c r="H1755" s="3" t="s">
        <v>48</v>
      </c>
      <c r="I1755" s="3">
        <v>2025</v>
      </c>
      <c r="J1755" s="3" t="str">
        <f>CONCATENATE("54820015110")</f>
        <v>54820015110</v>
      </c>
      <c r="K1755" s="3" t="s">
        <v>33</v>
      </c>
      <c r="L1755" s="3"/>
      <c r="M1755" s="3" t="s">
        <v>131</v>
      </c>
      <c r="N1755" s="3" t="str">
        <f>CONCATENATE("02392540429")</f>
        <v>02392540429</v>
      </c>
      <c r="O1755" s="3" t="s">
        <v>1885</v>
      </c>
      <c r="P1755" s="3" t="s">
        <v>36</v>
      </c>
      <c r="Q1755" s="3"/>
      <c r="R1755" s="4">
        <v>45996</v>
      </c>
      <c r="S1755" s="3" t="s">
        <v>37</v>
      </c>
      <c r="T1755" s="3" t="s">
        <v>38</v>
      </c>
      <c r="U1755" s="3" t="s">
        <v>39</v>
      </c>
      <c r="V1755" s="3">
        <v>343.9</v>
      </c>
      <c r="W1755" s="3">
        <v>146.16</v>
      </c>
      <c r="X1755" s="3">
        <v>138.41999999999999</v>
      </c>
      <c r="Y1755" s="3">
        <v>59.32</v>
      </c>
    </row>
    <row r="1756" spans="1:25" ht="60.75" x14ac:dyDescent="0.25">
      <c r="A1756" s="3" t="s">
        <v>26</v>
      </c>
      <c r="B1756" s="3" t="s">
        <v>27</v>
      </c>
      <c r="C1756" s="3" t="s">
        <v>28</v>
      </c>
      <c r="D1756" s="3" t="s">
        <v>50</v>
      </c>
      <c r="E1756" s="3" t="s">
        <v>149</v>
      </c>
      <c r="F1756" s="3" t="s">
        <v>52</v>
      </c>
      <c r="G1756" s="3" t="s">
        <v>149</v>
      </c>
      <c r="H1756" s="3" t="s">
        <v>96</v>
      </c>
      <c r="I1756" s="3">
        <v>2025</v>
      </c>
      <c r="J1756" s="3" t="str">
        <f>CONCATENATE("54820067483")</f>
        <v>54820067483</v>
      </c>
      <c r="K1756" s="3" t="s">
        <v>33</v>
      </c>
      <c r="L1756" s="3"/>
      <c r="M1756" s="3" t="s">
        <v>131</v>
      </c>
      <c r="N1756" s="3" t="str">
        <f>CONCATENATE("MLNPFC52S27L728S")</f>
        <v>MLNPFC52S27L728S</v>
      </c>
      <c r="O1756" s="3" t="s">
        <v>1886</v>
      </c>
      <c r="P1756" s="3" t="s">
        <v>36</v>
      </c>
      <c r="Q1756" s="3"/>
      <c r="R1756" s="4">
        <v>45996</v>
      </c>
      <c r="S1756" s="3" t="s">
        <v>37</v>
      </c>
      <c r="T1756" s="3" t="s">
        <v>38</v>
      </c>
      <c r="U1756" s="3" t="s">
        <v>39</v>
      </c>
      <c r="V1756" s="3">
        <v>59.42</v>
      </c>
      <c r="W1756" s="3">
        <v>25.25</v>
      </c>
      <c r="X1756" s="3">
        <v>23.92</v>
      </c>
      <c r="Y1756" s="3">
        <v>10.25</v>
      </c>
    </row>
    <row r="1757" spans="1:25" ht="60.75" x14ac:dyDescent="0.25">
      <c r="A1757" s="3" t="s">
        <v>26</v>
      </c>
      <c r="B1757" s="3" t="s">
        <v>27</v>
      </c>
      <c r="C1757" s="3" t="s">
        <v>28</v>
      </c>
      <c r="D1757" s="3" t="s">
        <v>29</v>
      </c>
      <c r="E1757" s="3" t="s">
        <v>101</v>
      </c>
      <c r="F1757" s="3" t="s">
        <v>31</v>
      </c>
      <c r="G1757" s="3" t="s">
        <v>101</v>
      </c>
      <c r="H1757" s="3" t="s">
        <v>32</v>
      </c>
      <c r="I1757" s="3">
        <v>2025</v>
      </c>
      <c r="J1757" s="3" t="str">
        <f>CONCATENATE("54820172861")</f>
        <v>54820172861</v>
      </c>
      <c r="K1757" s="3" t="s">
        <v>33</v>
      </c>
      <c r="L1757" s="3"/>
      <c r="M1757" s="3" t="s">
        <v>131</v>
      </c>
      <c r="N1757" s="3" t="str">
        <f>CONCATENATE("LRNVLL52D47C248U")</f>
        <v>LRNVLL52D47C248U</v>
      </c>
      <c r="O1757" s="3" t="s">
        <v>1887</v>
      </c>
      <c r="P1757" s="3" t="s">
        <v>36</v>
      </c>
      <c r="Q1757" s="3"/>
      <c r="R1757" s="4">
        <v>45996</v>
      </c>
      <c r="S1757" s="3" t="s">
        <v>37</v>
      </c>
      <c r="T1757" s="3" t="s">
        <v>38</v>
      </c>
      <c r="U1757" s="3" t="s">
        <v>39</v>
      </c>
      <c r="V1757" s="3">
        <v>377.32</v>
      </c>
      <c r="W1757" s="3">
        <v>160.36000000000001</v>
      </c>
      <c r="X1757" s="3">
        <v>151.87</v>
      </c>
      <c r="Y1757" s="3">
        <v>65.09</v>
      </c>
    </row>
    <row r="1758" spans="1:25" ht="60.75" x14ac:dyDescent="0.25">
      <c r="A1758" s="3" t="s">
        <v>26</v>
      </c>
      <c r="B1758" s="3" t="s">
        <v>27</v>
      </c>
      <c r="C1758" s="3" t="s">
        <v>28</v>
      </c>
      <c r="D1758" s="3" t="s">
        <v>104</v>
      </c>
      <c r="E1758" s="3" t="s">
        <v>141</v>
      </c>
      <c r="F1758" s="3" t="s">
        <v>104</v>
      </c>
      <c r="G1758" s="3" t="s">
        <v>141</v>
      </c>
      <c r="H1758" s="3" t="s">
        <v>96</v>
      </c>
      <c r="I1758" s="3">
        <v>2025</v>
      </c>
      <c r="J1758" s="3" t="str">
        <f>CONCATENATE("54820144860")</f>
        <v>54820144860</v>
      </c>
      <c r="K1758" s="3" t="s">
        <v>33</v>
      </c>
      <c r="L1758" s="3"/>
      <c r="M1758" s="3" t="s">
        <v>131</v>
      </c>
      <c r="N1758" s="3" t="str">
        <f>CONCATENATE("SCMDNC51P03F509Q")</f>
        <v>SCMDNC51P03F509Q</v>
      </c>
      <c r="O1758" s="3" t="s">
        <v>1888</v>
      </c>
      <c r="P1758" s="3" t="s">
        <v>36</v>
      </c>
      <c r="Q1758" s="3"/>
      <c r="R1758" s="4">
        <v>45996</v>
      </c>
      <c r="S1758" s="3" t="s">
        <v>37</v>
      </c>
      <c r="T1758" s="3" t="s">
        <v>38</v>
      </c>
      <c r="U1758" s="3" t="s">
        <v>39</v>
      </c>
      <c r="V1758" s="3">
        <v>85.5</v>
      </c>
      <c r="W1758" s="3">
        <v>36.340000000000003</v>
      </c>
      <c r="X1758" s="3">
        <v>34.409999999999997</v>
      </c>
      <c r="Y1758" s="3">
        <v>14.75</v>
      </c>
    </row>
    <row r="1759" spans="1:25" ht="60.75" x14ac:dyDescent="0.25">
      <c r="A1759" s="3" t="s">
        <v>26</v>
      </c>
      <c r="B1759" s="3" t="s">
        <v>27</v>
      </c>
      <c r="C1759" s="3" t="s">
        <v>28</v>
      </c>
      <c r="D1759" s="3" t="s">
        <v>29</v>
      </c>
      <c r="E1759" s="3" t="s">
        <v>182</v>
      </c>
      <c r="F1759" s="3" t="s">
        <v>31</v>
      </c>
      <c r="G1759" s="3" t="s">
        <v>182</v>
      </c>
      <c r="H1759" s="3" t="s">
        <v>45</v>
      </c>
      <c r="I1759" s="3">
        <v>2025</v>
      </c>
      <c r="J1759" s="3" t="str">
        <f>CONCATENATE("54820045182")</f>
        <v>54820045182</v>
      </c>
      <c r="K1759" s="3" t="s">
        <v>33</v>
      </c>
      <c r="L1759" s="3"/>
      <c r="M1759" s="3" t="s">
        <v>131</v>
      </c>
      <c r="N1759" s="3" t="str">
        <f>CONCATENATE("LSSPLA59A45D749I")</f>
        <v>LSSPLA59A45D749I</v>
      </c>
      <c r="O1759" s="3" t="s">
        <v>1889</v>
      </c>
      <c r="P1759" s="3" t="s">
        <v>36</v>
      </c>
      <c r="Q1759" s="3"/>
      <c r="R1759" s="4">
        <v>45996</v>
      </c>
      <c r="S1759" s="3" t="s">
        <v>37</v>
      </c>
      <c r="T1759" s="3" t="s">
        <v>38</v>
      </c>
      <c r="U1759" s="3" t="s">
        <v>39</v>
      </c>
      <c r="V1759" s="3">
        <v>281.83</v>
      </c>
      <c r="W1759" s="3">
        <v>119.78</v>
      </c>
      <c r="X1759" s="3">
        <v>113.44</v>
      </c>
      <c r="Y1759" s="3">
        <v>48.61</v>
      </c>
    </row>
    <row r="1760" spans="1:25" ht="60.75" x14ac:dyDescent="0.25">
      <c r="A1760" s="3" t="s">
        <v>26</v>
      </c>
      <c r="B1760" s="3" t="s">
        <v>27</v>
      </c>
      <c r="C1760" s="3" t="s">
        <v>28</v>
      </c>
      <c r="D1760" s="3" t="s">
        <v>29</v>
      </c>
      <c r="E1760" s="3" t="s">
        <v>186</v>
      </c>
      <c r="F1760" s="3" t="s">
        <v>31</v>
      </c>
      <c r="G1760" s="3" t="s">
        <v>186</v>
      </c>
      <c r="H1760" s="3" t="s">
        <v>45</v>
      </c>
      <c r="I1760" s="3">
        <v>2025</v>
      </c>
      <c r="J1760" s="3" t="str">
        <f>CONCATENATE("54820085287")</f>
        <v>54820085287</v>
      </c>
      <c r="K1760" s="3" t="s">
        <v>33</v>
      </c>
      <c r="L1760" s="3"/>
      <c r="M1760" s="3" t="s">
        <v>131</v>
      </c>
      <c r="N1760" s="3" t="str">
        <f>CONCATENATE("BLDCNZ75L70I459M")</f>
        <v>BLDCNZ75L70I459M</v>
      </c>
      <c r="O1760" s="3" t="s">
        <v>1890</v>
      </c>
      <c r="P1760" s="3" t="s">
        <v>36</v>
      </c>
      <c r="Q1760" s="3"/>
      <c r="R1760" s="4">
        <v>45996</v>
      </c>
      <c r="S1760" s="3" t="s">
        <v>37</v>
      </c>
      <c r="T1760" s="3" t="s">
        <v>38</v>
      </c>
      <c r="U1760" s="3" t="s">
        <v>39</v>
      </c>
      <c r="V1760" s="5">
        <v>1249.43</v>
      </c>
      <c r="W1760" s="3">
        <v>531.01</v>
      </c>
      <c r="X1760" s="3">
        <v>502.9</v>
      </c>
      <c r="Y1760" s="3">
        <v>215.52</v>
      </c>
    </row>
    <row r="1761" spans="1:25" ht="36.75" x14ac:dyDescent="0.25">
      <c r="A1761" s="3" t="s">
        <v>26</v>
      </c>
      <c r="B1761" s="3" t="s">
        <v>27</v>
      </c>
      <c r="C1761" s="3" t="s">
        <v>28</v>
      </c>
      <c r="D1761" s="3" t="s">
        <v>29</v>
      </c>
      <c r="E1761" s="3" t="s">
        <v>182</v>
      </c>
      <c r="F1761" s="3" t="s">
        <v>31</v>
      </c>
      <c r="G1761" s="3" t="s">
        <v>182</v>
      </c>
      <c r="H1761" s="3" t="s">
        <v>45</v>
      </c>
      <c r="I1761" s="3">
        <v>2025</v>
      </c>
      <c r="J1761" s="3" t="str">
        <f>CONCATENATE("54820051495")</f>
        <v>54820051495</v>
      </c>
      <c r="K1761" s="3" t="s">
        <v>33</v>
      </c>
      <c r="L1761" s="3"/>
      <c r="M1761" s="3" t="s">
        <v>131</v>
      </c>
      <c r="N1761" s="3" t="str">
        <f>CONCATENATE("02611800414")</f>
        <v>02611800414</v>
      </c>
      <c r="O1761" s="3" t="s">
        <v>1891</v>
      </c>
      <c r="P1761" s="3" t="s">
        <v>36</v>
      </c>
      <c r="Q1761" s="3"/>
      <c r="R1761" s="4">
        <v>45996</v>
      </c>
      <c r="S1761" s="3" t="s">
        <v>37</v>
      </c>
      <c r="T1761" s="3" t="s">
        <v>38</v>
      </c>
      <c r="U1761" s="3" t="s">
        <v>39</v>
      </c>
      <c r="V1761" s="3">
        <v>218.38</v>
      </c>
      <c r="W1761" s="3">
        <v>92.81</v>
      </c>
      <c r="X1761" s="3">
        <v>87.9</v>
      </c>
      <c r="Y1761" s="3">
        <v>37.67</v>
      </c>
    </row>
    <row r="1762" spans="1:25" ht="60.75" x14ac:dyDescent="0.25">
      <c r="A1762" s="3" t="s">
        <v>26</v>
      </c>
      <c r="B1762" s="3" t="s">
        <v>27</v>
      </c>
      <c r="C1762" s="3" t="s">
        <v>28</v>
      </c>
      <c r="D1762" s="3" t="s">
        <v>50</v>
      </c>
      <c r="E1762" s="3" t="s">
        <v>147</v>
      </c>
      <c r="F1762" s="3" t="s">
        <v>52</v>
      </c>
      <c r="G1762" s="3" t="s">
        <v>147</v>
      </c>
      <c r="H1762" s="3" t="s">
        <v>45</v>
      </c>
      <c r="I1762" s="3">
        <v>2025</v>
      </c>
      <c r="J1762" s="3" t="str">
        <f>CONCATENATE("54820084868")</f>
        <v>54820084868</v>
      </c>
      <c r="K1762" s="3" t="s">
        <v>33</v>
      </c>
      <c r="L1762" s="3"/>
      <c r="M1762" s="3" t="s">
        <v>131</v>
      </c>
      <c r="N1762" s="3" t="str">
        <f>CONCATENATE("LZUGBR57C08F135D")</f>
        <v>LZUGBR57C08F135D</v>
      </c>
      <c r="O1762" s="3" t="s">
        <v>1892</v>
      </c>
      <c r="P1762" s="3" t="s">
        <v>36</v>
      </c>
      <c r="Q1762" s="3"/>
      <c r="R1762" s="4">
        <v>45996</v>
      </c>
      <c r="S1762" s="3" t="s">
        <v>37</v>
      </c>
      <c r="T1762" s="3" t="s">
        <v>38</v>
      </c>
      <c r="U1762" s="3" t="s">
        <v>39</v>
      </c>
      <c r="V1762" s="3">
        <v>106.43</v>
      </c>
      <c r="W1762" s="3">
        <v>45.23</v>
      </c>
      <c r="X1762" s="3">
        <v>42.84</v>
      </c>
      <c r="Y1762" s="3">
        <v>18.36</v>
      </c>
    </row>
    <row r="1763" spans="1:25" ht="72.75" x14ac:dyDescent="0.25">
      <c r="A1763" s="3" t="s">
        <v>26</v>
      </c>
      <c r="B1763" s="3" t="s">
        <v>27</v>
      </c>
      <c r="C1763" s="3" t="s">
        <v>28</v>
      </c>
      <c r="D1763" s="3" t="s">
        <v>40</v>
      </c>
      <c r="E1763" s="3" t="s">
        <v>41</v>
      </c>
      <c r="F1763" s="3" t="s">
        <v>42</v>
      </c>
      <c r="G1763" s="3" t="s">
        <v>41</v>
      </c>
      <c r="H1763" s="3" t="s">
        <v>32</v>
      </c>
      <c r="I1763" s="3">
        <v>2025</v>
      </c>
      <c r="J1763" s="3" t="str">
        <f>CONCATENATE("54820093430")</f>
        <v>54820093430</v>
      </c>
      <c r="K1763" s="3" t="s">
        <v>33</v>
      </c>
      <c r="L1763" s="3"/>
      <c r="M1763" s="3" t="s">
        <v>131</v>
      </c>
      <c r="N1763" s="3" t="str">
        <f>CONCATENATE("PNDMRN78D05B474X")</f>
        <v>PNDMRN78D05B474X</v>
      </c>
      <c r="O1763" s="3" t="s">
        <v>1893</v>
      </c>
      <c r="P1763" s="3" t="s">
        <v>36</v>
      </c>
      <c r="Q1763" s="3"/>
      <c r="R1763" s="4">
        <v>45996</v>
      </c>
      <c r="S1763" s="3" t="s">
        <v>37</v>
      </c>
      <c r="T1763" s="3" t="s">
        <v>38</v>
      </c>
      <c r="U1763" s="3" t="s">
        <v>39</v>
      </c>
      <c r="V1763" s="3">
        <v>164.78</v>
      </c>
      <c r="W1763" s="3">
        <v>70.03</v>
      </c>
      <c r="X1763" s="3">
        <v>66.319999999999993</v>
      </c>
      <c r="Y1763" s="3">
        <v>28.43</v>
      </c>
    </row>
    <row r="1764" spans="1:25" ht="60.75" x14ac:dyDescent="0.25">
      <c r="A1764" s="3" t="s">
        <v>26</v>
      </c>
      <c r="B1764" s="3" t="s">
        <v>27</v>
      </c>
      <c r="C1764" s="3" t="s">
        <v>28</v>
      </c>
      <c r="D1764" s="3" t="s">
        <v>29</v>
      </c>
      <c r="E1764" s="3" t="s">
        <v>136</v>
      </c>
      <c r="F1764" s="3" t="s">
        <v>31</v>
      </c>
      <c r="G1764" s="3" t="s">
        <v>136</v>
      </c>
      <c r="H1764" s="3" t="s">
        <v>48</v>
      </c>
      <c r="I1764" s="3">
        <v>2025</v>
      </c>
      <c r="J1764" s="3" t="str">
        <f>CONCATENATE("54820032800")</f>
        <v>54820032800</v>
      </c>
      <c r="K1764" s="3" t="s">
        <v>33</v>
      </c>
      <c r="L1764" s="3"/>
      <c r="M1764" s="3" t="s">
        <v>131</v>
      </c>
      <c r="N1764" s="3" t="str">
        <f>CONCATENATE("CSLCLD57P09D965T")</f>
        <v>CSLCLD57P09D965T</v>
      </c>
      <c r="O1764" s="3" t="s">
        <v>1894</v>
      </c>
      <c r="P1764" s="3" t="s">
        <v>36</v>
      </c>
      <c r="Q1764" s="3"/>
      <c r="R1764" s="4">
        <v>45996</v>
      </c>
      <c r="S1764" s="3" t="s">
        <v>37</v>
      </c>
      <c r="T1764" s="3" t="s">
        <v>38</v>
      </c>
      <c r="U1764" s="3" t="s">
        <v>39</v>
      </c>
      <c r="V1764" s="3">
        <v>120.33</v>
      </c>
      <c r="W1764" s="3">
        <v>51.14</v>
      </c>
      <c r="X1764" s="3">
        <v>48.43</v>
      </c>
      <c r="Y1764" s="3">
        <v>20.76</v>
      </c>
    </row>
    <row r="1765" spans="1:25" ht="60.75" x14ac:dyDescent="0.25">
      <c r="A1765" s="3" t="s">
        <v>26</v>
      </c>
      <c r="B1765" s="3" t="s">
        <v>27</v>
      </c>
      <c r="C1765" s="3" t="s">
        <v>28</v>
      </c>
      <c r="D1765" s="3" t="s">
        <v>40</v>
      </c>
      <c r="E1765" s="3" t="s">
        <v>41</v>
      </c>
      <c r="F1765" s="3" t="s">
        <v>42</v>
      </c>
      <c r="G1765" s="3" t="s">
        <v>41</v>
      </c>
      <c r="H1765" s="3" t="s">
        <v>48</v>
      </c>
      <c r="I1765" s="3">
        <v>2025</v>
      </c>
      <c r="J1765" s="3" t="str">
        <f>CONCATENATE("54820077821")</f>
        <v>54820077821</v>
      </c>
      <c r="K1765" s="3" t="s">
        <v>33</v>
      </c>
      <c r="L1765" s="3"/>
      <c r="M1765" s="3" t="s">
        <v>131</v>
      </c>
      <c r="N1765" s="3" t="str">
        <f>CONCATENATE("TTTCRS88H30D451K")</f>
        <v>TTTCRS88H30D451K</v>
      </c>
      <c r="O1765" s="3" t="s">
        <v>1895</v>
      </c>
      <c r="P1765" s="3" t="s">
        <v>36</v>
      </c>
      <c r="Q1765" s="3"/>
      <c r="R1765" s="4">
        <v>45996</v>
      </c>
      <c r="S1765" s="3" t="s">
        <v>37</v>
      </c>
      <c r="T1765" s="3" t="s">
        <v>38</v>
      </c>
      <c r="U1765" s="3" t="s">
        <v>39</v>
      </c>
      <c r="V1765" s="3">
        <v>690.07</v>
      </c>
      <c r="W1765" s="3">
        <v>293.27999999999997</v>
      </c>
      <c r="X1765" s="3">
        <v>277.75</v>
      </c>
      <c r="Y1765" s="3">
        <v>119.04</v>
      </c>
    </row>
    <row r="1766" spans="1:25" ht="72.75" x14ac:dyDescent="0.25">
      <c r="A1766" s="3" t="s">
        <v>26</v>
      </c>
      <c r="B1766" s="3" t="s">
        <v>27</v>
      </c>
      <c r="C1766" s="3" t="s">
        <v>28</v>
      </c>
      <c r="D1766" s="3" t="s">
        <v>29</v>
      </c>
      <c r="E1766" s="3" t="s">
        <v>228</v>
      </c>
      <c r="F1766" s="3" t="s">
        <v>31</v>
      </c>
      <c r="G1766" s="3" t="s">
        <v>228</v>
      </c>
      <c r="H1766" s="3" t="s">
        <v>45</v>
      </c>
      <c r="I1766" s="3">
        <v>2025</v>
      </c>
      <c r="J1766" s="3" t="str">
        <f>CONCATENATE("54820134465")</f>
        <v>54820134465</v>
      </c>
      <c r="K1766" s="3" t="s">
        <v>33</v>
      </c>
      <c r="L1766" s="3"/>
      <c r="M1766" s="3" t="s">
        <v>131</v>
      </c>
      <c r="N1766" s="3" t="str">
        <f>CONCATENATE("DLLMRN75P55D488H")</f>
        <v>DLLMRN75P55D488H</v>
      </c>
      <c r="O1766" s="3" t="s">
        <v>1896</v>
      </c>
      <c r="P1766" s="3" t="s">
        <v>36</v>
      </c>
      <c r="Q1766" s="3"/>
      <c r="R1766" s="4">
        <v>45996</v>
      </c>
      <c r="S1766" s="3" t="s">
        <v>37</v>
      </c>
      <c r="T1766" s="3" t="s">
        <v>38</v>
      </c>
      <c r="U1766" s="3" t="s">
        <v>39</v>
      </c>
      <c r="V1766" s="3">
        <v>65.069999999999993</v>
      </c>
      <c r="W1766" s="3">
        <v>27.65</v>
      </c>
      <c r="X1766" s="3">
        <v>26.19</v>
      </c>
      <c r="Y1766" s="3">
        <v>11.23</v>
      </c>
    </row>
    <row r="1767" spans="1:25" ht="60.75" x14ac:dyDescent="0.25">
      <c r="A1767" s="3" t="s">
        <v>26</v>
      </c>
      <c r="B1767" s="3" t="s">
        <v>27</v>
      </c>
      <c r="C1767" s="3" t="s">
        <v>28</v>
      </c>
      <c r="D1767" s="3" t="s">
        <v>29</v>
      </c>
      <c r="E1767" s="3" t="s">
        <v>56</v>
      </c>
      <c r="F1767" s="3" t="s">
        <v>31</v>
      </c>
      <c r="G1767" s="3" t="s">
        <v>56</v>
      </c>
      <c r="H1767" s="3" t="s">
        <v>32</v>
      </c>
      <c r="I1767" s="3">
        <v>2025</v>
      </c>
      <c r="J1767" s="3" t="str">
        <f>CONCATENATE("54820122429")</f>
        <v>54820122429</v>
      </c>
      <c r="K1767" s="3" t="s">
        <v>33</v>
      </c>
      <c r="L1767" s="3"/>
      <c r="M1767" s="3" t="s">
        <v>131</v>
      </c>
      <c r="N1767" s="3" t="str">
        <f>CONCATENATE("PNTTTL54H10B474G")</f>
        <v>PNTTTL54H10B474G</v>
      </c>
      <c r="O1767" s="3" t="s">
        <v>1897</v>
      </c>
      <c r="P1767" s="3" t="s">
        <v>36</v>
      </c>
      <c r="Q1767" s="3"/>
      <c r="R1767" s="4">
        <v>45996</v>
      </c>
      <c r="S1767" s="3" t="s">
        <v>37</v>
      </c>
      <c r="T1767" s="3" t="s">
        <v>38</v>
      </c>
      <c r="U1767" s="3" t="s">
        <v>39</v>
      </c>
      <c r="V1767" s="3">
        <v>177.81</v>
      </c>
      <c r="W1767" s="3">
        <v>75.569999999999993</v>
      </c>
      <c r="X1767" s="3">
        <v>71.569999999999993</v>
      </c>
      <c r="Y1767" s="3">
        <v>30.67</v>
      </c>
    </row>
    <row r="1768" spans="1:25" ht="72.75" x14ac:dyDescent="0.25">
      <c r="A1768" s="3" t="s">
        <v>26</v>
      </c>
      <c r="B1768" s="3" t="s">
        <v>27</v>
      </c>
      <c r="C1768" s="3" t="s">
        <v>28</v>
      </c>
      <c r="D1768" s="3" t="s">
        <v>50</v>
      </c>
      <c r="E1768" s="3" t="s">
        <v>60</v>
      </c>
      <c r="F1768" s="3" t="s">
        <v>52</v>
      </c>
      <c r="G1768" s="3" t="s">
        <v>60</v>
      </c>
      <c r="H1768" s="3" t="s">
        <v>45</v>
      </c>
      <c r="I1768" s="3">
        <v>2025</v>
      </c>
      <c r="J1768" s="3" t="str">
        <f>CONCATENATE("54820131941")</f>
        <v>54820131941</v>
      </c>
      <c r="K1768" s="3" t="s">
        <v>33</v>
      </c>
      <c r="L1768" s="3"/>
      <c r="M1768" s="3" t="s">
        <v>131</v>
      </c>
      <c r="N1768" s="3" t="str">
        <f>CONCATENATE("PLZNRS49B63A035U")</f>
        <v>PLZNRS49B63A035U</v>
      </c>
      <c r="O1768" s="3" t="s">
        <v>1898</v>
      </c>
      <c r="P1768" s="3" t="s">
        <v>36</v>
      </c>
      <c r="Q1768" s="3"/>
      <c r="R1768" s="4">
        <v>45996</v>
      </c>
      <c r="S1768" s="3" t="s">
        <v>37</v>
      </c>
      <c r="T1768" s="3" t="s">
        <v>38</v>
      </c>
      <c r="U1768" s="3" t="s">
        <v>39</v>
      </c>
      <c r="V1768" s="3">
        <v>71.55</v>
      </c>
      <c r="W1768" s="3">
        <v>30.41</v>
      </c>
      <c r="X1768" s="3">
        <v>28.8</v>
      </c>
      <c r="Y1768" s="3">
        <v>12.34</v>
      </c>
    </row>
    <row r="1769" spans="1:25" ht="60.75" x14ac:dyDescent="0.25">
      <c r="A1769" s="3" t="s">
        <v>26</v>
      </c>
      <c r="B1769" s="3" t="s">
        <v>27</v>
      </c>
      <c r="C1769" s="3" t="s">
        <v>28</v>
      </c>
      <c r="D1769" s="3" t="s">
        <v>29</v>
      </c>
      <c r="E1769" s="3" t="s">
        <v>72</v>
      </c>
      <c r="F1769" s="3" t="s">
        <v>31</v>
      </c>
      <c r="G1769" s="3" t="s">
        <v>72</v>
      </c>
      <c r="H1769" s="3" t="s">
        <v>45</v>
      </c>
      <c r="I1769" s="3">
        <v>2025</v>
      </c>
      <c r="J1769" s="3" t="str">
        <f>CONCATENATE("54820068325")</f>
        <v>54820068325</v>
      </c>
      <c r="K1769" s="3" t="s">
        <v>33</v>
      </c>
      <c r="L1769" s="3"/>
      <c r="M1769" s="3" t="s">
        <v>131</v>
      </c>
      <c r="N1769" s="3" t="str">
        <f>CONCATENATE("TRFPRZ62S45B352A")</f>
        <v>TRFPRZ62S45B352A</v>
      </c>
      <c r="O1769" s="3" t="s">
        <v>1899</v>
      </c>
      <c r="P1769" s="3" t="s">
        <v>36</v>
      </c>
      <c r="Q1769" s="3"/>
      <c r="R1769" s="4">
        <v>45996</v>
      </c>
      <c r="S1769" s="3" t="s">
        <v>37</v>
      </c>
      <c r="T1769" s="3" t="s">
        <v>38</v>
      </c>
      <c r="U1769" s="3" t="s">
        <v>39</v>
      </c>
      <c r="V1769" s="3">
        <v>223.94</v>
      </c>
      <c r="W1769" s="3">
        <v>95.17</v>
      </c>
      <c r="X1769" s="3">
        <v>90.14</v>
      </c>
      <c r="Y1769" s="3">
        <v>38.630000000000003</v>
      </c>
    </row>
    <row r="1770" spans="1:25" ht="60.75" x14ac:dyDescent="0.25">
      <c r="A1770" s="3" t="s">
        <v>26</v>
      </c>
      <c r="B1770" s="3" t="s">
        <v>27</v>
      </c>
      <c r="C1770" s="3" t="s">
        <v>28</v>
      </c>
      <c r="D1770" s="3" t="s">
        <v>29</v>
      </c>
      <c r="E1770" s="3" t="s">
        <v>136</v>
      </c>
      <c r="F1770" s="3" t="s">
        <v>31</v>
      </c>
      <c r="G1770" s="3" t="s">
        <v>136</v>
      </c>
      <c r="H1770" s="3" t="s">
        <v>48</v>
      </c>
      <c r="I1770" s="3">
        <v>2025</v>
      </c>
      <c r="J1770" s="3" t="str">
        <f>CONCATENATE("54820146741")</f>
        <v>54820146741</v>
      </c>
      <c r="K1770" s="3" t="s">
        <v>33</v>
      </c>
      <c r="L1770" s="3"/>
      <c r="M1770" s="3" t="s">
        <v>131</v>
      </c>
      <c r="N1770" s="3" t="str">
        <f>CONCATENATE("PRCGPP52A22I461R")</f>
        <v>PRCGPP52A22I461R</v>
      </c>
      <c r="O1770" s="3" t="s">
        <v>1900</v>
      </c>
      <c r="P1770" s="3" t="s">
        <v>36</v>
      </c>
      <c r="Q1770" s="3"/>
      <c r="R1770" s="4">
        <v>45996</v>
      </c>
      <c r="S1770" s="3" t="s">
        <v>37</v>
      </c>
      <c r="T1770" s="3" t="s">
        <v>38</v>
      </c>
      <c r="U1770" s="3" t="s">
        <v>39</v>
      </c>
      <c r="V1770" s="3">
        <v>218.62</v>
      </c>
      <c r="W1770" s="3">
        <v>92.91</v>
      </c>
      <c r="X1770" s="3">
        <v>87.99</v>
      </c>
      <c r="Y1770" s="3">
        <v>37.72</v>
      </c>
    </row>
    <row r="1771" spans="1:25" ht="72.75" x14ac:dyDescent="0.25">
      <c r="A1771" s="3" t="s">
        <v>26</v>
      </c>
      <c r="B1771" s="3" t="s">
        <v>27</v>
      </c>
      <c r="C1771" s="3" t="s">
        <v>28</v>
      </c>
      <c r="D1771" s="3" t="s">
        <v>29</v>
      </c>
      <c r="E1771" s="3" t="s">
        <v>136</v>
      </c>
      <c r="F1771" s="3" t="s">
        <v>31</v>
      </c>
      <c r="G1771" s="3" t="s">
        <v>136</v>
      </c>
      <c r="H1771" s="3" t="s">
        <v>48</v>
      </c>
      <c r="I1771" s="3">
        <v>2025</v>
      </c>
      <c r="J1771" s="3" t="str">
        <f>CONCATENATE("54820096417")</f>
        <v>54820096417</v>
      </c>
      <c r="K1771" s="3" t="s">
        <v>33</v>
      </c>
      <c r="L1771" s="3"/>
      <c r="M1771" s="3" t="s">
        <v>131</v>
      </c>
      <c r="N1771" s="3" t="str">
        <f>CONCATENATE("CHVRMN51P12I461M")</f>
        <v>CHVRMN51P12I461M</v>
      </c>
      <c r="O1771" s="3" t="s">
        <v>1901</v>
      </c>
      <c r="P1771" s="3" t="s">
        <v>36</v>
      </c>
      <c r="Q1771" s="3"/>
      <c r="R1771" s="4">
        <v>45996</v>
      </c>
      <c r="S1771" s="3" t="s">
        <v>37</v>
      </c>
      <c r="T1771" s="3" t="s">
        <v>38</v>
      </c>
      <c r="U1771" s="3" t="s">
        <v>39</v>
      </c>
      <c r="V1771" s="3">
        <v>283.62</v>
      </c>
      <c r="W1771" s="3">
        <v>120.54</v>
      </c>
      <c r="X1771" s="3">
        <v>114.16</v>
      </c>
      <c r="Y1771" s="3">
        <v>48.92</v>
      </c>
    </row>
    <row r="1772" spans="1:25" ht="36.75" x14ac:dyDescent="0.25">
      <c r="A1772" s="3" t="s">
        <v>26</v>
      </c>
      <c r="B1772" s="3" t="s">
        <v>27</v>
      </c>
      <c r="C1772" s="3" t="s">
        <v>28</v>
      </c>
      <c r="D1772" s="3" t="s">
        <v>40</v>
      </c>
      <c r="E1772" s="3" t="s">
        <v>287</v>
      </c>
      <c r="F1772" s="3" t="s">
        <v>42</v>
      </c>
      <c r="G1772" s="3" t="s">
        <v>287</v>
      </c>
      <c r="H1772" s="3" t="s">
        <v>32</v>
      </c>
      <c r="I1772" s="3">
        <v>2025</v>
      </c>
      <c r="J1772" s="3" t="str">
        <f>CONCATENATE("54820055397")</f>
        <v>54820055397</v>
      </c>
      <c r="K1772" s="3" t="s">
        <v>33</v>
      </c>
      <c r="L1772" s="3"/>
      <c r="M1772" s="3" t="s">
        <v>131</v>
      </c>
      <c r="N1772" s="3" t="str">
        <f>CONCATENATE("01976420438")</f>
        <v>01976420438</v>
      </c>
      <c r="O1772" s="3" t="s">
        <v>1902</v>
      </c>
      <c r="P1772" s="3" t="s">
        <v>36</v>
      </c>
      <c r="Q1772" s="3"/>
      <c r="R1772" s="4">
        <v>45996</v>
      </c>
      <c r="S1772" s="3" t="s">
        <v>37</v>
      </c>
      <c r="T1772" s="3" t="s">
        <v>38</v>
      </c>
      <c r="U1772" s="3" t="s">
        <v>39</v>
      </c>
      <c r="V1772" s="5">
        <v>1265.6300000000001</v>
      </c>
      <c r="W1772" s="3">
        <v>537.89</v>
      </c>
      <c r="X1772" s="3">
        <v>509.42</v>
      </c>
      <c r="Y1772" s="3">
        <v>218.32</v>
      </c>
    </row>
    <row r="1773" spans="1:25" ht="60.75" x14ac:dyDescent="0.25">
      <c r="A1773" s="3" t="s">
        <v>26</v>
      </c>
      <c r="B1773" s="3" t="s">
        <v>27</v>
      </c>
      <c r="C1773" s="3" t="s">
        <v>28</v>
      </c>
      <c r="D1773" s="3" t="s">
        <v>29</v>
      </c>
      <c r="E1773" s="3" t="s">
        <v>47</v>
      </c>
      <c r="F1773" s="3" t="s">
        <v>31</v>
      </c>
      <c r="G1773" s="3" t="s">
        <v>47</v>
      </c>
      <c r="H1773" s="3" t="s">
        <v>48</v>
      </c>
      <c r="I1773" s="3">
        <v>2025</v>
      </c>
      <c r="J1773" s="3" t="str">
        <f>CONCATENATE("54820049168")</f>
        <v>54820049168</v>
      </c>
      <c r="K1773" s="3" t="s">
        <v>33</v>
      </c>
      <c r="L1773" s="3"/>
      <c r="M1773" s="3" t="s">
        <v>131</v>
      </c>
      <c r="N1773" s="3" t="str">
        <f>CONCATENATE("VCCSVN57D69D451Z")</f>
        <v>VCCSVN57D69D451Z</v>
      </c>
      <c r="O1773" s="3" t="s">
        <v>1903</v>
      </c>
      <c r="P1773" s="3" t="s">
        <v>36</v>
      </c>
      <c r="Q1773" s="3"/>
      <c r="R1773" s="4">
        <v>45996</v>
      </c>
      <c r="S1773" s="3" t="s">
        <v>37</v>
      </c>
      <c r="T1773" s="3" t="s">
        <v>38</v>
      </c>
      <c r="U1773" s="3" t="s">
        <v>39</v>
      </c>
      <c r="V1773" s="3">
        <v>61.36</v>
      </c>
      <c r="W1773" s="3">
        <v>26.08</v>
      </c>
      <c r="X1773" s="3">
        <v>24.7</v>
      </c>
      <c r="Y1773" s="3">
        <v>10.58</v>
      </c>
    </row>
    <row r="1774" spans="1:25" ht="36.75" x14ac:dyDescent="0.25">
      <c r="A1774" s="3" t="s">
        <v>26</v>
      </c>
      <c r="B1774" s="3" t="s">
        <v>27</v>
      </c>
      <c r="C1774" s="3" t="s">
        <v>28</v>
      </c>
      <c r="D1774" s="3" t="s">
        <v>40</v>
      </c>
      <c r="E1774" s="3" t="s">
        <v>41</v>
      </c>
      <c r="F1774" s="3" t="s">
        <v>42</v>
      </c>
      <c r="G1774" s="3" t="s">
        <v>41</v>
      </c>
      <c r="H1774" s="3" t="s">
        <v>32</v>
      </c>
      <c r="I1774" s="3">
        <v>2025</v>
      </c>
      <c r="J1774" s="3" t="str">
        <f>CONCATENATE("54820113410")</f>
        <v>54820113410</v>
      </c>
      <c r="K1774" s="3" t="s">
        <v>33</v>
      </c>
      <c r="L1774" s="3"/>
      <c r="M1774" s="3" t="s">
        <v>131</v>
      </c>
      <c r="N1774" s="3" t="str">
        <f>CONCATENATE("00275150431")</f>
        <v>00275150431</v>
      </c>
      <c r="O1774" s="3" t="s">
        <v>1904</v>
      </c>
      <c r="P1774" s="3" t="s">
        <v>36</v>
      </c>
      <c r="Q1774" s="3"/>
      <c r="R1774" s="4">
        <v>45996</v>
      </c>
      <c r="S1774" s="3" t="s">
        <v>37</v>
      </c>
      <c r="T1774" s="3" t="s">
        <v>38</v>
      </c>
      <c r="U1774" s="3" t="s">
        <v>39</v>
      </c>
      <c r="V1774" s="3">
        <v>811.32</v>
      </c>
      <c r="W1774" s="3">
        <v>344.81</v>
      </c>
      <c r="X1774" s="3">
        <v>326.56</v>
      </c>
      <c r="Y1774" s="3">
        <v>139.94999999999999</v>
      </c>
    </row>
    <row r="1775" spans="1:25" ht="36.75" x14ac:dyDescent="0.25">
      <c r="A1775" s="3" t="s">
        <v>26</v>
      </c>
      <c r="B1775" s="3" t="s">
        <v>27</v>
      </c>
      <c r="C1775" s="3" t="s">
        <v>28</v>
      </c>
      <c r="D1775" s="3" t="s">
        <v>50</v>
      </c>
      <c r="E1775" s="3" t="s">
        <v>51</v>
      </c>
      <c r="F1775" s="3" t="s">
        <v>52</v>
      </c>
      <c r="G1775" s="3" t="s">
        <v>51</v>
      </c>
      <c r="H1775" s="3" t="s">
        <v>32</v>
      </c>
      <c r="I1775" s="3">
        <v>2025</v>
      </c>
      <c r="J1775" s="3" t="str">
        <f>CONCATENATE("54820153796")</f>
        <v>54820153796</v>
      </c>
      <c r="K1775" s="3" t="s">
        <v>33</v>
      </c>
      <c r="L1775" s="3"/>
      <c r="M1775" s="3" t="s">
        <v>131</v>
      </c>
      <c r="N1775" s="3" t="str">
        <f>CONCATENATE("02182330429")</f>
        <v>02182330429</v>
      </c>
      <c r="O1775" s="3" t="s">
        <v>1905</v>
      </c>
      <c r="P1775" s="3" t="s">
        <v>36</v>
      </c>
      <c r="Q1775" s="3"/>
      <c r="R1775" s="4">
        <v>45996</v>
      </c>
      <c r="S1775" s="3" t="s">
        <v>37</v>
      </c>
      <c r="T1775" s="3" t="s">
        <v>38</v>
      </c>
      <c r="U1775" s="3" t="s">
        <v>39</v>
      </c>
      <c r="V1775" s="3">
        <v>812.5</v>
      </c>
      <c r="W1775" s="3">
        <v>345.31</v>
      </c>
      <c r="X1775" s="3">
        <v>327.02999999999997</v>
      </c>
      <c r="Y1775" s="3">
        <v>140.16</v>
      </c>
    </row>
    <row r="1776" spans="1:25" ht="72.75" x14ac:dyDescent="0.25">
      <c r="A1776" s="3" t="s">
        <v>26</v>
      </c>
      <c r="B1776" s="3" t="s">
        <v>27</v>
      </c>
      <c r="C1776" s="3" t="s">
        <v>28</v>
      </c>
      <c r="D1776" s="3" t="s">
        <v>29</v>
      </c>
      <c r="E1776" s="3" t="s">
        <v>119</v>
      </c>
      <c r="F1776" s="3" t="s">
        <v>31</v>
      </c>
      <c r="G1776" s="3" t="s">
        <v>119</v>
      </c>
      <c r="H1776" s="3" t="s">
        <v>96</v>
      </c>
      <c r="I1776" s="3">
        <v>2025</v>
      </c>
      <c r="J1776" s="3" t="str">
        <f>CONCATENATE("54820074257")</f>
        <v>54820074257</v>
      </c>
      <c r="K1776" s="3" t="s">
        <v>33</v>
      </c>
      <c r="L1776" s="3"/>
      <c r="M1776" s="3" t="s">
        <v>131</v>
      </c>
      <c r="N1776" s="3" t="str">
        <f>CONCATENATE("BSSDTL64M68D691R")</f>
        <v>BSSDTL64M68D691R</v>
      </c>
      <c r="O1776" s="3" t="s">
        <v>1906</v>
      </c>
      <c r="P1776" s="3" t="s">
        <v>36</v>
      </c>
      <c r="Q1776" s="3"/>
      <c r="R1776" s="4">
        <v>45996</v>
      </c>
      <c r="S1776" s="3" t="s">
        <v>37</v>
      </c>
      <c r="T1776" s="3" t="s">
        <v>38</v>
      </c>
      <c r="U1776" s="3" t="s">
        <v>39</v>
      </c>
      <c r="V1776" s="3">
        <v>228.66</v>
      </c>
      <c r="W1776" s="3">
        <v>97.18</v>
      </c>
      <c r="X1776" s="3">
        <v>92.04</v>
      </c>
      <c r="Y1776" s="3">
        <v>39.44</v>
      </c>
    </row>
    <row r="1777" spans="1:25" ht="36.75" x14ac:dyDescent="0.25">
      <c r="A1777" s="3" t="s">
        <v>26</v>
      </c>
      <c r="B1777" s="3" t="s">
        <v>27</v>
      </c>
      <c r="C1777" s="3" t="s">
        <v>28</v>
      </c>
      <c r="D1777" s="3" t="s">
        <v>40</v>
      </c>
      <c r="E1777" s="3" t="s">
        <v>54</v>
      </c>
      <c r="F1777" s="3" t="s">
        <v>42</v>
      </c>
      <c r="G1777" s="3" t="s">
        <v>54</v>
      </c>
      <c r="H1777" s="3" t="s">
        <v>45</v>
      </c>
      <c r="I1777" s="3">
        <v>2025</v>
      </c>
      <c r="J1777" s="3" t="str">
        <f>CONCATENATE("54820139225")</f>
        <v>54820139225</v>
      </c>
      <c r="K1777" s="3" t="s">
        <v>33</v>
      </c>
      <c r="L1777" s="3"/>
      <c r="M1777" s="3" t="s">
        <v>131</v>
      </c>
      <c r="N1777" s="3" t="str">
        <f>CONCATENATE("02829340419")</f>
        <v>02829340419</v>
      </c>
      <c r="O1777" s="3" t="s">
        <v>1907</v>
      </c>
      <c r="P1777" s="3" t="s">
        <v>36</v>
      </c>
      <c r="Q1777" s="3"/>
      <c r="R1777" s="4">
        <v>45996</v>
      </c>
      <c r="S1777" s="3" t="s">
        <v>37</v>
      </c>
      <c r="T1777" s="3" t="s">
        <v>38</v>
      </c>
      <c r="U1777" s="3" t="s">
        <v>39</v>
      </c>
      <c r="V1777" s="3">
        <v>626.46</v>
      </c>
      <c r="W1777" s="3">
        <v>266.25</v>
      </c>
      <c r="X1777" s="3">
        <v>252.15</v>
      </c>
      <c r="Y1777" s="3">
        <v>108.06</v>
      </c>
    </row>
    <row r="1778" spans="1:25" ht="60.75" x14ac:dyDescent="0.25">
      <c r="A1778" s="3" t="s">
        <v>26</v>
      </c>
      <c r="B1778" s="3" t="s">
        <v>27</v>
      </c>
      <c r="C1778" s="3" t="s">
        <v>28</v>
      </c>
      <c r="D1778" s="3" t="s">
        <v>91</v>
      </c>
      <c r="E1778" s="3" t="s">
        <v>95</v>
      </c>
      <c r="F1778" s="3" t="s">
        <v>93</v>
      </c>
      <c r="G1778" s="3" t="s">
        <v>95</v>
      </c>
      <c r="H1778" s="3" t="s">
        <v>96</v>
      </c>
      <c r="I1778" s="3">
        <v>2025</v>
      </c>
      <c r="J1778" s="3" t="str">
        <f>CONCATENATE("54820106323")</f>
        <v>54820106323</v>
      </c>
      <c r="K1778" s="3" t="s">
        <v>33</v>
      </c>
      <c r="L1778" s="3"/>
      <c r="M1778" s="3" t="s">
        <v>131</v>
      </c>
      <c r="N1778" s="3" t="str">
        <f>CONCATENATE("LNRVTI55B07F570Z")</f>
        <v>LNRVTI55B07F570Z</v>
      </c>
      <c r="O1778" s="3" t="s">
        <v>1908</v>
      </c>
      <c r="P1778" s="3" t="s">
        <v>36</v>
      </c>
      <c r="Q1778" s="3"/>
      <c r="R1778" s="4">
        <v>45996</v>
      </c>
      <c r="S1778" s="3" t="s">
        <v>37</v>
      </c>
      <c r="T1778" s="3" t="s">
        <v>38</v>
      </c>
      <c r="U1778" s="3" t="s">
        <v>39</v>
      </c>
      <c r="V1778" s="3">
        <v>446.33</v>
      </c>
      <c r="W1778" s="3">
        <v>189.69</v>
      </c>
      <c r="X1778" s="3">
        <v>179.65</v>
      </c>
      <c r="Y1778" s="3">
        <v>76.989999999999995</v>
      </c>
    </row>
    <row r="1779" spans="1:25" ht="60.75" x14ac:dyDescent="0.25">
      <c r="A1779" s="3" t="s">
        <v>26</v>
      </c>
      <c r="B1779" s="3" t="s">
        <v>27</v>
      </c>
      <c r="C1779" s="3" t="s">
        <v>28</v>
      </c>
      <c r="D1779" s="3" t="s">
        <v>29</v>
      </c>
      <c r="E1779" s="3" t="s">
        <v>72</v>
      </c>
      <c r="F1779" s="3" t="s">
        <v>31</v>
      </c>
      <c r="G1779" s="3" t="s">
        <v>72</v>
      </c>
      <c r="H1779" s="3" t="s">
        <v>45</v>
      </c>
      <c r="I1779" s="3">
        <v>2025</v>
      </c>
      <c r="J1779" s="3" t="str">
        <f>CONCATENATE("54820043013")</f>
        <v>54820043013</v>
      </c>
      <c r="K1779" s="3" t="s">
        <v>33</v>
      </c>
      <c r="L1779" s="3"/>
      <c r="M1779" s="3" t="s">
        <v>131</v>
      </c>
      <c r="N1779" s="3" t="str">
        <f>CONCATENATE("RBNSMN77H20B352K")</f>
        <v>RBNSMN77H20B352K</v>
      </c>
      <c r="O1779" s="3" t="s">
        <v>1909</v>
      </c>
      <c r="P1779" s="3" t="s">
        <v>36</v>
      </c>
      <c r="Q1779" s="3"/>
      <c r="R1779" s="4">
        <v>45996</v>
      </c>
      <c r="S1779" s="3" t="s">
        <v>37</v>
      </c>
      <c r="T1779" s="3" t="s">
        <v>38</v>
      </c>
      <c r="U1779" s="3" t="s">
        <v>39</v>
      </c>
      <c r="V1779" s="3">
        <v>88.59</v>
      </c>
      <c r="W1779" s="3">
        <v>37.65</v>
      </c>
      <c r="X1779" s="3">
        <v>35.659999999999997</v>
      </c>
      <c r="Y1779" s="3">
        <v>15.28</v>
      </c>
    </row>
    <row r="1780" spans="1:25" ht="36.75" x14ac:dyDescent="0.25">
      <c r="A1780" s="3" t="s">
        <v>26</v>
      </c>
      <c r="B1780" s="3" t="s">
        <v>27</v>
      </c>
      <c r="C1780" s="3" t="s">
        <v>28</v>
      </c>
      <c r="D1780" s="3" t="s">
        <v>91</v>
      </c>
      <c r="E1780" s="3" t="s">
        <v>522</v>
      </c>
      <c r="F1780" s="3" t="s">
        <v>93</v>
      </c>
      <c r="G1780" s="3" t="s">
        <v>522</v>
      </c>
      <c r="H1780" s="3" t="s">
        <v>32</v>
      </c>
      <c r="I1780" s="3">
        <v>2025</v>
      </c>
      <c r="J1780" s="3" t="str">
        <f>CONCATENATE("54820105382")</f>
        <v>54820105382</v>
      </c>
      <c r="K1780" s="3" t="s">
        <v>33</v>
      </c>
      <c r="L1780" s="3"/>
      <c r="M1780" s="3" t="s">
        <v>131</v>
      </c>
      <c r="N1780" s="3" t="str">
        <f>CONCATENATE("01652320431")</f>
        <v>01652320431</v>
      </c>
      <c r="O1780" s="3" t="s">
        <v>1910</v>
      </c>
      <c r="P1780" s="3" t="s">
        <v>36</v>
      </c>
      <c r="Q1780" s="3"/>
      <c r="R1780" s="4">
        <v>45996</v>
      </c>
      <c r="S1780" s="3" t="s">
        <v>37</v>
      </c>
      <c r="T1780" s="3" t="s">
        <v>38</v>
      </c>
      <c r="U1780" s="3" t="s">
        <v>39</v>
      </c>
      <c r="V1780" s="3">
        <v>133.44</v>
      </c>
      <c r="W1780" s="3">
        <v>56.71</v>
      </c>
      <c r="X1780" s="3">
        <v>53.71</v>
      </c>
      <c r="Y1780" s="3">
        <v>23.02</v>
      </c>
    </row>
    <row r="1781" spans="1:25" ht="60.75" x14ac:dyDescent="0.25">
      <c r="A1781" s="3" t="s">
        <v>26</v>
      </c>
      <c r="B1781" s="3" t="s">
        <v>27</v>
      </c>
      <c r="C1781" s="3" t="s">
        <v>28</v>
      </c>
      <c r="D1781" s="3" t="s">
        <v>50</v>
      </c>
      <c r="E1781" s="3" t="s">
        <v>1121</v>
      </c>
      <c r="F1781" s="3" t="s">
        <v>52</v>
      </c>
      <c r="G1781" s="3" t="s">
        <v>1121</v>
      </c>
      <c r="H1781" s="3" t="s">
        <v>48</v>
      </c>
      <c r="I1781" s="3">
        <v>2025</v>
      </c>
      <c r="J1781" s="3" t="str">
        <f>CONCATENATE("54820114871")</f>
        <v>54820114871</v>
      </c>
      <c r="K1781" s="3" t="s">
        <v>33</v>
      </c>
      <c r="L1781" s="3"/>
      <c r="M1781" s="3" t="s">
        <v>131</v>
      </c>
      <c r="N1781" s="3" t="str">
        <f>CONCATENATE("PNSDNL48H50H501S")</f>
        <v>PNSDNL48H50H501S</v>
      </c>
      <c r="O1781" s="3" t="s">
        <v>1911</v>
      </c>
      <c r="P1781" s="3" t="s">
        <v>36</v>
      </c>
      <c r="Q1781" s="3"/>
      <c r="R1781" s="4">
        <v>45996</v>
      </c>
      <c r="S1781" s="3" t="s">
        <v>37</v>
      </c>
      <c r="T1781" s="3" t="s">
        <v>38</v>
      </c>
      <c r="U1781" s="3" t="s">
        <v>39</v>
      </c>
      <c r="V1781" s="3">
        <v>815.83</v>
      </c>
      <c r="W1781" s="3">
        <v>346.73</v>
      </c>
      <c r="X1781" s="3">
        <v>328.37</v>
      </c>
      <c r="Y1781" s="3">
        <v>140.72999999999999</v>
      </c>
    </row>
    <row r="1782" spans="1:25" ht="60.75" x14ac:dyDescent="0.25">
      <c r="A1782" s="3" t="s">
        <v>26</v>
      </c>
      <c r="B1782" s="3" t="s">
        <v>27</v>
      </c>
      <c r="C1782" s="3" t="s">
        <v>28</v>
      </c>
      <c r="D1782" s="3" t="s">
        <v>50</v>
      </c>
      <c r="E1782" s="3" t="s">
        <v>60</v>
      </c>
      <c r="F1782" s="3" t="s">
        <v>52</v>
      </c>
      <c r="G1782" s="3" t="s">
        <v>60</v>
      </c>
      <c r="H1782" s="3" t="s">
        <v>45</v>
      </c>
      <c r="I1782" s="3">
        <v>2025</v>
      </c>
      <c r="J1782" s="3" t="str">
        <f>CONCATENATE("54820082961")</f>
        <v>54820082961</v>
      </c>
      <c r="K1782" s="3" t="s">
        <v>33</v>
      </c>
      <c r="L1782" s="3"/>
      <c r="M1782" s="3" t="s">
        <v>131</v>
      </c>
      <c r="N1782" s="3" t="str">
        <f>CONCATENATE("GLLGZN49A26I654P")</f>
        <v>GLLGZN49A26I654P</v>
      </c>
      <c r="O1782" s="3" t="s">
        <v>1912</v>
      </c>
      <c r="P1782" s="3" t="s">
        <v>36</v>
      </c>
      <c r="Q1782" s="3"/>
      <c r="R1782" s="4">
        <v>45996</v>
      </c>
      <c r="S1782" s="3" t="s">
        <v>37</v>
      </c>
      <c r="T1782" s="3" t="s">
        <v>38</v>
      </c>
      <c r="U1782" s="3" t="s">
        <v>39</v>
      </c>
      <c r="V1782" s="3">
        <v>89.95</v>
      </c>
      <c r="W1782" s="3">
        <v>38.229999999999997</v>
      </c>
      <c r="X1782" s="3">
        <v>36.200000000000003</v>
      </c>
      <c r="Y1782" s="3">
        <v>15.52</v>
      </c>
    </row>
    <row r="1783" spans="1:25" ht="60.75" x14ac:dyDescent="0.25">
      <c r="A1783" s="3" t="s">
        <v>26</v>
      </c>
      <c r="B1783" s="3" t="s">
        <v>27</v>
      </c>
      <c r="C1783" s="3" t="s">
        <v>28</v>
      </c>
      <c r="D1783" s="3" t="s">
        <v>29</v>
      </c>
      <c r="E1783" s="3" t="s">
        <v>68</v>
      </c>
      <c r="F1783" s="3" t="s">
        <v>31</v>
      </c>
      <c r="G1783" s="3" t="s">
        <v>68</v>
      </c>
      <c r="H1783" s="3" t="s">
        <v>32</v>
      </c>
      <c r="I1783" s="3">
        <v>2025</v>
      </c>
      <c r="J1783" s="3" t="str">
        <f>CONCATENATE("54820135934")</f>
        <v>54820135934</v>
      </c>
      <c r="K1783" s="3" t="s">
        <v>33</v>
      </c>
      <c r="L1783" s="3"/>
      <c r="M1783" s="3" t="s">
        <v>131</v>
      </c>
      <c r="N1783" s="3" t="str">
        <f>CONCATENATE("MCHLBA64B67H876I")</f>
        <v>MCHLBA64B67H876I</v>
      </c>
      <c r="O1783" s="3" t="s">
        <v>1913</v>
      </c>
      <c r="P1783" s="3" t="s">
        <v>36</v>
      </c>
      <c r="Q1783" s="3"/>
      <c r="R1783" s="4">
        <v>45996</v>
      </c>
      <c r="S1783" s="3" t="s">
        <v>37</v>
      </c>
      <c r="T1783" s="3" t="s">
        <v>38</v>
      </c>
      <c r="U1783" s="3" t="s">
        <v>39</v>
      </c>
      <c r="V1783" s="3">
        <v>229.08</v>
      </c>
      <c r="W1783" s="3">
        <v>97.36</v>
      </c>
      <c r="X1783" s="3">
        <v>92.2</v>
      </c>
      <c r="Y1783" s="3">
        <v>39.520000000000003</v>
      </c>
    </row>
    <row r="1784" spans="1:25" ht="60.75" x14ac:dyDescent="0.25">
      <c r="A1784" s="3" t="s">
        <v>26</v>
      </c>
      <c r="B1784" s="3" t="s">
        <v>27</v>
      </c>
      <c r="C1784" s="3" t="s">
        <v>28</v>
      </c>
      <c r="D1784" s="3" t="s">
        <v>29</v>
      </c>
      <c r="E1784" s="3" t="s">
        <v>182</v>
      </c>
      <c r="F1784" s="3" t="s">
        <v>31</v>
      </c>
      <c r="G1784" s="3" t="s">
        <v>182</v>
      </c>
      <c r="H1784" s="3" t="s">
        <v>45</v>
      </c>
      <c r="I1784" s="3">
        <v>2025</v>
      </c>
      <c r="J1784" s="3" t="str">
        <f>CONCATENATE("54820068218")</f>
        <v>54820068218</v>
      </c>
      <c r="K1784" s="3" t="s">
        <v>33</v>
      </c>
      <c r="L1784" s="3"/>
      <c r="M1784" s="3" t="s">
        <v>131</v>
      </c>
      <c r="N1784" s="3" t="str">
        <f>CONCATENATE("DLTGPP33A25D541Y")</f>
        <v>DLTGPP33A25D541Y</v>
      </c>
      <c r="O1784" s="3" t="s">
        <v>1914</v>
      </c>
      <c r="P1784" s="3" t="s">
        <v>36</v>
      </c>
      <c r="Q1784" s="3"/>
      <c r="R1784" s="4">
        <v>45996</v>
      </c>
      <c r="S1784" s="3" t="s">
        <v>37</v>
      </c>
      <c r="T1784" s="3" t="s">
        <v>38</v>
      </c>
      <c r="U1784" s="3" t="s">
        <v>39</v>
      </c>
      <c r="V1784" s="3">
        <v>219.42</v>
      </c>
      <c r="W1784" s="3">
        <v>93.25</v>
      </c>
      <c r="X1784" s="3">
        <v>88.32</v>
      </c>
      <c r="Y1784" s="3">
        <v>37.85</v>
      </c>
    </row>
    <row r="1785" spans="1:25" ht="60.75" x14ac:dyDescent="0.25">
      <c r="A1785" s="3" t="s">
        <v>26</v>
      </c>
      <c r="B1785" s="3" t="s">
        <v>27</v>
      </c>
      <c r="C1785" s="3" t="s">
        <v>28</v>
      </c>
      <c r="D1785" s="3" t="s">
        <v>50</v>
      </c>
      <c r="E1785" s="3" t="s">
        <v>60</v>
      </c>
      <c r="F1785" s="3" t="s">
        <v>52</v>
      </c>
      <c r="G1785" s="3" t="s">
        <v>60</v>
      </c>
      <c r="H1785" s="3" t="s">
        <v>45</v>
      </c>
      <c r="I1785" s="3">
        <v>2025</v>
      </c>
      <c r="J1785" s="3" t="str">
        <f>CONCATENATE("54820126578")</f>
        <v>54820126578</v>
      </c>
      <c r="K1785" s="3" t="s">
        <v>33</v>
      </c>
      <c r="L1785" s="3"/>
      <c r="M1785" s="3" t="s">
        <v>131</v>
      </c>
      <c r="N1785" s="3" t="str">
        <f>CONCATENATE("MGAGPP43L18B352Z")</f>
        <v>MGAGPP43L18B352Z</v>
      </c>
      <c r="O1785" s="3" t="s">
        <v>1915</v>
      </c>
      <c r="P1785" s="3" t="s">
        <v>36</v>
      </c>
      <c r="Q1785" s="3"/>
      <c r="R1785" s="4">
        <v>45996</v>
      </c>
      <c r="S1785" s="3" t="s">
        <v>37</v>
      </c>
      <c r="T1785" s="3" t="s">
        <v>38</v>
      </c>
      <c r="U1785" s="3" t="s">
        <v>39</v>
      </c>
      <c r="V1785" s="3">
        <v>91.22</v>
      </c>
      <c r="W1785" s="3">
        <v>38.770000000000003</v>
      </c>
      <c r="X1785" s="3">
        <v>36.72</v>
      </c>
      <c r="Y1785" s="3">
        <v>15.73</v>
      </c>
    </row>
    <row r="1786" spans="1:25" ht="60.75" x14ac:dyDescent="0.25">
      <c r="A1786" s="3" t="s">
        <v>26</v>
      </c>
      <c r="B1786" s="3" t="s">
        <v>27</v>
      </c>
      <c r="C1786" s="3" t="s">
        <v>28</v>
      </c>
      <c r="D1786" s="3" t="s">
        <v>29</v>
      </c>
      <c r="E1786" s="3" t="s">
        <v>47</v>
      </c>
      <c r="F1786" s="3" t="s">
        <v>31</v>
      </c>
      <c r="G1786" s="3" t="s">
        <v>47</v>
      </c>
      <c r="H1786" s="3" t="s">
        <v>48</v>
      </c>
      <c r="I1786" s="3">
        <v>2025</v>
      </c>
      <c r="J1786" s="3" t="str">
        <f>CONCATENATE("54820151600")</f>
        <v>54820151600</v>
      </c>
      <c r="K1786" s="3" t="s">
        <v>33</v>
      </c>
      <c r="L1786" s="3"/>
      <c r="M1786" s="3" t="s">
        <v>131</v>
      </c>
      <c r="N1786" s="3" t="str">
        <f>CONCATENATE("PPRPLA58S20D451U")</f>
        <v>PPRPLA58S20D451U</v>
      </c>
      <c r="O1786" s="3" t="s">
        <v>1916</v>
      </c>
      <c r="P1786" s="3" t="s">
        <v>36</v>
      </c>
      <c r="Q1786" s="3"/>
      <c r="R1786" s="4">
        <v>45996</v>
      </c>
      <c r="S1786" s="3" t="s">
        <v>37</v>
      </c>
      <c r="T1786" s="3" t="s">
        <v>38</v>
      </c>
      <c r="U1786" s="3" t="s">
        <v>39</v>
      </c>
      <c r="V1786" s="3">
        <v>177.06</v>
      </c>
      <c r="W1786" s="3">
        <v>75.25</v>
      </c>
      <c r="X1786" s="3">
        <v>71.27</v>
      </c>
      <c r="Y1786" s="3">
        <v>30.54</v>
      </c>
    </row>
    <row r="1787" spans="1:25" ht="60.75" x14ac:dyDescent="0.25">
      <c r="A1787" s="3" t="s">
        <v>26</v>
      </c>
      <c r="B1787" s="3" t="s">
        <v>27</v>
      </c>
      <c r="C1787" s="3" t="s">
        <v>28</v>
      </c>
      <c r="D1787" s="3" t="s">
        <v>104</v>
      </c>
      <c r="E1787" s="3" t="s">
        <v>141</v>
      </c>
      <c r="F1787" s="3" t="s">
        <v>104</v>
      </c>
      <c r="G1787" s="3" t="s">
        <v>141</v>
      </c>
      <c r="H1787" s="3" t="s">
        <v>96</v>
      </c>
      <c r="I1787" s="3">
        <v>2025</v>
      </c>
      <c r="J1787" s="3" t="str">
        <f>CONCATENATE("54820135173")</f>
        <v>54820135173</v>
      </c>
      <c r="K1787" s="3" t="s">
        <v>33</v>
      </c>
      <c r="L1787" s="3"/>
      <c r="M1787" s="3" t="s">
        <v>131</v>
      </c>
      <c r="N1787" s="3" t="str">
        <f>CONCATENATE("ZRLLNE71L65H769P")</f>
        <v>ZRLLNE71L65H769P</v>
      </c>
      <c r="O1787" s="3" t="s">
        <v>1917</v>
      </c>
      <c r="P1787" s="3" t="s">
        <v>36</v>
      </c>
      <c r="Q1787" s="3"/>
      <c r="R1787" s="4">
        <v>45996</v>
      </c>
      <c r="S1787" s="3" t="s">
        <v>37</v>
      </c>
      <c r="T1787" s="3" t="s">
        <v>38</v>
      </c>
      <c r="U1787" s="3" t="s">
        <v>39</v>
      </c>
      <c r="V1787" s="3">
        <v>109.57</v>
      </c>
      <c r="W1787" s="3">
        <v>46.57</v>
      </c>
      <c r="X1787" s="3">
        <v>44.1</v>
      </c>
      <c r="Y1787" s="3">
        <v>18.899999999999999</v>
      </c>
    </row>
    <row r="1788" spans="1:25" ht="60.75" x14ac:dyDescent="0.25">
      <c r="A1788" s="3" t="s">
        <v>26</v>
      </c>
      <c r="B1788" s="3" t="s">
        <v>27</v>
      </c>
      <c r="C1788" s="3" t="s">
        <v>28</v>
      </c>
      <c r="D1788" s="3" t="s">
        <v>29</v>
      </c>
      <c r="E1788" s="3" t="s">
        <v>72</v>
      </c>
      <c r="F1788" s="3" t="s">
        <v>31</v>
      </c>
      <c r="G1788" s="3" t="s">
        <v>72</v>
      </c>
      <c r="H1788" s="3" t="s">
        <v>45</v>
      </c>
      <c r="I1788" s="3">
        <v>2025</v>
      </c>
      <c r="J1788" s="3" t="str">
        <f>CONCATENATE("54820147673")</f>
        <v>54820147673</v>
      </c>
      <c r="K1788" s="3" t="s">
        <v>33</v>
      </c>
      <c r="L1788" s="3"/>
      <c r="M1788" s="3" t="s">
        <v>131</v>
      </c>
      <c r="N1788" s="3" t="str">
        <f>CONCATENATE("CSVSST52S27B352Q")</f>
        <v>CSVSST52S27B352Q</v>
      </c>
      <c r="O1788" s="3" t="s">
        <v>1918</v>
      </c>
      <c r="P1788" s="3" t="s">
        <v>36</v>
      </c>
      <c r="Q1788" s="3"/>
      <c r="R1788" s="4">
        <v>45996</v>
      </c>
      <c r="S1788" s="3" t="s">
        <v>37</v>
      </c>
      <c r="T1788" s="3" t="s">
        <v>38</v>
      </c>
      <c r="U1788" s="3" t="s">
        <v>39</v>
      </c>
      <c r="V1788" s="3">
        <v>164.66</v>
      </c>
      <c r="W1788" s="3">
        <v>69.98</v>
      </c>
      <c r="X1788" s="3">
        <v>66.28</v>
      </c>
      <c r="Y1788" s="3">
        <v>28.4</v>
      </c>
    </row>
    <row r="1789" spans="1:25" ht="60.75" x14ac:dyDescent="0.25">
      <c r="A1789" s="3" t="s">
        <v>26</v>
      </c>
      <c r="B1789" s="3" t="s">
        <v>27</v>
      </c>
      <c r="C1789" s="3" t="s">
        <v>28</v>
      </c>
      <c r="D1789" s="3" t="s">
        <v>29</v>
      </c>
      <c r="E1789" s="3" t="s">
        <v>72</v>
      </c>
      <c r="F1789" s="3" t="s">
        <v>31</v>
      </c>
      <c r="G1789" s="3" t="s">
        <v>72</v>
      </c>
      <c r="H1789" s="3" t="s">
        <v>45</v>
      </c>
      <c r="I1789" s="3">
        <v>2025</v>
      </c>
      <c r="J1789" s="3" t="str">
        <f>CONCATENATE("54820115159")</f>
        <v>54820115159</v>
      </c>
      <c r="K1789" s="3" t="s">
        <v>33</v>
      </c>
      <c r="L1789" s="3"/>
      <c r="M1789" s="3" t="s">
        <v>131</v>
      </c>
      <c r="N1789" s="3" t="str">
        <f>CONCATENATE("BSLGPP38C08B352Z")</f>
        <v>BSLGPP38C08B352Z</v>
      </c>
      <c r="O1789" s="3" t="s">
        <v>1919</v>
      </c>
      <c r="P1789" s="3" t="s">
        <v>36</v>
      </c>
      <c r="Q1789" s="3"/>
      <c r="R1789" s="4">
        <v>45996</v>
      </c>
      <c r="S1789" s="3" t="s">
        <v>37</v>
      </c>
      <c r="T1789" s="3" t="s">
        <v>38</v>
      </c>
      <c r="U1789" s="3" t="s">
        <v>39</v>
      </c>
      <c r="V1789" s="3">
        <v>50.5</v>
      </c>
      <c r="W1789" s="3">
        <v>21.46</v>
      </c>
      <c r="X1789" s="3">
        <v>20.329999999999998</v>
      </c>
      <c r="Y1789" s="3">
        <v>8.7100000000000009</v>
      </c>
    </row>
    <row r="1790" spans="1:25" ht="60.75" x14ac:dyDescent="0.25">
      <c r="A1790" s="3" t="s">
        <v>26</v>
      </c>
      <c r="B1790" s="3" t="s">
        <v>27</v>
      </c>
      <c r="C1790" s="3" t="s">
        <v>28</v>
      </c>
      <c r="D1790" s="3" t="s">
        <v>104</v>
      </c>
      <c r="E1790" s="3" t="s">
        <v>141</v>
      </c>
      <c r="F1790" s="3" t="s">
        <v>104</v>
      </c>
      <c r="G1790" s="3" t="s">
        <v>141</v>
      </c>
      <c r="H1790" s="3" t="s">
        <v>96</v>
      </c>
      <c r="I1790" s="3">
        <v>2025</v>
      </c>
      <c r="J1790" s="3" t="str">
        <f>CONCATENATE("54820137138")</f>
        <v>54820137138</v>
      </c>
      <c r="K1790" s="3" t="s">
        <v>33</v>
      </c>
      <c r="L1790" s="3"/>
      <c r="M1790" s="3" t="s">
        <v>131</v>
      </c>
      <c r="N1790" s="3" t="str">
        <f>CONCATENATE("CPNMTN93C45A252K")</f>
        <v>CPNMTN93C45A252K</v>
      </c>
      <c r="O1790" s="3" t="s">
        <v>1920</v>
      </c>
      <c r="P1790" s="3" t="s">
        <v>36</v>
      </c>
      <c r="Q1790" s="3"/>
      <c r="R1790" s="4">
        <v>45996</v>
      </c>
      <c r="S1790" s="3" t="s">
        <v>37</v>
      </c>
      <c r="T1790" s="3" t="s">
        <v>38</v>
      </c>
      <c r="U1790" s="3" t="s">
        <v>39</v>
      </c>
      <c r="V1790" s="3">
        <v>96.9</v>
      </c>
      <c r="W1790" s="3">
        <v>41.18</v>
      </c>
      <c r="X1790" s="3">
        <v>39</v>
      </c>
      <c r="Y1790" s="3">
        <v>16.72</v>
      </c>
    </row>
    <row r="1791" spans="1:25" ht="60.75" x14ac:dyDescent="0.25">
      <c r="A1791" s="3" t="s">
        <v>26</v>
      </c>
      <c r="B1791" s="3" t="s">
        <v>27</v>
      </c>
      <c r="C1791" s="3" t="s">
        <v>28</v>
      </c>
      <c r="D1791" s="3" t="s">
        <v>29</v>
      </c>
      <c r="E1791" s="3" t="s">
        <v>80</v>
      </c>
      <c r="F1791" s="3" t="s">
        <v>31</v>
      </c>
      <c r="G1791" s="3" t="s">
        <v>80</v>
      </c>
      <c r="H1791" s="3" t="s">
        <v>45</v>
      </c>
      <c r="I1791" s="3">
        <v>2025</v>
      </c>
      <c r="J1791" s="3" t="str">
        <f>CONCATENATE("54820135033")</f>
        <v>54820135033</v>
      </c>
      <c r="K1791" s="3" t="s">
        <v>33</v>
      </c>
      <c r="L1791" s="3"/>
      <c r="M1791" s="3" t="s">
        <v>131</v>
      </c>
      <c r="N1791" s="3" t="str">
        <f>CONCATENATE("CVLDNL80H50L500B")</f>
        <v>CVLDNL80H50L500B</v>
      </c>
      <c r="O1791" s="3" t="s">
        <v>1921</v>
      </c>
      <c r="P1791" s="3" t="s">
        <v>36</v>
      </c>
      <c r="Q1791" s="3"/>
      <c r="R1791" s="4">
        <v>45996</v>
      </c>
      <c r="S1791" s="3" t="s">
        <v>37</v>
      </c>
      <c r="T1791" s="3" t="s">
        <v>38</v>
      </c>
      <c r="U1791" s="3" t="s">
        <v>39</v>
      </c>
      <c r="V1791" s="3">
        <v>140.38</v>
      </c>
      <c r="W1791" s="3">
        <v>59.66</v>
      </c>
      <c r="X1791" s="3">
        <v>56.5</v>
      </c>
      <c r="Y1791" s="3">
        <v>24.22</v>
      </c>
    </row>
    <row r="1792" spans="1:25" ht="36.75" x14ac:dyDescent="0.25">
      <c r="A1792" s="3" t="s">
        <v>26</v>
      </c>
      <c r="B1792" s="3" t="s">
        <v>27</v>
      </c>
      <c r="C1792" s="3" t="s">
        <v>28</v>
      </c>
      <c r="D1792" s="3" t="s">
        <v>683</v>
      </c>
      <c r="E1792" s="3" t="s">
        <v>684</v>
      </c>
      <c r="F1792" s="3" t="s">
        <v>685</v>
      </c>
      <c r="G1792" s="3" t="s">
        <v>684</v>
      </c>
      <c r="H1792" s="3" t="s">
        <v>45</v>
      </c>
      <c r="I1792" s="3">
        <v>2025</v>
      </c>
      <c r="J1792" s="3" t="str">
        <f>CONCATENATE("54820116231")</f>
        <v>54820116231</v>
      </c>
      <c r="K1792" s="3" t="s">
        <v>33</v>
      </c>
      <c r="L1792" s="3"/>
      <c r="M1792" s="3" t="s">
        <v>131</v>
      </c>
      <c r="N1792" s="3" t="str">
        <f>CONCATENATE("02344250515")</f>
        <v>02344250515</v>
      </c>
      <c r="O1792" s="3" t="s">
        <v>1922</v>
      </c>
      <c r="P1792" s="3" t="s">
        <v>36</v>
      </c>
      <c r="Q1792" s="3"/>
      <c r="R1792" s="4">
        <v>45996</v>
      </c>
      <c r="S1792" s="3" t="s">
        <v>37</v>
      </c>
      <c r="T1792" s="3" t="s">
        <v>38</v>
      </c>
      <c r="U1792" s="3" t="s">
        <v>39</v>
      </c>
      <c r="V1792" s="3">
        <v>529.04</v>
      </c>
      <c r="W1792" s="3">
        <v>224.84</v>
      </c>
      <c r="X1792" s="3">
        <v>212.94</v>
      </c>
      <c r="Y1792" s="3">
        <v>91.26</v>
      </c>
    </row>
    <row r="1793" spans="1:25" ht="60.75" x14ac:dyDescent="0.25">
      <c r="A1793" s="3" t="s">
        <v>26</v>
      </c>
      <c r="B1793" s="3" t="s">
        <v>27</v>
      </c>
      <c r="C1793" s="3" t="s">
        <v>28</v>
      </c>
      <c r="D1793" s="3" t="s">
        <v>50</v>
      </c>
      <c r="E1793" s="3" t="s">
        <v>60</v>
      </c>
      <c r="F1793" s="3" t="s">
        <v>52</v>
      </c>
      <c r="G1793" s="3" t="s">
        <v>60</v>
      </c>
      <c r="H1793" s="3" t="s">
        <v>45</v>
      </c>
      <c r="I1793" s="3">
        <v>2025</v>
      </c>
      <c r="J1793" s="3" t="str">
        <f>CONCATENATE("54820114228")</f>
        <v>54820114228</v>
      </c>
      <c r="K1793" s="3" t="s">
        <v>33</v>
      </c>
      <c r="L1793" s="3"/>
      <c r="M1793" s="3" t="s">
        <v>131</v>
      </c>
      <c r="N1793" s="3" t="str">
        <f>CONCATENATE("NIOCLD61D56B352F")</f>
        <v>NIOCLD61D56B352F</v>
      </c>
      <c r="O1793" s="3" t="s">
        <v>1923</v>
      </c>
      <c r="P1793" s="3" t="s">
        <v>36</v>
      </c>
      <c r="Q1793" s="3"/>
      <c r="R1793" s="4">
        <v>45996</v>
      </c>
      <c r="S1793" s="3" t="s">
        <v>37</v>
      </c>
      <c r="T1793" s="3" t="s">
        <v>38</v>
      </c>
      <c r="U1793" s="3" t="s">
        <v>39</v>
      </c>
      <c r="V1793" s="3">
        <v>73.09</v>
      </c>
      <c r="W1793" s="3">
        <v>31.06</v>
      </c>
      <c r="X1793" s="3">
        <v>29.42</v>
      </c>
      <c r="Y1793" s="3">
        <v>12.61</v>
      </c>
    </row>
    <row r="1794" spans="1:25" ht="60.75" x14ac:dyDescent="0.25">
      <c r="A1794" s="3" t="s">
        <v>26</v>
      </c>
      <c r="B1794" s="3" t="s">
        <v>27</v>
      </c>
      <c r="C1794" s="3" t="s">
        <v>28</v>
      </c>
      <c r="D1794" s="3" t="s">
        <v>104</v>
      </c>
      <c r="E1794" s="3" t="s">
        <v>141</v>
      </c>
      <c r="F1794" s="3" t="s">
        <v>104</v>
      </c>
      <c r="G1794" s="3" t="s">
        <v>141</v>
      </c>
      <c r="H1794" s="3" t="s">
        <v>96</v>
      </c>
      <c r="I1794" s="3">
        <v>2025</v>
      </c>
      <c r="J1794" s="3" t="str">
        <f>CONCATENATE("54820144795")</f>
        <v>54820144795</v>
      </c>
      <c r="K1794" s="3" t="s">
        <v>33</v>
      </c>
      <c r="L1794" s="3"/>
      <c r="M1794" s="3" t="s">
        <v>131</v>
      </c>
      <c r="N1794" s="3" t="str">
        <f>CONCATENATE("PLOFNC76P63A462H")</f>
        <v>PLOFNC76P63A462H</v>
      </c>
      <c r="O1794" s="3" t="s">
        <v>1924</v>
      </c>
      <c r="P1794" s="3" t="s">
        <v>36</v>
      </c>
      <c r="Q1794" s="3"/>
      <c r="R1794" s="4">
        <v>45996</v>
      </c>
      <c r="S1794" s="3" t="s">
        <v>37</v>
      </c>
      <c r="T1794" s="3" t="s">
        <v>38</v>
      </c>
      <c r="U1794" s="3" t="s">
        <v>39</v>
      </c>
      <c r="V1794" s="3">
        <v>351.85</v>
      </c>
      <c r="W1794" s="3">
        <v>149.54</v>
      </c>
      <c r="X1794" s="3">
        <v>141.62</v>
      </c>
      <c r="Y1794" s="3">
        <v>60.69</v>
      </c>
    </row>
    <row r="1795" spans="1:25" ht="60.75" x14ac:dyDescent="0.25">
      <c r="A1795" s="3" t="s">
        <v>26</v>
      </c>
      <c r="B1795" s="3" t="s">
        <v>27</v>
      </c>
      <c r="C1795" s="3" t="s">
        <v>28</v>
      </c>
      <c r="D1795" s="3" t="s">
        <v>104</v>
      </c>
      <c r="E1795" s="3" t="s">
        <v>141</v>
      </c>
      <c r="F1795" s="3" t="s">
        <v>104</v>
      </c>
      <c r="G1795" s="3" t="s">
        <v>141</v>
      </c>
      <c r="H1795" s="3" t="s">
        <v>96</v>
      </c>
      <c r="I1795" s="3">
        <v>2025</v>
      </c>
      <c r="J1795" s="3" t="str">
        <f>CONCATENATE("54820144829")</f>
        <v>54820144829</v>
      </c>
      <c r="K1795" s="3" t="s">
        <v>33</v>
      </c>
      <c r="L1795" s="3"/>
      <c r="M1795" s="3" t="s">
        <v>131</v>
      </c>
      <c r="N1795" s="3" t="str">
        <f>CONCATENATE("STTFLC43L14C935R")</f>
        <v>STTFLC43L14C935R</v>
      </c>
      <c r="O1795" s="3" t="s">
        <v>1925</v>
      </c>
      <c r="P1795" s="3" t="s">
        <v>36</v>
      </c>
      <c r="Q1795" s="3"/>
      <c r="R1795" s="4">
        <v>45996</v>
      </c>
      <c r="S1795" s="3" t="s">
        <v>37</v>
      </c>
      <c r="T1795" s="3" t="s">
        <v>38</v>
      </c>
      <c r="U1795" s="3" t="s">
        <v>39</v>
      </c>
      <c r="V1795" s="3">
        <v>176.67</v>
      </c>
      <c r="W1795" s="3">
        <v>75.08</v>
      </c>
      <c r="X1795" s="3">
        <v>71.11</v>
      </c>
      <c r="Y1795" s="3">
        <v>30.48</v>
      </c>
    </row>
    <row r="1796" spans="1:25" ht="60.75" x14ac:dyDescent="0.25">
      <c r="A1796" s="3" t="s">
        <v>26</v>
      </c>
      <c r="B1796" s="3" t="s">
        <v>27</v>
      </c>
      <c r="C1796" s="3" t="s">
        <v>28</v>
      </c>
      <c r="D1796" s="3" t="s">
        <v>104</v>
      </c>
      <c r="E1796" s="3" t="s">
        <v>141</v>
      </c>
      <c r="F1796" s="3" t="s">
        <v>104</v>
      </c>
      <c r="G1796" s="3" t="s">
        <v>141</v>
      </c>
      <c r="H1796" s="3" t="s">
        <v>96</v>
      </c>
      <c r="I1796" s="3">
        <v>2025</v>
      </c>
      <c r="J1796" s="3" t="str">
        <f>CONCATENATE("54820144837")</f>
        <v>54820144837</v>
      </c>
      <c r="K1796" s="3" t="s">
        <v>33</v>
      </c>
      <c r="L1796" s="3"/>
      <c r="M1796" s="3" t="s">
        <v>131</v>
      </c>
      <c r="N1796" s="3" t="str">
        <f>CONCATENATE("SNTCLF40P62C935I")</f>
        <v>SNTCLF40P62C935I</v>
      </c>
      <c r="O1796" s="3" t="s">
        <v>1926</v>
      </c>
      <c r="P1796" s="3" t="s">
        <v>36</v>
      </c>
      <c r="Q1796" s="3"/>
      <c r="R1796" s="4">
        <v>45996</v>
      </c>
      <c r="S1796" s="3" t="s">
        <v>37</v>
      </c>
      <c r="T1796" s="3" t="s">
        <v>38</v>
      </c>
      <c r="U1796" s="3" t="s">
        <v>39</v>
      </c>
      <c r="V1796" s="3">
        <v>130.72</v>
      </c>
      <c r="W1796" s="3">
        <v>55.56</v>
      </c>
      <c r="X1796" s="3">
        <v>52.61</v>
      </c>
      <c r="Y1796" s="3">
        <v>22.55</v>
      </c>
    </row>
    <row r="1797" spans="1:25" ht="36.75" x14ac:dyDescent="0.25">
      <c r="A1797" s="3" t="s">
        <v>26</v>
      </c>
      <c r="B1797" s="3" t="s">
        <v>27</v>
      </c>
      <c r="C1797" s="3" t="s">
        <v>28</v>
      </c>
      <c r="D1797" s="3" t="s">
        <v>29</v>
      </c>
      <c r="E1797" s="3" t="s">
        <v>72</v>
      </c>
      <c r="F1797" s="3" t="s">
        <v>31</v>
      </c>
      <c r="G1797" s="3" t="s">
        <v>72</v>
      </c>
      <c r="H1797" s="3" t="s">
        <v>45</v>
      </c>
      <c r="I1797" s="3">
        <v>2025</v>
      </c>
      <c r="J1797" s="3" t="str">
        <f>CONCATENATE("54820174057")</f>
        <v>54820174057</v>
      </c>
      <c r="K1797" s="3" t="s">
        <v>33</v>
      </c>
      <c r="L1797" s="3"/>
      <c r="M1797" s="3" t="s">
        <v>131</v>
      </c>
      <c r="N1797" s="3" t="str">
        <f>CONCATENATE("01027580412")</f>
        <v>01027580412</v>
      </c>
      <c r="O1797" s="3" t="s">
        <v>1927</v>
      </c>
      <c r="P1797" s="3" t="s">
        <v>36</v>
      </c>
      <c r="Q1797" s="3"/>
      <c r="R1797" s="4">
        <v>45996</v>
      </c>
      <c r="S1797" s="3" t="s">
        <v>37</v>
      </c>
      <c r="T1797" s="3" t="s">
        <v>38</v>
      </c>
      <c r="U1797" s="3" t="s">
        <v>39</v>
      </c>
      <c r="V1797" s="3">
        <v>80.5</v>
      </c>
      <c r="W1797" s="3">
        <v>34.21</v>
      </c>
      <c r="X1797" s="3">
        <v>32.4</v>
      </c>
      <c r="Y1797" s="3">
        <v>13.89</v>
      </c>
    </row>
    <row r="1798" spans="1:25" ht="60.75" x14ac:dyDescent="0.25">
      <c r="A1798" s="3" t="s">
        <v>26</v>
      </c>
      <c r="B1798" s="3" t="s">
        <v>27</v>
      </c>
      <c r="C1798" s="3" t="s">
        <v>28</v>
      </c>
      <c r="D1798" s="3" t="s">
        <v>50</v>
      </c>
      <c r="E1798" s="3" t="s">
        <v>448</v>
      </c>
      <c r="F1798" s="3" t="s">
        <v>52</v>
      </c>
      <c r="G1798" s="3" t="s">
        <v>448</v>
      </c>
      <c r="H1798" s="3" t="s">
        <v>45</v>
      </c>
      <c r="I1798" s="3">
        <v>2025</v>
      </c>
      <c r="J1798" s="3" t="str">
        <f>CONCATENATE("54820173463")</f>
        <v>54820173463</v>
      </c>
      <c r="K1798" s="3" t="s">
        <v>33</v>
      </c>
      <c r="L1798" s="3"/>
      <c r="M1798" s="3" t="s">
        <v>131</v>
      </c>
      <c r="N1798" s="3" t="str">
        <f>CONCATENATE("SNTSLV72C46D488I")</f>
        <v>SNTSLV72C46D488I</v>
      </c>
      <c r="O1798" s="3" t="s">
        <v>1928</v>
      </c>
      <c r="P1798" s="3" t="s">
        <v>36</v>
      </c>
      <c r="Q1798" s="3"/>
      <c r="R1798" s="4">
        <v>45996</v>
      </c>
      <c r="S1798" s="3" t="s">
        <v>37</v>
      </c>
      <c r="T1798" s="3" t="s">
        <v>38</v>
      </c>
      <c r="U1798" s="3" t="s">
        <v>39</v>
      </c>
      <c r="V1798" s="3">
        <v>56.06</v>
      </c>
      <c r="W1798" s="3">
        <v>23.83</v>
      </c>
      <c r="X1798" s="3">
        <v>22.56</v>
      </c>
      <c r="Y1798" s="3">
        <v>9.67</v>
      </c>
    </row>
    <row r="1799" spans="1:25" ht="60.75" x14ac:dyDescent="0.25">
      <c r="A1799" s="3" t="s">
        <v>26</v>
      </c>
      <c r="B1799" s="3" t="s">
        <v>27</v>
      </c>
      <c r="C1799" s="3" t="s">
        <v>28</v>
      </c>
      <c r="D1799" s="3" t="s">
        <v>104</v>
      </c>
      <c r="E1799" s="3" t="s">
        <v>141</v>
      </c>
      <c r="F1799" s="3" t="s">
        <v>104</v>
      </c>
      <c r="G1799" s="3" t="s">
        <v>141</v>
      </c>
      <c r="H1799" s="3" t="s">
        <v>96</v>
      </c>
      <c r="I1799" s="3">
        <v>2025</v>
      </c>
      <c r="J1799" s="3" t="str">
        <f>CONCATENATE("54820361290")</f>
        <v>54820361290</v>
      </c>
      <c r="K1799" s="3" t="s">
        <v>33</v>
      </c>
      <c r="L1799" s="3"/>
      <c r="M1799" s="3" t="s">
        <v>131</v>
      </c>
      <c r="N1799" s="3" t="str">
        <f>CONCATENATE("MSSLCU04B15A462T")</f>
        <v>MSSLCU04B15A462T</v>
      </c>
      <c r="O1799" s="3" t="s">
        <v>1929</v>
      </c>
      <c r="P1799" s="3" t="s">
        <v>36</v>
      </c>
      <c r="Q1799" s="3"/>
      <c r="R1799" s="4">
        <v>45996</v>
      </c>
      <c r="S1799" s="3" t="s">
        <v>37</v>
      </c>
      <c r="T1799" s="3" t="s">
        <v>38</v>
      </c>
      <c r="U1799" s="3" t="s">
        <v>39</v>
      </c>
      <c r="V1799" s="3">
        <v>203.71</v>
      </c>
      <c r="W1799" s="3">
        <v>86.58</v>
      </c>
      <c r="X1799" s="3">
        <v>81.99</v>
      </c>
      <c r="Y1799" s="3">
        <v>35.14</v>
      </c>
    </row>
    <row r="1800" spans="1:25" ht="60.75" x14ac:dyDescent="0.25">
      <c r="A1800" s="3" t="s">
        <v>26</v>
      </c>
      <c r="B1800" s="3" t="s">
        <v>27</v>
      </c>
      <c r="C1800" s="3" t="s">
        <v>28</v>
      </c>
      <c r="D1800" s="3" t="s">
        <v>40</v>
      </c>
      <c r="E1800" s="3" t="s">
        <v>287</v>
      </c>
      <c r="F1800" s="3" t="s">
        <v>42</v>
      </c>
      <c r="G1800" s="3" t="s">
        <v>287</v>
      </c>
      <c r="H1800" s="3" t="s">
        <v>32</v>
      </c>
      <c r="I1800" s="3">
        <v>2025</v>
      </c>
      <c r="J1800" s="3" t="str">
        <f>CONCATENATE("54820020748")</f>
        <v>54820020748</v>
      </c>
      <c r="K1800" s="3" t="s">
        <v>33</v>
      </c>
      <c r="L1800" s="3"/>
      <c r="M1800" s="3" t="s">
        <v>131</v>
      </c>
      <c r="N1800" s="3" t="str">
        <f>CONCATENATE("MRCLSS34S24G637A")</f>
        <v>MRCLSS34S24G637A</v>
      </c>
      <c r="O1800" s="3" t="s">
        <v>1930</v>
      </c>
      <c r="P1800" s="3" t="s">
        <v>36</v>
      </c>
      <c r="Q1800" s="3"/>
      <c r="R1800" s="4">
        <v>45996</v>
      </c>
      <c r="S1800" s="3" t="s">
        <v>37</v>
      </c>
      <c r="T1800" s="3" t="s">
        <v>38</v>
      </c>
      <c r="U1800" s="3" t="s">
        <v>39</v>
      </c>
      <c r="V1800" s="5">
        <v>1050.78</v>
      </c>
      <c r="W1800" s="3">
        <v>446.58</v>
      </c>
      <c r="X1800" s="3">
        <v>422.94</v>
      </c>
      <c r="Y1800" s="3">
        <v>181.26</v>
      </c>
    </row>
    <row r="1801" spans="1:25" ht="60.75" x14ac:dyDescent="0.25">
      <c r="A1801" s="3" t="s">
        <v>26</v>
      </c>
      <c r="B1801" s="3" t="s">
        <v>27</v>
      </c>
      <c r="C1801" s="3" t="s">
        <v>28</v>
      </c>
      <c r="D1801" s="3" t="s">
        <v>157</v>
      </c>
      <c r="E1801" s="3" t="s">
        <v>158</v>
      </c>
      <c r="F1801" s="3" t="s">
        <v>159</v>
      </c>
      <c r="G1801" s="3" t="s">
        <v>158</v>
      </c>
      <c r="H1801" s="3" t="s">
        <v>45</v>
      </c>
      <c r="I1801" s="3">
        <v>2025</v>
      </c>
      <c r="J1801" s="3" t="str">
        <f>CONCATENATE("54820011754")</f>
        <v>54820011754</v>
      </c>
      <c r="K1801" s="3" t="s">
        <v>33</v>
      </c>
      <c r="L1801" s="3"/>
      <c r="M1801" s="3" t="s">
        <v>131</v>
      </c>
      <c r="N1801" s="3" t="str">
        <f>CONCATENATE("DRPDNT78P10B352N")</f>
        <v>DRPDNT78P10B352N</v>
      </c>
      <c r="O1801" s="3" t="s">
        <v>1931</v>
      </c>
      <c r="P1801" s="3" t="s">
        <v>36</v>
      </c>
      <c r="Q1801" s="3"/>
      <c r="R1801" s="4">
        <v>45996</v>
      </c>
      <c r="S1801" s="3" t="s">
        <v>37</v>
      </c>
      <c r="T1801" s="3" t="s">
        <v>38</v>
      </c>
      <c r="U1801" s="3" t="s">
        <v>39</v>
      </c>
      <c r="V1801" s="3">
        <v>167.14</v>
      </c>
      <c r="W1801" s="3">
        <v>71.03</v>
      </c>
      <c r="X1801" s="3">
        <v>67.27</v>
      </c>
      <c r="Y1801" s="3">
        <v>28.84</v>
      </c>
    </row>
    <row r="1802" spans="1:25" ht="60.75" x14ac:dyDescent="0.25">
      <c r="A1802" s="3" t="s">
        <v>26</v>
      </c>
      <c r="B1802" s="3" t="s">
        <v>27</v>
      </c>
      <c r="C1802" s="3" t="s">
        <v>28</v>
      </c>
      <c r="D1802" s="3" t="s">
        <v>104</v>
      </c>
      <c r="E1802" s="3" t="s">
        <v>268</v>
      </c>
      <c r="F1802" s="3" t="s">
        <v>104</v>
      </c>
      <c r="G1802" s="3" t="s">
        <v>268</v>
      </c>
      <c r="H1802" s="3" t="s">
        <v>32</v>
      </c>
      <c r="I1802" s="3">
        <v>2025</v>
      </c>
      <c r="J1802" s="3" t="str">
        <f>CONCATENATE("54820013628")</f>
        <v>54820013628</v>
      </c>
      <c r="K1802" s="3" t="s">
        <v>33</v>
      </c>
      <c r="L1802" s="3"/>
      <c r="M1802" s="3" t="s">
        <v>131</v>
      </c>
      <c r="N1802" s="3" t="str">
        <f>CONCATENATE("RCCGNN52L21C267B")</f>
        <v>RCCGNN52L21C267B</v>
      </c>
      <c r="O1802" s="3" t="s">
        <v>1932</v>
      </c>
      <c r="P1802" s="3" t="s">
        <v>36</v>
      </c>
      <c r="Q1802" s="3"/>
      <c r="R1802" s="4">
        <v>45996</v>
      </c>
      <c r="S1802" s="3" t="s">
        <v>37</v>
      </c>
      <c r="T1802" s="3" t="s">
        <v>38</v>
      </c>
      <c r="U1802" s="3" t="s">
        <v>39</v>
      </c>
      <c r="V1802" s="3">
        <v>82.98</v>
      </c>
      <c r="W1802" s="3">
        <v>35.270000000000003</v>
      </c>
      <c r="X1802" s="3">
        <v>33.4</v>
      </c>
      <c r="Y1802" s="3">
        <v>14.31</v>
      </c>
    </row>
    <row r="1803" spans="1:25" ht="60.75" x14ac:dyDescent="0.25">
      <c r="A1803" s="3" t="s">
        <v>26</v>
      </c>
      <c r="B1803" s="3" t="s">
        <v>27</v>
      </c>
      <c r="C1803" s="3" t="s">
        <v>28</v>
      </c>
      <c r="D1803" s="3" t="s">
        <v>29</v>
      </c>
      <c r="E1803" s="3" t="s">
        <v>136</v>
      </c>
      <c r="F1803" s="3" t="s">
        <v>31</v>
      </c>
      <c r="G1803" s="3" t="s">
        <v>136</v>
      </c>
      <c r="H1803" s="3" t="s">
        <v>48</v>
      </c>
      <c r="I1803" s="3">
        <v>2025</v>
      </c>
      <c r="J1803" s="3" t="str">
        <f>CONCATENATE("54820221106")</f>
        <v>54820221106</v>
      </c>
      <c r="K1803" s="3" t="s">
        <v>33</v>
      </c>
      <c r="L1803" s="3"/>
      <c r="M1803" s="3" t="s">
        <v>131</v>
      </c>
      <c r="N1803" s="3" t="str">
        <f>CONCATENATE("FLPMRC76H05I461V")</f>
        <v>FLPMRC76H05I461V</v>
      </c>
      <c r="O1803" s="3" t="s">
        <v>1933</v>
      </c>
      <c r="P1803" s="3" t="s">
        <v>36</v>
      </c>
      <c r="Q1803" s="3"/>
      <c r="R1803" s="4">
        <v>45996</v>
      </c>
      <c r="S1803" s="3" t="s">
        <v>37</v>
      </c>
      <c r="T1803" s="3" t="s">
        <v>38</v>
      </c>
      <c r="U1803" s="3" t="s">
        <v>39</v>
      </c>
      <c r="V1803" s="3">
        <v>89.43</v>
      </c>
      <c r="W1803" s="3">
        <v>38.01</v>
      </c>
      <c r="X1803" s="3">
        <v>36</v>
      </c>
      <c r="Y1803" s="3">
        <v>15.42</v>
      </c>
    </row>
    <row r="1804" spans="1:25" ht="60.75" x14ac:dyDescent="0.25">
      <c r="A1804" s="3" t="s">
        <v>26</v>
      </c>
      <c r="B1804" s="3" t="s">
        <v>27</v>
      </c>
      <c r="C1804" s="3" t="s">
        <v>28</v>
      </c>
      <c r="D1804" s="3" t="s">
        <v>29</v>
      </c>
      <c r="E1804" s="3" t="s">
        <v>72</v>
      </c>
      <c r="F1804" s="3" t="s">
        <v>31</v>
      </c>
      <c r="G1804" s="3" t="s">
        <v>72</v>
      </c>
      <c r="H1804" s="3" t="s">
        <v>45</v>
      </c>
      <c r="I1804" s="3">
        <v>2025</v>
      </c>
      <c r="J1804" s="3" t="str">
        <f>CONCATENATE("54820044961")</f>
        <v>54820044961</v>
      </c>
      <c r="K1804" s="3" t="s">
        <v>33</v>
      </c>
      <c r="L1804" s="3"/>
      <c r="M1804" s="3" t="s">
        <v>131</v>
      </c>
      <c r="N1804" s="3" t="str">
        <f>CONCATENATE("NCLLLL58M44B352S")</f>
        <v>NCLLLL58M44B352S</v>
      </c>
      <c r="O1804" s="3" t="s">
        <v>1934</v>
      </c>
      <c r="P1804" s="3" t="s">
        <v>36</v>
      </c>
      <c r="Q1804" s="3"/>
      <c r="R1804" s="4">
        <v>45996</v>
      </c>
      <c r="S1804" s="3" t="s">
        <v>37</v>
      </c>
      <c r="T1804" s="3" t="s">
        <v>38</v>
      </c>
      <c r="U1804" s="3" t="s">
        <v>39</v>
      </c>
      <c r="V1804" s="3">
        <v>160.75</v>
      </c>
      <c r="W1804" s="3">
        <v>68.319999999999993</v>
      </c>
      <c r="X1804" s="3">
        <v>64.7</v>
      </c>
      <c r="Y1804" s="3">
        <v>27.73</v>
      </c>
    </row>
    <row r="1805" spans="1:25" ht="72.75" x14ac:dyDescent="0.25">
      <c r="A1805" s="3" t="s">
        <v>26</v>
      </c>
      <c r="B1805" s="3" t="s">
        <v>27</v>
      </c>
      <c r="C1805" s="3" t="s">
        <v>28</v>
      </c>
      <c r="D1805" s="3" t="s">
        <v>104</v>
      </c>
      <c r="E1805" s="3" t="s">
        <v>1935</v>
      </c>
      <c r="F1805" s="3" t="s">
        <v>104</v>
      </c>
      <c r="G1805" s="3" t="s">
        <v>1935</v>
      </c>
      <c r="H1805" s="3" t="s">
        <v>96</v>
      </c>
      <c r="I1805" s="3">
        <v>2025</v>
      </c>
      <c r="J1805" s="3" t="str">
        <f>CONCATENATE("54820011861")</f>
        <v>54820011861</v>
      </c>
      <c r="K1805" s="3" t="s">
        <v>33</v>
      </c>
      <c r="L1805" s="3"/>
      <c r="M1805" s="3" t="s">
        <v>131</v>
      </c>
      <c r="N1805" s="3" t="str">
        <f>CONCATENATE("LTRGPP67B46A252H")</f>
        <v>LTRGPP67B46A252H</v>
      </c>
      <c r="O1805" s="3" t="s">
        <v>1936</v>
      </c>
      <c r="P1805" s="3" t="s">
        <v>36</v>
      </c>
      <c r="Q1805" s="3"/>
      <c r="R1805" s="4">
        <v>45996</v>
      </c>
      <c r="S1805" s="3" t="s">
        <v>37</v>
      </c>
      <c r="T1805" s="3" t="s">
        <v>38</v>
      </c>
      <c r="U1805" s="3" t="s">
        <v>39</v>
      </c>
      <c r="V1805" s="3">
        <v>47.62</v>
      </c>
      <c r="W1805" s="3">
        <v>20.239999999999998</v>
      </c>
      <c r="X1805" s="3">
        <v>19.170000000000002</v>
      </c>
      <c r="Y1805" s="3">
        <v>8.2100000000000009</v>
      </c>
    </row>
    <row r="1806" spans="1:25" ht="60.75" x14ac:dyDescent="0.25">
      <c r="A1806" s="3" t="s">
        <v>26</v>
      </c>
      <c r="B1806" s="3" t="s">
        <v>27</v>
      </c>
      <c r="C1806" s="3" t="s">
        <v>28</v>
      </c>
      <c r="D1806" s="3" t="s">
        <v>50</v>
      </c>
      <c r="E1806" s="3" t="s">
        <v>252</v>
      </c>
      <c r="F1806" s="3" t="s">
        <v>52</v>
      </c>
      <c r="G1806" s="3" t="s">
        <v>252</v>
      </c>
      <c r="H1806" s="3" t="s">
        <v>45</v>
      </c>
      <c r="I1806" s="3">
        <v>2025</v>
      </c>
      <c r="J1806" s="3" t="str">
        <f>CONCATENATE("54820109855")</f>
        <v>54820109855</v>
      </c>
      <c r="K1806" s="3" t="s">
        <v>33</v>
      </c>
      <c r="L1806" s="3"/>
      <c r="M1806" s="3" t="s">
        <v>131</v>
      </c>
      <c r="N1806" s="3" t="str">
        <f>CONCATENATE("CLCVTR65D03Z140H")</f>
        <v>CLCVTR65D03Z140H</v>
      </c>
      <c r="O1806" s="3" t="s">
        <v>1937</v>
      </c>
      <c r="P1806" s="3" t="s">
        <v>36</v>
      </c>
      <c r="Q1806" s="3"/>
      <c r="R1806" s="4">
        <v>45996</v>
      </c>
      <c r="S1806" s="3" t="s">
        <v>37</v>
      </c>
      <c r="T1806" s="3" t="s">
        <v>38</v>
      </c>
      <c r="U1806" s="3" t="s">
        <v>39</v>
      </c>
      <c r="V1806" s="3">
        <v>59.59</v>
      </c>
      <c r="W1806" s="3">
        <v>25.33</v>
      </c>
      <c r="X1806" s="3">
        <v>23.98</v>
      </c>
      <c r="Y1806" s="3">
        <v>10.28</v>
      </c>
    </row>
    <row r="1807" spans="1:25" ht="60.75" x14ac:dyDescent="0.25">
      <c r="A1807" s="3" t="s">
        <v>26</v>
      </c>
      <c r="B1807" s="3" t="s">
        <v>27</v>
      </c>
      <c r="C1807" s="3" t="s">
        <v>28</v>
      </c>
      <c r="D1807" s="3" t="s">
        <v>29</v>
      </c>
      <c r="E1807" s="3" t="s">
        <v>68</v>
      </c>
      <c r="F1807" s="3" t="s">
        <v>31</v>
      </c>
      <c r="G1807" s="3" t="s">
        <v>68</v>
      </c>
      <c r="H1807" s="3" t="s">
        <v>32</v>
      </c>
      <c r="I1807" s="3">
        <v>2025</v>
      </c>
      <c r="J1807" s="3" t="str">
        <f>CONCATENATE("54820154059")</f>
        <v>54820154059</v>
      </c>
      <c r="K1807" s="3" t="s">
        <v>33</v>
      </c>
      <c r="L1807" s="3"/>
      <c r="M1807" s="3" t="s">
        <v>131</v>
      </c>
      <c r="N1807" s="3" t="str">
        <f>CONCATENATE("MNCBRD55E12L597B")</f>
        <v>MNCBRD55E12L597B</v>
      </c>
      <c r="O1807" s="3" t="s">
        <v>1938</v>
      </c>
      <c r="P1807" s="3" t="s">
        <v>36</v>
      </c>
      <c r="Q1807" s="3"/>
      <c r="R1807" s="4">
        <v>45996</v>
      </c>
      <c r="S1807" s="3" t="s">
        <v>37</v>
      </c>
      <c r="T1807" s="3" t="s">
        <v>38</v>
      </c>
      <c r="U1807" s="3" t="s">
        <v>39</v>
      </c>
      <c r="V1807" s="5">
        <v>1054.69</v>
      </c>
      <c r="W1807" s="3">
        <v>448.24</v>
      </c>
      <c r="X1807" s="3">
        <v>424.51</v>
      </c>
      <c r="Y1807" s="3">
        <v>181.94</v>
      </c>
    </row>
    <row r="1808" spans="1:25" ht="60.75" x14ac:dyDescent="0.25">
      <c r="A1808" s="3" t="s">
        <v>26</v>
      </c>
      <c r="B1808" s="3" t="s">
        <v>27</v>
      </c>
      <c r="C1808" s="3" t="s">
        <v>28</v>
      </c>
      <c r="D1808" s="3" t="s">
        <v>50</v>
      </c>
      <c r="E1808" s="3" t="s">
        <v>60</v>
      </c>
      <c r="F1808" s="3" t="s">
        <v>52</v>
      </c>
      <c r="G1808" s="3" t="s">
        <v>60</v>
      </c>
      <c r="H1808" s="3" t="s">
        <v>45</v>
      </c>
      <c r="I1808" s="3">
        <v>2025</v>
      </c>
      <c r="J1808" s="3" t="str">
        <f>CONCATENATE("54820086517")</f>
        <v>54820086517</v>
      </c>
      <c r="K1808" s="3" t="s">
        <v>33</v>
      </c>
      <c r="L1808" s="3"/>
      <c r="M1808" s="3" t="s">
        <v>131</v>
      </c>
      <c r="N1808" s="3" t="str">
        <f>CONCATENATE("DLFCSR32L10D809Q")</f>
        <v>DLFCSR32L10D809Q</v>
      </c>
      <c r="O1808" s="3" t="s">
        <v>1939</v>
      </c>
      <c r="P1808" s="3" t="s">
        <v>36</v>
      </c>
      <c r="Q1808" s="3"/>
      <c r="R1808" s="4">
        <v>45996</v>
      </c>
      <c r="S1808" s="3" t="s">
        <v>37</v>
      </c>
      <c r="T1808" s="3" t="s">
        <v>38</v>
      </c>
      <c r="U1808" s="3" t="s">
        <v>39</v>
      </c>
      <c r="V1808" s="3">
        <v>114.95</v>
      </c>
      <c r="W1808" s="3">
        <v>48.85</v>
      </c>
      <c r="X1808" s="3">
        <v>46.27</v>
      </c>
      <c r="Y1808" s="3">
        <v>19.829999999999998</v>
      </c>
    </row>
    <row r="1809" spans="1:25" ht="60.75" x14ac:dyDescent="0.25">
      <c r="A1809" s="3" t="s">
        <v>26</v>
      </c>
      <c r="B1809" s="3" t="s">
        <v>27</v>
      </c>
      <c r="C1809" s="3" t="s">
        <v>28</v>
      </c>
      <c r="D1809" s="3" t="s">
        <v>50</v>
      </c>
      <c r="E1809" s="3" t="s">
        <v>252</v>
      </c>
      <c r="F1809" s="3" t="s">
        <v>52</v>
      </c>
      <c r="G1809" s="3" t="s">
        <v>252</v>
      </c>
      <c r="H1809" s="3" t="s">
        <v>45</v>
      </c>
      <c r="I1809" s="3">
        <v>2025</v>
      </c>
      <c r="J1809" s="3" t="str">
        <f>CONCATENATE("54820132238")</f>
        <v>54820132238</v>
      </c>
      <c r="K1809" s="3" t="s">
        <v>33</v>
      </c>
      <c r="L1809" s="3"/>
      <c r="M1809" s="3" t="s">
        <v>131</v>
      </c>
      <c r="N1809" s="3" t="str">
        <f>CONCATENATE("TRLGRL61C70F310Z")</f>
        <v>TRLGRL61C70F310Z</v>
      </c>
      <c r="O1809" s="3" t="s">
        <v>1940</v>
      </c>
      <c r="P1809" s="3" t="s">
        <v>36</v>
      </c>
      <c r="Q1809" s="3"/>
      <c r="R1809" s="4">
        <v>45996</v>
      </c>
      <c r="S1809" s="3" t="s">
        <v>37</v>
      </c>
      <c r="T1809" s="3" t="s">
        <v>38</v>
      </c>
      <c r="U1809" s="3" t="s">
        <v>39</v>
      </c>
      <c r="V1809" s="3">
        <v>279.5</v>
      </c>
      <c r="W1809" s="3">
        <v>118.79</v>
      </c>
      <c r="X1809" s="3">
        <v>112.5</v>
      </c>
      <c r="Y1809" s="3">
        <v>48.21</v>
      </c>
    </row>
    <row r="1810" spans="1:25" ht="60.75" x14ac:dyDescent="0.25">
      <c r="A1810" s="3" t="s">
        <v>26</v>
      </c>
      <c r="B1810" s="3" t="s">
        <v>27</v>
      </c>
      <c r="C1810" s="3" t="s">
        <v>28</v>
      </c>
      <c r="D1810" s="3" t="s">
        <v>50</v>
      </c>
      <c r="E1810" s="3" t="s">
        <v>147</v>
      </c>
      <c r="F1810" s="3" t="s">
        <v>52</v>
      </c>
      <c r="G1810" s="3" t="s">
        <v>147</v>
      </c>
      <c r="H1810" s="3" t="s">
        <v>45</v>
      </c>
      <c r="I1810" s="3">
        <v>2025</v>
      </c>
      <c r="J1810" s="3" t="str">
        <f>CONCATENATE("54820159272")</f>
        <v>54820159272</v>
      </c>
      <c r="K1810" s="3" t="s">
        <v>33</v>
      </c>
      <c r="L1810" s="3"/>
      <c r="M1810" s="3" t="s">
        <v>131</v>
      </c>
      <c r="N1810" s="3" t="str">
        <f>CONCATENATE("TTVFRN62H03L500F")</f>
        <v>TTVFRN62H03L500F</v>
      </c>
      <c r="O1810" s="3" t="s">
        <v>1941</v>
      </c>
      <c r="P1810" s="3" t="s">
        <v>36</v>
      </c>
      <c r="Q1810" s="3"/>
      <c r="R1810" s="4">
        <v>45996</v>
      </c>
      <c r="S1810" s="3" t="s">
        <v>37</v>
      </c>
      <c r="T1810" s="3" t="s">
        <v>38</v>
      </c>
      <c r="U1810" s="3" t="s">
        <v>39</v>
      </c>
      <c r="V1810" s="3">
        <v>479.29</v>
      </c>
      <c r="W1810" s="3">
        <v>203.7</v>
      </c>
      <c r="X1810" s="3">
        <v>192.91</v>
      </c>
      <c r="Y1810" s="3">
        <v>82.68</v>
      </c>
    </row>
    <row r="1811" spans="1:25" ht="60.75" x14ac:dyDescent="0.25">
      <c r="A1811" s="3" t="s">
        <v>26</v>
      </c>
      <c r="B1811" s="3" t="s">
        <v>27</v>
      </c>
      <c r="C1811" s="3" t="s">
        <v>28</v>
      </c>
      <c r="D1811" s="3" t="s">
        <v>29</v>
      </c>
      <c r="E1811" s="3" t="s">
        <v>136</v>
      </c>
      <c r="F1811" s="3" t="s">
        <v>31</v>
      </c>
      <c r="G1811" s="3" t="s">
        <v>136</v>
      </c>
      <c r="H1811" s="3" t="s">
        <v>48</v>
      </c>
      <c r="I1811" s="3">
        <v>2025</v>
      </c>
      <c r="J1811" s="3" t="str">
        <f>CONCATENATE("54820147111")</f>
        <v>54820147111</v>
      </c>
      <c r="K1811" s="3" t="s">
        <v>33</v>
      </c>
      <c r="L1811" s="3"/>
      <c r="M1811" s="3" t="s">
        <v>131</v>
      </c>
      <c r="N1811" s="3" t="str">
        <f>CONCATENATE("PTRLRA47M46A366A")</f>
        <v>PTRLRA47M46A366A</v>
      </c>
      <c r="O1811" s="3" t="s">
        <v>1942</v>
      </c>
      <c r="P1811" s="3" t="s">
        <v>36</v>
      </c>
      <c r="Q1811" s="3"/>
      <c r="R1811" s="4">
        <v>45996</v>
      </c>
      <c r="S1811" s="3" t="s">
        <v>37</v>
      </c>
      <c r="T1811" s="3" t="s">
        <v>38</v>
      </c>
      <c r="U1811" s="3" t="s">
        <v>39</v>
      </c>
      <c r="V1811" s="3">
        <v>218.47</v>
      </c>
      <c r="W1811" s="3">
        <v>92.85</v>
      </c>
      <c r="X1811" s="3">
        <v>87.93</v>
      </c>
      <c r="Y1811" s="3">
        <v>37.69</v>
      </c>
    </row>
    <row r="1812" spans="1:25" ht="60.75" x14ac:dyDescent="0.25">
      <c r="A1812" s="3" t="s">
        <v>26</v>
      </c>
      <c r="B1812" s="3" t="s">
        <v>27</v>
      </c>
      <c r="C1812" s="3" t="s">
        <v>28</v>
      </c>
      <c r="D1812" s="3" t="s">
        <v>29</v>
      </c>
      <c r="E1812" s="3" t="s">
        <v>233</v>
      </c>
      <c r="F1812" s="3" t="s">
        <v>31</v>
      </c>
      <c r="G1812" s="3" t="s">
        <v>233</v>
      </c>
      <c r="H1812" s="3" t="s">
        <v>96</v>
      </c>
      <c r="I1812" s="3">
        <v>2025</v>
      </c>
      <c r="J1812" s="3" t="str">
        <f>CONCATENATE("54820074141")</f>
        <v>54820074141</v>
      </c>
      <c r="K1812" s="3" t="s">
        <v>33</v>
      </c>
      <c r="L1812" s="3"/>
      <c r="M1812" s="3" t="s">
        <v>131</v>
      </c>
      <c r="N1812" s="3" t="str">
        <f>CONCATENATE("VRGNRC55R31G289E")</f>
        <v>VRGNRC55R31G289E</v>
      </c>
      <c r="O1812" s="3" t="s">
        <v>1943</v>
      </c>
      <c r="P1812" s="3" t="s">
        <v>36</v>
      </c>
      <c r="Q1812" s="3"/>
      <c r="R1812" s="4">
        <v>45996</v>
      </c>
      <c r="S1812" s="3" t="s">
        <v>37</v>
      </c>
      <c r="T1812" s="3" t="s">
        <v>38</v>
      </c>
      <c r="U1812" s="3" t="s">
        <v>39</v>
      </c>
      <c r="V1812" s="3">
        <v>144.09</v>
      </c>
      <c r="W1812" s="3">
        <v>61.24</v>
      </c>
      <c r="X1812" s="3">
        <v>58</v>
      </c>
      <c r="Y1812" s="3">
        <v>24.85</v>
      </c>
    </row>
    <row r="1813" spans="1:25" ht="36.75" x14ac:dyDescent="0.25">
      <c r="A1813" s="3" t="s">
        <v>26</v>
      </c>
      <c r="B1813" s="3" t="s">
        <v>27</v>
      </c>
      <c r="C1813" s="3" t="s">
        <v>28</v>
      </c>
      <c r="D1813" s="3" t="s">
        <v>29</v>
      </c>
      <c r="E1813" s="3" t="s">
        <v>80</v>
      </c>
      <c r="F1813" s="3" t="s">
        <v>31</v>
      </c>
      <c r="G1813" s="3" t="s">
        <v>80</v>
      </c>
      <c r="H1813" s="3" t="s">
        <v>45</v>
      </c>
      <c r="I1813" s="3">
        <v>2025</v>
      </c>
      <c r="J1813" s="3" t="str">
        <f>CONCATENATE("54820061098")</f>
        <v>54820061098</v>
      </c>
      <c r="K1813" s="3" t="s">
        <v>33</v>
      </c>
      <c r="L1813" s="3"/>
      <c r="M1813" s="3" t="s">
        <v>131</v>
      </c>
      <c r="N1813" s="3" t="str">
        <f>CONCATENATE("02603050416")</f>
        <v>02603050416</v>
      </c>
      <c r="O1813" s="3" t="s">
        <v>1944</v>
      </c>
      <c r="P1813" s="3" t="s">
        <v>36</v>
      </c>
      <c r="Q1813" s="3"/>
      <c r="R1813" s="4">
        <v>45996</v>
      </c>
      <c r="S1813" s="3" t="s">
        <v>37</v>
      </c>
      <c r="T1813" s="3" t="s">
        <v>38</v>
      </c>
      <c r="U1813" s="3" t="s">
        <v>39</v>
      </c>
      <c r="V1813" s="3">
        <v>291.38</v>
      </c>
      <c r="W1813" s="3">
        <v>123.84</v>
      </c>
      <c r="X1813" s="3">
        <v>117.28</v>
      </c>
      <c r="Y1813" s="3">
        <v>50.26</v>
      </c>
    </row>
    <row r="1814" spans="1:25" ht="60.75" x14ac:dyDescent="0.25">
      <c r="A1814" s="3" t="s">
        <v>26</v>
      </c>
      <c r="B1814" s="3" t="s">
        <v>27</v>
      </c>
      <c r="C1814" s="3" t="s">
        <v>28</v>
      </c>
      <c r="D1814" s="3" t="s">
        <v>50</v>
      </c>
      <c r="E1814" s="3" t="s">
        <v>212</v>
      </c>
      <c r="F1814" s="3" t="s">
        <v>52</v>
      </c>
      <c r="G1814" s="3" t="s">
        <v>212</v>
      </c>
      <c r="H1814" s="3" t="s">
        <v>32</v>
      </c>
      <c r="I1814" s="3">
        <v>2025</v>
      </c>
      <c r="J1814" s="3" t="str">
        <f>CONCATENATE("54820079058")</f>
        <v>54820079058</v>
      </c>
      <c r="K1814" s="3" t="s">
        <v>33</v>
      </c>
      <c r="L1814" s="3"/>
      <c r="M1814" s="3" t="s">
        <v>131</v>
      </c>
      <c r="N1814" s="3" t="str">
        <f>CONCATENATE("MRVSRA68P09E783Y")</f>
        <v>MRVSRA68P09E783Y</v>
      </c>
      <c r="O1814" s="3" t="s">
        <v>1945</v>
      </c>
      <c r="P1814" s="3" t="s">
        <v>36</v>
      </c>
      <c r="Q1814" s="3"/>
      <c r="R1814" s="4">
        <v>45996</v>
      </c>
      <c r="S1814" s="3" t="s">
        <v>37</v>
      </c>
      <c r="T1814" s="3" t="s">
        <v>38</v>
      </c>
      <c r="U1814" s="3" t="s">
        <v>39</v>
      </c>
      <c r="V1814" s="3">
        <v>378.29</v>
      </c>
      <c r="W1814" s="3">
        <v>160.77000000000001</v>
      </c>
      <c r="X1814" s="3">
        <v>152.26</v>
      </c>
      <c r="Y1814" s="3">
        <v>65.260000000000005</v>
      </c>
    </row>
    <row r="1815" spans="1:25" ht="60.75" x14ac:dyDescent="0.25">
      <c r="A1815" s="3" t="s">
        <v>26</v>
      </c>
      <c r="B1815" s="3" t="s">
        <v>27</v>
      </c>
      <c r="C1815" s="3" t="s">
        <v>28</v>
      </c>
      <c r="D1815" s="3" t="s">
        <v>29</v>
      </c>
      <c r="E1815" s="3" t="s">
        <v>228</v>
      </c>
      <c r="F1815" s="3" t="s">
        <v>31</v>
      </c>
      <c r="G1815" s="3" t="s">
        <v>228</v>
      </c>
      <c r="H1815" s="3" t="s">
        <v>45</v>
      </c>
      <c r="I1815" s="3">
        <v>2025</v>
      </c>
      <c r="J1815" s="3" t="str">
        <f>CONCATENATE("54820082805")</f>
        <v>54820082805</v>
      </c>
      <c r="K1815" s="3" t="s">
        <v>33</v>
      </c>
      <c r="L1815" s="3"/>
      <c r="M1815" s="3" t="s">
        <v>131</v>
      </c>
      <c r="N1815" s="3" t="str">
        <f>CONCATENATE("SROSVT61S28C745Q")</f>
        <v>SROSVT61S28C745Q</v>
      </c>
      <c r="O1815" s="3" t="s">
        <v>1946</v>
      </c>
      <c r="P1815" s="3" t="s">
        <v>36</v>
      </c>
      <c r="Q1815" s="3"/>
      <c r="R1815" s="4">
        <v>45996</v>
      </c>
      <c r="S1815" s="3" t="s">
        <v>37</v>
      </c>
      <c r="T1815" s="3" t="s">
        <v>38</v>
      </c>
      <c r="U1815" s="3" t="s">
        <v>39</v>
      </c>
      <c r="V1815" s="3">
        <v>705.31</v>
      </c>
      <c r="W1815" s="3">
        <v>299.76</v>
      </c>
      <c r="X1815" s="3">
        <v>283.89</v>
      </c>
      <c r="Y1815" s="3">
        <v>121.66</v>
      </c>
    </row>
    <row r="1816" spans="1:25" ht="60.75" x14ac:dyDescent="0.25">
      <c r="A1816" s="3" t="s">
        <v>26</v>
      </c>
      <c r="B1816" s="3" t="s">
        <v>27</v>
      </c>
      <c r="C1816" s="3" t="s">
        <v>28</v>
      </c>
      <c r="D1816" s="3" t="s">
        <v>50</v>
      </c>
      <c r="E1816" s="3" t="s">
        <v>147</v>
      </c>
      <c r="F1816" s="3" t="s">
        <v>52</v>
      </c>
      <c r="G1816" s="3" t="s">
        <v>147</v>
      </c>
      <c r="H1816" s="3" t="s">
        <v>45</v>
      </c>
      <c r="I1816" s="3">
        <v>2025</v>
      </c>
      <c r="J1816" s="3" t="str">
        <f>CONCATENATE("54820166160")</f>
        <v>54820166160</v>
      </c>
      <c r="K1816" s="3" t="s">
        <v>33</v>
      </c>
      <c r="L1816" s="3"/>
      <c r="M1816" s="3" t="s">
        <v>131</v>
      </c>
      <c r="N1816" s="3" t="str">
        <f>CONCATENATE("MNCMRA67R47L498Z")</f>
        <v>MNCMRA67R47L498Z</v>
      </c>
      <c r="O1816" s="3" t="s">
        <v>1947</v>
      </c>
      <c r="P1816" s="3" t="s">
        <v>36</v>
      </c>
      <c r="Q1816" s="3"/>
      <c r="R1816" s="4">
        <v>45996</v>
      </c>
      <c r="S1816" s="3" t="s">
        <v>37</v>
      </c>
      <c r="T1816" s="3" t="s">
        <v>38</v>
      </c>
      <c r="U1816" s="3" t="s">
        <v>39</v>
      </c>
      <c r="V1816" s="3">
        <v>49.75</v>
      </c>
      <c r="W1816" s="3">
        <v>21.14</v>
      </c>
      <c r="X1816" s="3">
        <v>20.02</v>
      </c>
      <c r="Y1816" s="3">
        <v>8.59</v>
      </c>
    </row>
    <row r="1817" spans="1:25" ht="60.75" x14ac:dyDescent="0.25">
      <c r="A1817" s="3" t="s">
        <v>26</v>
      </c>
      <c r="B1817" s="3" t="s">
        <v>27</v>
      </c>
      <c r="C1817" s="3" t="s">
        <v>28</v>
      </c>
      <c r="D1817" s="3" t="s">
        <v>50</v>
      </c>
      <c r="E1817" s="3" t="s">
        <v>147</v>
      </c>
      <c r="F1817" s="3" t="s">
        <v>52</v>
      </c>
      <c r="G1817" s="3" t="s">
        <v>147</v>
      </c>
      <c r="H1817" s="3" t="s">
        <v>45</v>
      </c>
      <c r="I1817" s="3">
        <v>2025</v>
      </c>
      <c r="J1817" s="3" t="str">
        <f>CONCATENATE("54820145214")</f>
        <v>54820145214</v>
      </c>
      <c r="K1817" s="3" t="s">
        <v>33</v>
      </c>
      <c r="L1817" s="3"/>
      <c r="M1817" s="3" t="s">
        <v>131</v>
      </c>
      <c r="N1817" s="3" t="str">
        <f>CONCATENATE("DCHGCR48R22L500H")</f>
        <v>DCHGCR48R22L500H</v>
      </c>
      <c r="O1817" s="3" t="s">
        <v>1948</v>
      </c>
      <c r="P1817" s="3" t="s">
        <v>36</v>
      </c>
      <c r="Q1817" s="3"/>
      <c r="R1817" s="4">
        <v>45996</v>
      </c>
      <c r="S1817" s="3" t="s">
        <v>37</v>
      </c>
      <c r="T1817" s="3" t="s">
        <v>38</v>
      </c>
      <c r="U1817" s="3" t="s">
        <v>39</v>
      </c>
      <c r="V1817" s="3">
        <v>522.52</v>
      </c>
      <c r="W1817" s="3">
        <v>222.07</v>
      </c>
      <c r="X1817" s="3">
        <v>210.31</v>
      </c>
      <c r="Y1817" s="3">
        <v>90.14</v>
      </c>
    </row>
    <row r="1818" spans="1:25" ht="60.75" x14ac:dyDescent="0.25">
      <c r="A1818" s="3" t="s">
        <v>26</v>
      </c>
      <c r="B1818" s="3" t="s">
        <v>27</v>
      </c>
      <c r="C1818" s="3" t="s">
        <v>28</v>
      </c>
      <c r="D1818" s="3" t="s">
        <v>104</v>
      </c>
      <c r="E1818" s="3" t="s">
        <v>661</v>
      </c>
      <c r="F1818" s="3" t="s">
        <v>104</v>
      </c>
      <c r="G1818" s="3" t="s">
        <v>661</v>
      </c>
      <c r="H1818" s="3" t="s">
        <v>45</v>
      </c>
      <c r="I1818" s="3">
        <v>2025</v>
      </c>
      <c r="J1818" s="3" t="str">
        <f>CONCATENATE("54820168182")</f>
        <v>54820168182</v>
      </c>
      <c r="K1818" s="3" t="s">
        <v>33</v>
      </c>
      <c r="L1818" s="3"/>
      <c r="M1818" s="3" t="s">
        <v>131</v>
      </c>
      <c r="N1818" s="3" t="str">
        <f>CONCATENATE("CRNSBN70T62B352D")</f>
        <v>CRNSBN70T62B352D</v>
      </c>
      <c r="O1818" s="3" t="s">
        <v>1949</v>
      </c>
      <c r="P1818" s="3" t="s">
        <v>36</v>
      </c>
      <c r="Q1818" s="3"/>
      <c r="R1818" s="4">
        <v>45996</v>
      </c>
      <c r="S1818" s="3" t="s">
        <v>37</v>
      </c>
      <c r="T1818" s="3" t="s">
        <v>38</v>
      </c>
      <c r="U1818" s="3" t="s">
        <v>39</v>
      </c>
      <c r="V1818" s="3">
        <v>224.35</v>
      </c>
      <c r="W1818" s="3">
        <v>95.35</v>
      </c>
      <c r="X1818" s="3">
        <v>90.3</v>
      </c>
      <c r="Y1818" s="3">
        <v>38.700000000000003</v>
      </c>
    </row>
    <row r="1819" spans="1:25" ht="60.75" x14ac:dyDescent="0.25">
      <c r="A1819" s="3" t="s">
        <v>26</v>
      </c>
      <c r="B1819" s="3" t="s">
        <v>27</v>
      </c>
      <c r="C1819" s="3" t="s">
        <v>28</v>
      </c>
      <c r="D1819" s="3" t="s">
        <v>29</v>
      </c>
      <c r="E1819" s="3" t="s">
        <v>47</v>
      </c>
      <c r="F1819" s="3" t="s">
        <v>31</v>
      </c>
      <c r="G1819" s="3" t="s">
        <v>47</v>
      </c>
      <c r="H1819" s="3" t="s">
        <v>48</v>
      </c>
      <c r="I1819" s="3">
        <v>2025</v>
      </c>
      <c r="J1819" s="3" t="str">
        <f>CONCATENATE("54820255187")</f>
        <v>54820255187</v>
      </c>
      <c r="K1819" s="3" t="s">
        <v>33</v>
      </c>
      <c r="L1819" s="3"/>
      <c r="M1819" s="3" t="s">
        <v>131</v>
      </c>
      <c r="N1819" s="3" t="str">
        <f>CONCATENATE("CHSFBA92S23A271H")</f>
        <v>CHSFBA92S23A271H</v>
      </c>
      <c r="O1819" s="3" t="s">
        <v>1950</v>
      </c>
      <c r="P1819" s="3" t="s">
        <v>36</v>
      </c>
      <c r="Q1819" s="3"/>
      <c r="R1819" s="4">
        <v>45996</v>
      </c>
      <c r="S1819" s="3" t="s">
        <v>37</v>
      </c>
      <c r="T1819" s="3" t="s">
        <v>38</v>
      </c>
      <c r="U1819" s="3" t="s">
        <v>39</v>
      </c>
      <c r="V1819" s="3">
        <v>651.55999999999995</v>
      </c>
      <c r="W1819" s="3">
        <v>276.91000000000003</v>
      </c>
      <c r="X1819" s="3">
        <v>262.25</v>
      </c>
      <c r="Y1819" s="3">
        <v>112.4</v>
      </c>
    </row>
    <row r="1820" spans="1:25" ht="60.75" x14ac:dyDescent="0.25">
      <c r="A1820" s="3" t="s">
        <v>26</v>
      </c>
      <c r="B1820" s="3" t="s">
        <v>27</v>
      </c>
      <c r="C1820" s="3" t="s">
        <v>28</v>
      </c>
      <c r="D1820" s="3" t="s">
        <v>104</v>
      </c>
      <c r="E1820" s="3" t="s">
        <v>141</v>
      </c>
      <c r="F1820" s="3" t="s">
        <v>104</v>
      </c>
      <c r="G1820" s="3" t="s">
        <v>141</v>
      </c>
      <c r="H1820" s="3" t="s">
        <v>96</v>
      </c>
      <c r="I1820" s="3">
        <v>2025</v>
      </c>
      <c r="J1820" s="3" t="str">
        <f>CONCATENATE("54820361282")</f>
        <v>54820361282</v>
      </c>
      <c r="K1820" s="3" t="s">
        <v>33</v>
      </c>
      <c r="L1820" s="3"/>
      <c r="M1820" s="3" t="s">
        <v>131</v>
      </c>
      <c r="N1820" s="3" t="str">
        <f>CONCATENATE("MZZSMN78T07H769O")</f>
        <v>MZZSMN78T07H769O</v>
      </c>
      <c r="O1820" s="3" t="s">
        <v>1951</v>
      </c>
      <c r="P1820" s="3" t="s">
        <v>36</v>
      </c>
      <c r="Q1820" s="3"/>
      <c r="R1820" s="4">
        <v>45996</v>
      </c>
      <c r="S1820" s="3" t="s">
        <v>37</v>
      </c>
      <c r="T1820" s="3" t="s">
        <v>38</v>
      </c>
      <c r="U1820" s="3" t="s">
        <v>39</v>
      </c>
      <c r="V1820" s="3">
        <v>871.99</v>
      </c>
      <c r="W1820" s="3">
        <v>370.6</v>
      </c>
      <c r="X1820" s="3">
        <v>350.98</v>
      </c>
      <c r="Y1820" s="3">
        <v>150.41</v>
      </c>
    </row>
    <row r="1821" spans="1:25" ht="60.75" x14ac:dyDescent="0.25">
      <c r="A1821" s="3" t="s">
        <v>26</v>
      </c>
      <c r="B1821" s="3" t="s">
        <v>27</v>
      </c>
      <c r="C1821" s="3" t="s">
        <v>28</v>
      </c>
      <c r="D1821" s="3" t="s">
        <v>29</v>
      </c>
      <c r="E1821" s="3" t="s">
        <v>47</v>
      </c>
      <c r="F1821" s="3" t="s">
        <v>31</v>
      </c>
      <c r="G1821" s="3" t="s">
        <v>47</v>
      </c>
      <c r="H1821" s="3" t="s">
        <v>48</v>
      </c>
      <c r="I1821" s="3">
        <v>2025</v>
      </c>
      <c r="J1821" s="3" t="str">
        <f>CONCATENATE("54820178249")</f>
        <v>54820178249</v>
      </c>
      <c r="K1821" s="3" t="s">
        <v>33</v>
      </c>
      <c r="L1821" s="3"/>
      <c r="M1821" s="3" t="s">
        <v>131</v>
      </c>
      <c r="N1821" s="3" t="str">
        <f>CONCATENATE("CNTMRA61T09I653I")</f>
        <v>CNTMRA61T09I653I</v>
      </c>
      <c r="O1821" s="3" t="s">
        <v>1952</v>
      </c>
      <c r="P1821" s="3" t="s">
        <v>36</v>
      </c>
      <c r="Q1821" s="3"/>
      <c r="R1821" s="4">
        <v>45996</v>
      </c>
      <c r="S1821" s="3" t="s">
        <v>37</v>
      </c>
      <c r="T1821" s="3" t="s">
        <v>38</v>
      </c>
      <c r="U1821" s="3" t="s">
        <v>39</v>
      </c>
      <c r="V1821" s="3">
        <v>301.44</v>
      </c>
      <c r="W1821" s="3">
        <v>128.11000000000001</v>
      </c>
      <c r="X1821" s="3">
        <v>121.33</v>
      </c>
      <c r="Y1821" s="3">
        <v>52</v>
      </c>
    </row>
    <row r="1822" spans="1:25" ht="60.75" x14ac:dyDescent="0.25">
      <c r="A1822" s="3" t="s">
        <v>26</v>
      </c>
      <c r="B1822" s="3" t="s">
        <v>27</v>
      </c>
      <c r="C1822" s="3" t="s">
        <v>28</v>
      </c>
      <c r="D1822" s="3" t="s">
        <v>50</v>
      </c>
      <c r="E1822" s="3" t="s">
        <v>252</v>
      </c>
      <c r="F1822" s="3" t="s">
        <v>52</v>
      </c>
      <c r="G1822" s="3" t="s">
        <v>252</v>
      </c>
      <c r="H1822" s="3" t="s">
        <v>45</v>
      </c>
      <c r="I1822" s="3">
        <v>2025</v>
      </c>
      <c r="J1822" s="3" t="str">
        <f>CONCATENATE("54820107768")</f>
        <v>54820107768</v>
      </c>
      <c r="K1822" s="3" t="s">
        <v>33</v>
      </c>
      <c r="L1822" s="3"/>
      <c r="M1822" s="3" t="s">
        <v>131</v>
      </c>
      <c r="N1822" s="3" t="str">
        <f>CONCATENATE("GSTVRN55E31D749I")</f>
        <v>GSTVRN55E31D749I</v>
      </c>
      <c r="O1822" s="3" t="s">
        <v>1953</v>
      </c>
      <c r="P1822" s="3" t="s">
        <v>36</v>
      </c>
      <c r="Q1822" s="3"/>
      <c r="R1822" s="4">
        <v>45996</v>
      </c>
      <c r="S1822" s="3" t="s">
        <v>37</v>
      </c>
      <c r="T1822" s="3" t="s">
        <v>38</v>
      </c>
      <c r="U1822" s="3" t="s">
        <v>39</v>
      </c>
      <c r="V1822" s="3">
        <v>910.69</v>
      </c>
      <c r="W1822" s="3">
        <v>387.04</v>
      </c>
      <c r="X1822" s="3">
        <v>366.55</v>
      </c>
      <c r="Y1822" s="3">
        <v>157.1</v>
      </c>
    </row>
    <row r="1823" spans="1:25" ht="60.75" x14ac:dyDescent="0.25">
      <c r="A1823" s="3" t="s">
        <v>26</v>
      </c>
      <c r="B1823" s="3" t="s">
        <v>27</v>
      </c>
      <c r="C1823" s="3" t="s">
        <v>28</v>
      </c>
      <c r="D1823" s="3" t="s">
        <v>50</v>
      </c>
      <c r="E1823" s="3" t="s">
        <v>252</v>
      </c>
      <c r="F1823" s="3" t="s">
        <v>52</v>
      </c>
      <c r="G1823" s="3" t="s">
        <v>252</v>
      </c>
      <c r="H1823" s="3" t="s">
        <v>45</v>
      </c>
      <c r="I1823" s="3">
        <v>2025</v>
      </c>
      <c r="J1823" s="3" t="str">
        <f>CONCATENATE("54820162078")</f>
        <v>54820162078</v>
      </c>
      <c r="K1823" s="3" t="s">
        <v>33</v>
      </c>
      <c r="L1823" s="3"/>
      <c r="M1823" s="3" t="s">
        <v>131</v>
      </c>
      <c r="N1823" s="3" t="str">
        <f>CONCATENATE("CNSRSE57T26G537X")</f>
        <v>CNSRSE57T26G537X</v>
      </c>
      <c r="O1823" s="3" t="s">
        <v>1954</v>
      </c>
      <c r="P1823" s="3" t="s">
        <v>36</v>
      </c>
      <c r="Q1823" s="3"/>
      <c r="R1823" s="4">
        <v>45996</v>
      </c>
      <c r="S1823" s="3" t="s">
        <v>37</v>
      </c>
      <c r="T1823" s="3" t="s">
        <v>38</v>
      </c>
      <c r="U1823" s="3" t="s">
        <v>39</v>
      </c>
      <c r="V1823" s="3">
        <v>171.27</v>
      </c>
      <c r="W1823" s="3">
        <v>72.790000000000006</v>
      </c>
      <c r="X1823" s="3">
        <v>68.94</v>
      </c>
      <c r="Y1823" s="3">
        <v>29.54</v>
      </c>
    </row>
    <row r="1824" spans="1:25" ht="60.75" x14ac:dyDescent="0.25">
      <c r="A1824" s="3" t="s">
        <v>26</v>
      </c>
      <c r="B1824" s="3" t="s">
        <v>27</v>
      </c>
      <c r="C1824" s="3" t="s">
        <v>28</v>
      </c>
      <c r="D1824" s="3" t="s">
        <v>29</v>
      </c>
      <c r="E1824" s="3" t="s">
        <v>80</v>
      </c>
      <c r="F1824" s="3" t="s">
        <v>31</v>
      </c>
      <c r="G1824" s="3" t="s">
        <v>80</v>
      </c>
      <c r="H1824" s="3" t="s">
        <v>45</v>
      </c>
      <c r="I1824" s="3">
        <v>2025</v>
      </c>
      <c r="J1824" s="3" t="str">
        <f>CONCATENATE("54820111588")</f>
        <v>54820111588</v>
      </c>
      <c r="K1824" s="3" t="s">
        <v>33</v>
      </c>
      <c r="L1824" s="3"/>
      <c r="M1824" s="3" t="s">
        <v>131</v>
      </c>
      <c r="N1824" s="3" t="str">
        <f>CONCATENATE("BGNCLL44B15G453T")</f>
        <v>BGNCLL44B15G453T</v>
      </c>
      <c r="O1824" s="3" t="s">
        <v>1955</v>
      </c>
      <c r="P1824" s="3" t="s">
        <v>36</v>
      </c>
      <c r="Q1824" s="3"/>
      <c r="R1824" s="4">
        <v>45996</v>
      </c>
      <c r="S1824" s="3" t="s">
        <v>37</v>
      </c>
      <c r="T1824" s="3" t="s">
        <v>38</v>
      </c>
      <c r="U1824" s="3" t="s">
        <v>39</v>
      </c>
      <c r="V1824" s="3">
        <v>268.06</v>
      </c>
      <c r="W1824" s="3">
        <v>113.93</v>
      </c>
      <c r="X1824" s="3">
        <v>107.89</v>
      </c>
      <c r="Y1824" s="3">
        <v>46.24</v>
      </c>
    </row>
    <row r="1825" spans="1:25" ht="36.75" x14ac:dyDescent="0.25">
      <c r="A1825" s="3" t="s">
        <v>26</v>
      </c>
      <c r="B1825" s="3" t="s">
        <v>27</v>
      </c>
      <c r="C1825" s="3" t="s">
        <v>28</v>
      </c>
      <c r="D1825" s="3" t="s">
        <v>50</v>
      </c>
      <c r="E1825" s="3" t="s">
        <v>60</v>
      </c>
      <c r="F1825" s="3" t="s">
        <v>52</v>
      </c>
      <c r="G1825" s="3" t="s">
        <v>60</v>
      </c>
      <c r="H1825" s="3" t="s">
        <v>45</v>
      </c>
      <c r="I1825" s="3">
        <v>2025</v>
      </c>
      <c r="J1825" s="3" t="str">
        <f>CONCATENATE("54820131156")</f>
        <v>54820131156</v>
      </c>
      <c r="K1825" s="3" t="s">
        <v>33</v>
      </c>
      <c r="L1825" s="3"/>
      <c r="M1825" s="3" t="s">
        <v>131</v>
      </c>
      <c r="N1825" s="3" t="str">
        <f>CONCATENATE("02042020418")</f>
        <v>02042020418</v>
      </c>
      <c r="O1825" s="3" t="s">
        <v>1956</v>
      </c>
      <c r="P1825" s="3" t="s">
        <v>36</v>
      </c>
      <c r="Q1825" s="3"/>
      <c r="R1825" s="4">
        <v>45996</v>
      </c>
      <c r="S1825" s="3" t="s">
        <v>37</v>
      </c>
      <c r="T1825" s="3" t="s">
        <v>38</v>
      </c>
      <c r="U1825" s="3" t="s">
        <v>39</v>
      </c>
      <c r="V1825" s="3">
        <v>50.57</v>
      </c>
      <c r="W1825" s="3">
        <v>21.49</v>
      </c>
      <c r="X1825" s="3">
        <v>20.350000000000001</v>
      </c>
      <c r="Y1825" s="3">
        <v>8.73</v>
      </c>
    </row>
    <row r="1826" spans="1:25" ht="60.75" x14ac:dyDescent="0.25">
      <c r="A1826" s="3" t="s">
        <v>26</v>
      </c>
      <c r="B1826" s="3" t="s">
        <v>27</v>
      </c>
      <c r="C1826" s="3" t="s">
        <v>28</v>
      </c>
      <c r="D1826" s="3" t="s">
        <v>29</v>
      </c>
      <c r="E1826" s="3" t="s">
        <v>136</v>
      </c>
      <c r="F1826" s="3" t="s">
        <v>31</v>
      </c>
      <c r="G1826" s="3" t="s">
        <v>136</v>
      </c>
      <c r="H1826" s="3" t="s">
        <v>48</v>
      </c>
      <c r="I1826" s="3">
        <v>2025</v>
      </c>
      <c r="J1826" s="3" t="str">
        <f>CONCATENATE("54820131958")</f>
        <v>54820131958</v>
      </c>
      <c r="K1826" s="3" t="s">
        <v>33</v>
      </c>
      <c r="L1826" s="3"/>
      <c r="M1826" s="3" t="s">
        <v>131</v>
      </c>
      <c r="N1826" s="3" t="str">
        <f>CONCATENATE("CCCPRZ68M51C615H")</f>
        <v>CCCPRZ68M51C615H</v>
      </c>
      <c r="O1826" s="3" t="s">
        <v>1957</v>
      </c>
      <c r="P1826" s="3" t="s">
        <v>36</v>
      </c>
      <c r="Q1826" s="3"/>
      <c r="R1826" s="4">
        <v>45996</v>
      </c>
      <c r="S1826" s="3" t="s">
        <v>37</v>
      </c>
      <c r="T1826" s="3" t="s">
        <v>38</v>
      </c>
      <c r="U1826" s="3" t="s">
        <v>39</v>
      </c>
      <c r="V1826" s="3">
        <v>188.01</v>
      </c>
      <c r="W1826" s="3">
        <v>79.900000000000006</v>
      </c>
      <c r="X1826" s="3">
        <v>75.67</v>
      </c>
      <c r="Y1826" s="3">
        <v>32.44</v>
      </c>
    </row>
    <row r="1827" spans="1:25" ht="60.75" x14ac:dyDescent="0.25">
      <c r="A1827" s="3" t="s">
        <v>26</v>
      </c>
      <c r="B1827" s="3" t="s">
        <v>27</v>
      </c>
      <c r="C1827" s="3" t="s">
        <v>28</v>
      </c>
      <c r="D1827" s="3" t="s">
        <v>50</v>
      </c>
      <c r="E1827" s="3" t="s">
        <v>252</v>
      </c>
      <c r="F1827" s="3" t="s">
        <v>52</v>
      </c>
      <c r="G1827" s="3" t="s">
        <v>252</v>
      </c>
      <c r="H1827" s="3" t="s">
        <v>45</v>
      </c>
      <c r="I1827" s="3">
        <v>2025</v>
      </c>
      <c r="J1827" s="3" t="str">
        <f>CONCATENATE("54820100912")</f>
        <v>54820100912</v>
      </c>
      <c r="K1827" s="3" t="s">
        <v>33</v>
      </c>
      <c r="L1827" s="3"/>
      <c r="M1827" s="3" t="s">
        <v>131</v>
      </c>
      <c r="N1827" s="3" t="str">
        <f>CONCATENATE("PRMGRL81S29L500N")</f>
        <v>PRMGRL81S29L500N</v>
      </c>
      <c r="O1827" s="3" t="s">
        <v>1958</v>
      </c>
      <c r="P1827" s="3" t="s">
        <v>36</v>
      </c>
      <c r="Q1827" s="3"/>
      <c r="R1827" s="4">
        <v>45996</v>
      </c>
      <c r="S1827" s="3" t="s">
        <v>37</v>
      </c>
      <c r="T1827" s="3" t="s">
        <v>38</v>
      </c>
      <c r="U1827" s="3" t="s">
        <v>39</v>
      </c>
      <c r="V1827" s="3">
        <v>108.17</v>
      </c>
      <c r="W1827" s="3">
        <v>45.97</v>
      </c>
      <c r="X1827" s="3">
        <v>43.54</v>
      </c>
      <c r="Y1827" s="3">
        <v>18.66</v>
      </c>
    </row>
    <row r="1828" spans="1:25" ht="36.75" x14ac:dyDescent="0.25">
      <c r="A1828" s="3" t="s">
        <v>26</v>
      </c>
      <c r="B1828" s="3" t="s">
        <v>27</v>
      </c>
      <c r="C1828" s="3" t="s">
        <v>28</v>
      </c>
      <c r="D1828" s="3" t="s">
        <v>40</v>
      </c>
      <c r="E1828" s="3" t="s">
        <v>218</v>
      </c>
      <c r="F1828" s="3" t="s">
        <v>42</v>
      </c>
      <c r="G1828" s="3" t="s">
        <v>218</v>
      </c>
      <c r="H1828" s="3" t="s">
        <v>45</v>
      </c>
      <c r="I1828" s="3">
        <v>2025</v>
      </c>
      <c r="J1828" s="3" t="str">
        <f>CONCATENATE("54820113501")</f>
        <v>54820113501</v>
      </c>
      <c r="K1828" s="3" t="s">
        <v>33</v>
      </c>
      <c r="L1828" s="3"/>
      <c r="M1828" s="3" t="s">
        <v>131</v>
      </c>
      <c r="N1828" s="3" t="str">
        <f>CONCATENATE("02208380416")</f>
        <v>02208380416</v>
      </c>
      <c r="O1828" s="3" t="s">
        <v>1959</v>
      </c>
      <c r="P1828" s="3" t="s">
        <v>36</v>
      </c>
      <c r="Q1828" s="3"/>
      <c r="R1828" s="4">
        <v>45996</v>
      </c>
      <c r="S1828" s="3" t="s">
        <v>37</v>
      </c>
      <c r="T1828" s="3" t="s">
        <v>38</v>
      </c>
      <c r="U1828" s="3" t="s">
        <v>39</v>
      </c>
      <c r="V1828" s="3">
        <v>333.14</v>
      </c>
      <c r="W1828" s="3">
        <v>141.58000000000001</v>
      </c>
      <c r="X1828" s="3">
        <v>134.09</v>
      </c>
      <c r="Y1828" s="3">
        <v>57.47</v>
      </c>
    </row>
    <row r="1829" spans="1:25" ht="36.75" x14ac:dyDescent="0.25">
      <c r="A1829" s="3" t="s">
        <v>26</v>
      </c>
      <c r="B1829" s="3" t="s">
        <v>27</v>
      </c>
      <c r="C1829" s="3" t="s">
        <v>28</v>
      </c>
      <c r="D1829" s="3" t="s">
        <v>50</v>
      </c>
      <c r="E1829" s="3" t="s">
        <v>252</v>
      </c>
      <c r="F1829" s="3" t="s">
        <v>52</v>
      </c>
      <c r="G1829" s="3" t="s">
        <v>252</v>
      </c>
      <c r="H1829" s="3" t="s">
        <v>45</v>
      </c>
      <c r="I1829" s="3">
        <v>2025</v>
      </c>
      <c r="J1829" s="3" t="str">
        <f>CONCATENATE("54820159520")</f>
        <v>54820159520</v>
      </c>
      <c r="K1829" s="3" t="s">
        <v>33</v>
      </c>
      <c r="L1829" s="3"/>
      <c r="M1829" s="3" t="s">
        <v>131</v>
      </c>
      <c r="N1829" s="3" t="str">
        <f>CONCATENATE("02784740413")</f>
        <v>02784740413</v>
      </c>
      <c r="O1829" s="3" t="s">
        <v>1960</v>
      </c>
      <c r="P1829" s="3" t="s">
        <v>36</v>
      </c>
      <c r="Q1829" s="3"/>
      <c r="R1829" s="4">
        <v>45996</v>
      </c>
      <c r="S1829" s="3" t="s">
        <v>37</v>
      </c>
      <c r="T1829" s="3" t="s">
        <v>38</v>
      </c>
      <c r="U1829" s="3" t="s">
        <v>39</v>
      </c>
      <c r="V1829" s="3">
        <v>690.39</v>
      </c>
      <c r="W1829" s="3">
        <v>293.42</v>
      </c>
      <c r="X1829" s="3">
        <v>277.88</v>
      </c>
      <c r="Y1829" s="3">
        <v>119.09</v>
      </c>
    </row>
    <row r="1830" spans="1:25" ht="60.75" x14ac:dyDescent="0.25">
      <c r="A1830" s="3" t="s">
        <v>26</v>
      </c>
      <c r="B1830" s="3" t="s">
        <v>27</v>
      </c>
      <c r="C1830" s="3" t="s">
        <v>28</v>
      </c>
      <c r="D1830" s="3" t="s">
        <v>50</v>
      </c>
      <c r="E1830" s="3" t="s">
        <v>252</v>
      </c>
      <c r="F1830" s="3" t="s">
        <v>52</v>
      </c>
      <c r="G1830" s="3" t="s">
        <v>252</v>
      </c>
      <c r="H1830" s="3" t="s">
        <v>45</v>
      </c>
      <c r="I1830" s="3">
        <v>2025</v>
      </c>
      <c r="J1830" s="3" t="str">
        <f>CONCATENATE("54820188115")</f>
        <v>54820188115</v>
      </c>
      <c r="K1830" s="3" t="s">
        <v>33</v>
      </c>
      <c r="L1830" s="3"/>
      <c r="M1830" s="3" t="s">
        <v>131</v>
      </c>
      <c r="N1830" s="3" t="str">
        <f>CONCATENATE("MRCSFN86C17D749V")</f>
        <v>MRCSFN86C17D749V</v>
      </c>
      <c r="O1830" s="3" t="s">
        <v>1961</v>
      </c>
      <c r="P1830" s="3" t="s">
        <v>36</v>
      </c>
      <c r="Q1830" s="3"/>
      <c r="R1830" s="4">
        <v>45996</v>
      </c>
      <c r="S1830" s="3" t="s">
        <v>37</v>
      </c>
      <c r="T1830" s="3" t="s">
        <v>38</v>
      </c>
      <c r="U1830" s="3" t="s">
        <v>39</v>
      </c>
      <c r="V1830" s="3">
        <v>141.86000000000001</v>
      </c>
      <c r="W1830" s="3">
        <v>60.29</v>
      </c>
      <c r="X1830" s="3">
        <v>57.1</v>
      </c>
      <c r="Y1830" s="3">
        <v>24.47</v>
      </c>
    </row>
    <row r="1831" spans="1:25" ht="60.75" x14ac:dyDescent="0.25">
      <c r="A1831" s="3" t="s">
        <v>26</v>
      </c>
      <c r="B1831" s="3" t="s">
        <v>27</v>
      </c>
      <c r="C1831" s="3" t="s">
        <v>28</v>
      </c>
      <c r="D1831" s="3" t="s">
        <v>40</v>
      </c>
      <c r="E1831" s="3" t="s">
        <v>54</v>
      </c>
      <c r="F1831" s="3" t="s">
        <v>42</v>
      </c>
      <c r="G1831" s="3" t="s">
        <v>54</v>
      </c>
      <c r="H1831" s="3" t="s">
        <v>45</v>
      </c>
      <c r="I1831" s="3">
        <v>2025</v>
      </c>
      <c r="J1831" s="3" t="str">
        <f>CONCATENATE("54820130737")</f>
        <v>54820130737</v>
      </c>
      <c r="K1831" s="3" t="s">
        <v>33</v>
      </c>
      <c r="L1831" s="3"/>
      <c r="M1831" s="3" t="s">
        <v>131</v>
      </c>
      <c r="N1831" s="3" t="str">
        <f>CONCATENATE("BNCSFN62C04L500O")</f>
        <v>BNCSFN62C04L500O</v>
      </c>
      <c r="O1831" s="3" t="s">
        <v>1962</v>
      </c>
      <c r="P1831" s="3" t="s">
        <v>36</v>
      </c>
      <c r="Q1831" s="3"/>
      <c r="R1831" s="4">
        <v>45996</v>
      </c>
      <c r="S1831" s="3" t="s">
        <v>37</v>
      </c>
      <c r="T1831" s="3" t="s">
        <v>38</v>
      </c>
      <c r="U1831" s="3" t="s">
        <v>39</v>
      </c>
      <c r="V1831" s="3">
        <v>470.59</v>
      </c>
      <c r="W1831" s="3">
        <v>200</v>
      </c>
      <c r="X1831" s="3">
        <v>189.41</v>
      </c>
      <c r="Y1831" s="3">
        <v>81.180000000000007</v>
      </c>
    </row>
    <row r="1832" spans="1:25" ht="60.75" x14ac:dyDescent="0.25">
      <c r="A1832" s="3" t="s">
        <v>26</v>
      </c>
      <c r="B1832" s="3" t="s">
        <v>27</v>
      </c>
      <c r="C1832" s="3" t="s">
        <v>28</v>
      </c>
      <c r="D1832" s="3" t="s">
        <v>91</v>
      </c>
      <c r="E1832" s="3" t="s">
        <v>522</v>
      </c>
      <c r="F1832" s="3" t="s">
        <v>93</v>
      </c>
      <c r="G1832" s="3" t="s">
        <v>522</v>
      </c>
      <c r="H1832" s="3" t="s">
        <v>32</v>
      </c>
      <c r="I1832" s="3">
        <v>2025</v>
      </c>
      <c r="J1832" s="3" t="str">
        <f>CONCATENATE("54820108782")</f>
        <v>54820108782</v>
      </c>
      <c r="K1832" s="3" t="s">
        <v>33</v>
      </c>
      <c r="L1832" s="3"/>
      <c r="M1832" s="3" t="s">
        <v>131</v>
      </c>
      <c r="N1832" s="3" t="str">
        <f>CONCATENATE("RCCSRN03D64I156E")</f>
        <v>RCCSRN03D64I156E</v>
      </c>
      <c r="O1832" s="3" t="s">
        <v>1963</v>
      </c>
      <c r="P1832" s="3" t="s">
        <v>36</v>
      </c>
      <c r="Q1832" s="3"/>
      <c r="R1832" s="4">
        <v>45996</v>
      </c>
      <c r="S1832" s="3" t="s">
        <v>37</v>
      </c>
      <c r="T1832" s="3" t="s">
        <v>38</v>
      </c>
      <c r="U1832" s="3" t="s">
        <v>39</v>
      </c>
      <c r="V1832" s="3">
        <v>434.31</v>
      </c>
      <c r="W1832" s="3">
        <v>184.58</v>
      </c>
      <c r="X1832" s="3">
        <v>174.81</v>
      </c>
      <c r="Y1832" s="3">
        <v>74.92</v>
      </c>
    </row>
    <row r="1833" spans="1:25" ht="60.75" x14ac:dyDescent="0.25">
      <c r="A1833" s="3" t="s">
        <v>26</v>
      </c>
      <c r="B1833" s="3" t="s">
        <v>27</v>
      </c>
      <c r="C1833" s="3" t="s">
        <v>28</v>
      </c>
      <c r="D1833" s="3" t="s">
        <v>104</v>
      </c>
      <c r="E1833" s="3" t="s">
        <v>141</v>
      </c>
      <c r="F1833" s="3" t="s">
        <v>104</v>
      </c>
      <c r="G1833" s="3" t="s">
        <v>141</v>
      </c>
      <c r="H1833" s="3" t="s">
        <v>96</v>
      </c>
      <c r="I1833" s="3">
        <v>2025</v>
      </c>
      <c r="J1833" s="3" t="str">
        <f>CONCATENATE("54820144811")</f>
        <v>54820144811</v>
      </c>
      <c r="K1833" s="3" t="s">
        <v>33</v>
      </c>
      <c r="L1833" s="3"/>
      <c r="M1833" s="3" t="s">
        <v>131</v>
      </c>
      <c r="N1833" s="3" t="str">
        <f>CONCATENATE("PSCRND38A22F570L")</f>
        <v>PSCRND38A22F570L</v>
      </c>
      <c r="O1833" s="3" t="s">
        <v>1964</v>
      </c>
      <c r="P1833" s="3" t="s">
        <v>36</v>
      </c>
      <c r="Q1833" s="3"/>
      <c r="R1833" s="4">
        <v>45996</v>
      </c>
      <c r="S1833" s="3" t="s">
        <v>37</v>
      </c>
      <c r="T1833" s="3" t="s">
        <v>38</v>
      </c>
      <c r="U1833" s="3" t="s">
        <v>39</v>
      </c>
      <c r="V1833" s="3">
        <v>129.80000000000001</v>
      </c>
      <c r="W1833" s="3">
        <v>55.17</v>
      </c>
      <c r="X1833" s="3">
        <v>52.24</v>
      </c>
      <c r="Y1833" s="3">
        <v>22.39</v>
      </c>
    </row>
    <row r="1834" spans="1:25" ht="60.75" x14ac:dyDescent="0.25">
      <c r="A1834" s="3" t="s">
        <v>26</v>
      </c>
      <c r="B1834" s="3" t="s">
        <v>27</v>
      </c>
      <c r="C1834" s="3" t="s">
        <v>28</v>
      </c>
      <c r="D1834" s="3" t="s">
        <v>50</v>
      </c>
      <c r="E1834" s="3" t="s">
        <v>60</v>
      </c>
      <c r="F1834" s="3" t="s">
        <v>52</v>
      </c>
      <c r="G1834" s="3" t="s">
        <v>60</v>
      </c>
      <c r="H1834" s="3" t="s">
        <v>45</v>
      </c>
      <c r="I1834" s="3">
        <v>2025</v>
      </c>
      <c r="J1834" s="3" t="str">
        <f>CONCATENATE("54820108485")</f>
        <v>54820108485</v>
      </c>
      <c r="K1834" s="3" t="s">
        <v>33</v>
      </c>
      <c r="L1834" s="3"/>
      <c r="M1834" s="3" t="s">
        <v>131</v>
      </c>
      <c r="N1834" s="3" t="str">
        <f>CONCATENATE("CRNPTR46B09A035L")</f>
        <v>CRNPTR46B09A035L</v>
      </c>
      <c r="O1834" s="3" t="s">
        <v>1965</v>
      </c>
      <c r="P1834" s="3" t="s">
        <v>36</v>
      </c>
      <c r="Q1834" s="3"/>
      <c r="R1834" s="4">
        <v>45996</v>
      </c>
      <c r="S1834" s="3" t="s">
        <v>37</v>
      </c>
      <c r="T1834" s="3" t="s">
        <v>38</v>
      </c>
      <c r="U1834" s="3" t="s">
        <v>39</v>
      </c>
      <c r="V1834" s="3">
        <v>58.1</v>
      </c>
      <c r="W1834" s="3">
        <v>24.69</v>
      </c>
      <c r="X1834" s="3">
        <v>23.39</v>
      </c>
      <c r="Y1834" s="3">
        <v>10.02</v>
      </c>
    </row>
    <row r="1835" spans="1:25" ht="60.75" x14ac:dyDescent="0.25">
      <c r="A1835" s="3" t="s">
        <v>26</v>
      </c>
      <c r="B1835" s="3" t="s">
        <v>27</v>
      </c>
      <c r="C1835" s="3" t="s">
        <v>28</v>
      </c>
      <c r="D1835" s="3" t="s">
        <v>29</v>
      </c>
      <c r="E1835" s="3" t="s">
        <v>136</v>
      </c>
      <c r="F1835" s="3" t="s">
        <v>31</v>
      </c>
      <c r="G1835" s="3" t="s">
        <v>136</v>
      </c>
      <c r="H1835" s="3" t="s">
        <v>48</v>
      </c>
      <c r="I1835" s="3">
        <v>2025</v>
      </c>
      <c r="J1835" s="3" t="str">
        <f>CONCATENATE("54820076765")</f>
        <v>54820076765</v>
      </c>
      <c r="K1835" s="3" t="s">
        <v>33</v>
      </c>
      <c r="L1835" s="3"/>
      <c r="M1835" s="3" t="s">
        <v>131</v>
      </c>
      <c r="N1835" s="3" t="str">
        <f>CONCATENATE("FRRGPP60D45I461U")</f>
        <v>FRRGPP60D45I461U</v>
      </c>
      <c r="O1835" s="3" t="s">
        <v>1966</v>
      </c>
      <c r="P1835" s="3" t="s">
        <v>36</v>
      </c>
      <c r="Q1835" s="3"/>
      <c r="R1835" s="4">
        <v>45996</v>
      </c>
      <c r="S1835" s="3" t="s">
        <v>37</v>
      </c>
      <c r="T1835" s="3" t="s">
        <v>38</v>
      </c>
      <c r="U1835" s="3" t="s">
        <v>39</v>
      </c>
      <c r="V1835" s="3">
        <v>86.09</v>
      </c>
      <c r="W1835" s="3">
        <v>36.590000000000003</v>
      </c>
      <c r="X1835" s="3">
        <v>34.65</v>
      </c>
      <c r="Y1835" s="3">
        <v>14.85</v>
      </c>
    </row>
    <row r="1836" spans="1:25" ht="60.75" x14ac:dyDescent="0.25">
      <c r="A1836" s="3" t="s">
        <v>26</v>
      </c>
      <c r="B1836" s="3" t="s">
        <v>27</v>
      </c>
      <c r="C1836" s="3" t="s">
        <v>28</v>
      </c>
      <c r="D1836" s="3" t="s">
        <v>29</v>
      </c>
      <c r="E1836" s="3" t="s">
        <v>56</v>
      </c>
      <c r="F1836" s="3" t="s">
        <v>31</v>
      </c>
      <c r="G1836" s="3" t="s">
        <v>56</v>
      </c>
      <c r="H1836" s="3" t="s">
        <v>32</v>
      </c>
      <c r="I1836" s="3">
        <v>2025</v>
      </c>
      <c r="J1836" s="3" t="str">
        <f>CONCATENATE("54820219415")</f>
        <v>54820219415</v>
      </c>
      <c r="K1836" s="3" t="s">
        <v>33</v>
      </c>
      <c r="L1836" s="3"/>
      <c r="M1836" s="3" t="s">
        <v>131</v>
      </c>
      <c r="N1836" s="3" t="str">
        <f>CONCATENATE("NCOMLA48H51H501E")</f>
        <v>NCOMLA48H51H501E</v>
      </c>
      <c r="O1836" s="3" t="s">
        <v>1967</v>
      </c>
      <c r="P1836" s="3" t="s">
        <v>36</v>
      </c>
      <c r="Q1836" s="3"/>
      <c r="R1836" s="4">
        <v>45996</v>
      </c>
      <c r="S1836" s="3" t="s">
        <v>37</v>
      </c>
      <c r="T1836" s="3" t="s">
        <v>38</v>
      </c>
      <c r="U1836" s="3" t="s">
        <v>39</v>
      </c>
      <c r="V1836" s="3">
        <v>116.28</v>
      </c>
      <c r="W1836" s="3">
        <v>49.42</v>
      </c>
      <c r="X1836" s="3">
        <v>46.8</v>
      </c>
      <c r="Y1836" s="3">
        <v>20.059999999999999</v>
      </c>
    </row>
    <row r="1837" spans="1:25" ht="60.75" x14ac:dyDescent="0.25">
      <c r="A1837" s="3" t="s">
        <v>26</v>
      </c>
      <c r="B1837" s="3" t="s">
        <v>27</v>
      </c>
      <c r="C1837" s="3" t="s">
        <v>28</v>
      </c>
      <c r="D1837" s="3" t="s">
        <v>104</v>
      </c>
      <c r="E1837" s="3" t="s">
        <v>141</v>
      </c>
      <c r="F1837" s="3" t="s">
        <v>104</v>
      </c>
      <c r="G1837" s="3" t="s">
        <v>141</v>
      </c>
      <c r="H1837" s="3" t="s">
        <v>96</v>
      </c>
      <c r="I1837" s="3">
        <v>2025</v>
      </c>
      <c r="J1837" s="3" t="str">
        <f>CONCATENATE("54820144670")</f>
        <v>54820144670</v>
      </c>
      <c r="K1837" s="3" t="s">
        <v>33</v>
      </c>
      <c r="L1837" s="3"/>
      <c r="M1837" s="3" t="s">
        <v>131</v>
      </c>
      <c r="N1837" s="3" t="str">
        <f>CONCATENATE("MSSNDR70P14C935Y")</f>
        <v>MSSNDR70P14C935Y</v>
      </c>
      <c r="O1837" s="3" t="s">
        <v>1968</v>
      </c>
      <c r="P1837" s="3" t="s">
        <v>36</v>
      </c>
      <c r="Q1837" s="3"/>
      <c r="R1837" s="4">
        <v>45996</v>
      </c>
      <c r="S1837" s="3" t="s">
        <v>37</v>
      </c>
      <c r="T1837" s="3" t="s">
        <v>38</v>
      </c>
      <c r="U1837" s="3" t="s">
        <v>39</v>
      </c>
      <c r="V1837" s="3">
        <v>189.28</v>
      </c>
      <c r="W1837" s="3">
        <v>80.44</v>
      </c>
      <c r="X1837" s="3">
        <v>76.19</v>
      </c>
      <c r="Y1837" s="3">
        <v>32.65</v>
      </c>
    </row>
    <row r="1838" spans="1:25" ht="60.75" x14ac:dyDescent="0.25">
      <c r="A1838" s="3" t="s">
        <v>26</v>
      </c>
      <c r="B1838" s="3" t="s">
        <v>27</v>
      </c>
      <c r="C1838" s="3" t="s">
        <v>28</v>
      </c>
      <c r="D1838" s="3" t="s">
        <v>29</v>
      </c>
      <c r="E1838" s="3" t="s">
        <v>80</v>
      </c>
      <c r="F1838" s="3" t="s">
        <v>31</v>
      </c>
      <c r="G1838" s="3" t="s">
        <v>80</v>
      </c>
      <c r="H1838" s="3" t="s">
        <v>45</v>
      </c>
      <c r="I1838" s="3">
        <v>2025</v>
      </c>
      <c r="J1838" s="3" t="str">
        <f>CONCATENATE("54820146568")</f>
        <v>54820146568</v>
      </c>
      <c r="K1838" s="3" t="s">
        <v>33</v>
      </c>
      <c r="L1838" s="3"/>
      <c r="M1838" s="3" t="s">
        <v>131</v>
      </c>
      <c r="N1838" s="3" t="str">
        <f>CONCATENATE("VLNVNI50S05I461V")</f>
        <v>VLNVNI50S05I461V</v>
      </c>
      <c r="O1838" s="3" t="s">
        <v>1969</v>
      </c>
      <c r="P1838" s="3" t="s">
        <v>36</v>
      </c>
      <c r="Q1838" s="3"/>
      <c r="R1838" s="4">
        <v>45996</v>
      </c>
      <c r="S1838" s="3" t="s">
        <v>37</v>
      </c>
      <c r="T1838" s="3" t="s">
        <v>38</v>
      </c>
      <c r="U1838" s="3" t="s">
        <v>39</v>
      </c>
      <c r="V1838" s="3">
        <v>117.4</v>
      </c>
      <c r="W1838" s="3">
        <v>49.9</v>
      </c>
      <c r="X1838" s="3">
        <v>47.25</v>
      </c>
      <c r="Y1838" s="3">
        <v>20.25</v>
      </c>
    </row>
    <row r="1839" spans="1:25" ht="36.75" x14ac:dyDescent="0.25">
      <c r="A1839" s="3" t="s">
        <v>26</v>
      </c>
      <c r="B1839" s="3" t="s">
        <v>27</v>
      </c>
      <c r="C1839" s="3" t="s">
        <v>28</v>
      </c>
      <c r="D1839" s="3" t="s">
        <v>29</v>
      </c>
      <c r="E1839" s="3" t="s">
        <v>72</v>
      </c>
      <c r="F1839" s="3" t="s">
        <v>31</v>
      </c>
      <c r="G1839" s="3" t="s">
        <v>72</v>
      </c>
      <c r="H1839" s="3" t="s">
        <v>45</v>
      </c>
      <c r="I1839" s="3">
        <v>2025</v>
      </c>
      <c r="J1839" s="3" t="str">
        <f>CONCATENATE("54820080205")</f>
        <v>54820080205</v>
      </c>
      <c r="K1839" s="3" t="s">
        <v>33</v>
      </c>
      <c r="L1839" s="3"/>
      <c r="M1839" s="3" t="s">
        <v>131</v>
      </c>
      <c r="N1839" s="3" t="str">
        <f>CONCATENATE("02344860412")</f>
        <v>02344860412</v>
      </c>
      <c r="O1839" s="3" t="s">
        <v>1970</v>
      </c>
      <c r="P1839" s="3" t="s">
        <v>36</v>
      </c>
      <c r="Q1839" s="3"/>
      <c r="R1839" s="4">
        <v>45996</v>
      </c>
      <c r="S1839" s="3" t="s">
        <v>37</v>
      </c>
      <c r="T1839" s="3" t="s">
        <v>38</v>
      </c>
      <c r="U1839" s="3" t="s">
        <v>39</v>
      </c>
      <c r="V1839" s="3">
        <v>214.82</v>
      </c>
      <c r="W1839" s="3">
        <v>91.3</v>
      </c>
      <c r="X1839" s="3">
        <v>86.47</v>
      </c>
      <c r="Y1839" s="3">
        <v>37.049999999999997</v>
      </c>
    </row>
    <row r="1840" spans="1:25" ht="60.75" x14ac:dyDescent="0.25">
      <c r="A1840" s="3" t="s">
        <v>26</v>
      </c>
      <c r="B1840" s="3" t="s">
        <v>27</v>
      </c>
      <c r="C1840" s="3" t="s">
        <v>28</v>
      </c>
      <c r="D1840" s="3" t="s">
        <v>50</v>
      </c>
      <c r="E1840" s="3" t="s">
        <v>51</v>
      </c>
      <c r="F1840" s="3" t="s">
        <v>52</v>
      </c>
      <c r="G1840" s="3" t="s">
        <v>51</v>
      </c>
      <c r="H1840" s="3" t="s">
        <v>48</v>
      </c>
      <c r="I1840" s="3">
        <v>2025</v>
      </c>
      <c r="J1840" s="3" t="str">
        <f>CONCATENATE("54820087705")</f>
        <v>54820087705</v>
      </c>
      <c r="K1840" s="3" t="s">
        <v>33</v>
      </c>
      <c r="L1840" s="3"/>
      <c r="M1840" s="3" t="s">
        <v>131</v>
      </c>
      <c r="N1840" s="3" t="str">
        <f>CONCATENATE("PMBNDA53C56A366A")</f>
        <v>PMBNDA53C56A366A</v>
      </c>
      <c r="O1840" s="3" t="s">
        <v>1971</v>
      </c>
      <c r="P1840" s="3" t="s">
        <v>36</v>
      </c>
      <c r="Q1840" s="3"/>
      <c r="R1840" s="4">
        <v>45996</v>
      </c>
      <c r="S1840" s="3" t="s">
        <v>37</v>
      </c>
      <c r="T1840" s="3" t="s">
        <v>38</v>
      </c>
      <c r="U1840" s="3" t="s">
        <v>39</v>
      </c>
      <c r="V1840" s="3">
        <v>49.12</v>
      </c>
      <c r="W1840" s="3">
        <v>20.88</v>
      </c>
      <c r="X1840" s="3">
        <v>19.77</v>
      </c>
      <c r="Y1840" s="3">
        <v>8.4700000000000006</v>
      </c>
    </row>
    <row r="1841" spans="1:25" ht="60.75" x14ac:dyDescent="0.25">
      <c r="A1841" s="3" t="s">
        <v>26</v>
      </c>
      <c r="B1841" s="3" t="s">
        <v>27</v>
      </c>
      <c r="C1841" s="3" t="s">
        <v>28</v>
      </c>
      <c r="D1841" s="3" t="s">
        <v>29</v>
      </c>
      <c r="E1841" s="3" t="s">
        <v>182</v>
      </c>
      <c r="F1841" s="3" t="s">
        <v>31</v>
      </c>
      <c r="G1841" s="3" t="s">
        <v>182</v>
      </c>
      <c r="H1841" s="3" t="s">
        <v>45</v>
      </c>
      <c r="I1841" s="3">
        <v>2025</v>
      </c>
      <c r="J1841" s="3" t="str">
        <f>CONCATENATE("54820159132")</f>
        <v>54820159132</v>
      </c>
      <c r="K1841" s="3" t="s">
        <v>33</v>
      </c>
      <c r="L1841" s="3"/>
      <c r="M1841" s="3" t="s">
        <v>131</v>
      </c>
      <c r="N1841" s="3" t="str">
        <f>CONCATENATE("RGGLNI44M51L500Z")</f>
        <v>RGGLNI44M51L500Z</v>
      </c>
      <c r="O1841" s="3" t="s">
        <v>1972</v>
      </c>
      <c r="P1841" s="3" t="s">
        <v>36</v>
      </c>
      <c r="Q1841" s="3"/>
      <c r="R1841" s="4">
        <v>45996</v>
      </c>
      <c r="S1841" s="3" t="s">
        <v>37</v>
      </c>
      <c r="T1841" s="3" t="s">
        <v>38</v>
      </c>
      <c r="U1841" s="3" t="s">
        <v>39</v>
      </c>
      <c r="V1841" s="3">
        <v>59.94</v>
      </c>
      <c r="W1841" s="3">
        <v>25.47</v>
      </c>
      <c r="X1841" s="3">
        <v>24.13</v>
      </c>
      <c r="Y1841" s="3">
        <v>10.34</v>
      </c>
    </row>
    <row r="1842" spans="1:25" ht="60.75" x14ac:dyDescent="0.25">
      <c r="A1842" s="3" t="s">
        <v>26</v>
      </c>
      <c r="B1842" s="3" t="s">
        <v>27</v>
      </c>
      <c r="C1842" s="3" t="s">
        <v>28</v>
      </c>
      <c r="D1842" s="3" t="s">
        <v>50</v>
      </c>
      <c r="E1842" s="3" t="s">
        <v>60</v>
      </c>
      <c r="F1842" s="3" t="s">
        <v>52</v>
      </c>
      <c r="G1842" s="3" t="s">
        <v>60</v>
      </c>
      <c r="H1842" s="3" t="s">
        <v>45</v>
      </c>
      <c r="I1842" s="3">
        <v>2025</v>
      </c>
      <c r="J1842" s="3" t="str">
        <f>CONCATENATE("54820106950")</f>
        <v>54820106950</v>
      </c>
      <c r="K1842" s="3" t="s">
        <v>33</v>
      </c>
      <c r="L1842" s="3"/>
      <c r="M1842" s="3" t="s">
        <v>131</v>
      </c>
      <c r="N1842" s="3" t="str">
        <f>CONCATENATE("BRSFLL58S42B352F")</f>
        <v>BRSFLL58S42B352F</v>
      </c>
      <c r="O1842" s="3" t="s">
        <v>1973</v>
      </c>
      <c r="P1842" s="3" t="s">
        <v>36</v>
      </c>
      <c r="Q1842" s="3"/>
      <c r="R1842" s="4">
        <v>45996</v>
      </c>
      <c r="S1842" s="3" t="s">
        <v>37</v>
      </c>
      <c r="T1842" s="3" t="s">
        <v>38</v>
      </c>
      <c r="U1842" s="3" t="s">
        <v>39</v>
      </c>
      <c r="V1842" s="3">
        <v>262.45</v>
      </c>
      <c r="W1842" s="3">
        <v>111.54</v>
      </c>
      <c r="X1842" s="3">
        <v>105.64</v>
      </c>
      <c r="Y1842" s="3">
        <v>45.27</v>
      </c>
    </row>
    <row r="1843" spans="1:25" ht="60.75" x14ac:dyDescent="0.25">
      <c r="A1843" s="3" t="s">
        <v>26</v>
      </c>
      <c r="B1843" s="3" t="s">
        <v>27</v>
      </c>
      <c r="C1843" s="3" t="s">
        <v>28</v>
      </c>
      <c r="D1843" s="3" t="s">
        <v>29</v>
      </c>
      <c r="E1843" s="3" t="s">
        <v>228</v>
      </c>
      <c r="F1843" s="3" t="s">
        <v>31</v>
      </c>
      <c r="G1843" s="3" t="s">
        <v>228</v>
      </c>
      <c r="H1843" s="3" t="s">
        <v>45</v>
      </c>
      <c r="I1843" s="3">
        <v>2025</v>
      </c>
      <c r="J1843" s="3" t="str">
        <f>CONCATENATE("54820050612")</f>
        <v>54820050612</v>
      </c>
      <c r="K1843" s="3" t="s">
        <v>33</v>
      </c>
      <c r="L1843" s="3"/>
      <c r="M1843" s="3" t="s">
        <v>131</v>
      </c>
      <c r="N1843" s="3" t="str">
        <f>CONCATENATE("PRSGTN50T10F497E")</f>
        <v>PRSGTN50T10F497E</v>
      </c>
      <c r="O1843" s="3" t="s">
        <v>1974</v>
      </c>
      <c r="P1843" s="3" t="s">
        <v>36</v>
      </c>
      <c r="Q1843" s="3"/>
      <c r="R1843" s="4">
        <v>45996</v>
      </c>
      <c r="S1843" s="3" t="s">
        <v>37</v>
      </c>
      <c r="T1843" s="3" t="s">
        <v>38</v>
      </c>
      <c r="U1843" s="3" t="s">
        <v>39</v>
      </c>
      <c r="V1843" s="3">
        <v>86.32</v>
      </c>
      <c r="W1843" s="3">
        <v>36.69</v>
      </c>
      <c r="X1843" s="3">
        <v>34.74</v>
      </c>
      <c r="Y1843" s="3">
        <v>14.89</v>
      </c>
    </row>
    <row r="1844" spans="1:25" ht="36.75" x14ac:dyDescent="0.25">
      <c r="A1844" s="3" t="s">
        <v>26</v>
      </c>
      <c r="B1844" s="3" t="s">
        <v>27</v>
      </c>
      <c r="C1844" s="3" t="s">
        <v>28</v>
      </c>
      <c r="D1844" s="3" t="s">
        <v>29</v>
      </c>
      <c r="E1844" s="3" t="s">
        <v>1975</v>
      </c>
      <c r="F1844" s="3" t="s">
        <v>31</v>
      </c>
      <c r="G1844" s="3" t="s">
        <v>1975</v>
      </c>
      <c r="H1844" s="3" t="s">
        <v>32</v>
      </c>
      <c r="I1844" s="3">
        <v>2025</v>
      </c>
      <c r="J1844" s="3" t="str">
        <f>CONCATENATE("54820067244")</f>
        <v>54820067244</v>
      </c>
      <c r="K1844" s="3" t="s">
        <v>33</v>
      </c>
      <c r="L1844" s="3"/>
      <c r="M1844" s="3" t="s">
        <v>131</v>
      </c>
      <c r="N1844" s="3" t="str">
        <f>CONCATENATE("01990130435")</f>
        <v>01990130435</v>
      </c>
      <c r="O1844" s="3" t="s">
        <v>1976</v>
      </c>
      <c r="P1844" s="3" t="s">
        <v>36</v>
      </c>
      <c r="Q1844" s="3"/>
      <c r="R1844" s="4">
        <v>45996</v>
      </c>
      <c r="S1844" s="3" t="s">
        <v>37</v>
      </c>
      <c r="T1844" s="3" t="s">
        <v>38</v>
      </c>
      <c r="U1844" s="3" t="s">
        <v>39</v>
      </c>
      <c r="V1844" s="3">
        <v>119.78</v>
      </c>
      <c r="W1844" s="3">
        <v>50.91</v>
      </c>
      <c r="X1844" s="3">
        <v>48.21</v>
      </c>
      <c r="Y1844" s="3">
        <v>20.66</v>
      </c>
    </row>
    <row r="1845" spans="1:25" ht="60.75" x14ac:dyDescent="0.25">
      <c r="A1845" s="3" t="s">
        <v>26</v>
      </c>
      <c r="B1845" s="3" t="s">
        <v>27</v>
      </c>
      <c r="C1845" s="3" t="s">
        <v>28</v>
      </c>
      <c r="D1845" s="3" t="s">
        <v>50</v>
      </c>
      <c r="E1845" s="3" t="s">
        <v>252</v>
      </c>
      <c r="F1845" s="3" t="s">
        <v>52</v>
      </c>
      <c r="G1845" s="3" t="s">
        <v>252</v>
      </c>
      <c r="H1845" s="3" t="s">
        <v>45</v>
      </c>
      <c r="I1845" s="3">
        <v>2025</v>
      </c>
      <c r="J1845" s="3" t="str">
        <f>CONCATENATE("54820141593")</f>
        <v>54820141593</v>
      </c>
      <c r="K1845" s="3" t="s">
        <v>33</v>
      </c>
      <c r="L1845" s="3"/>
      <c r="M1845" s="3" t="s">
        <v>131</v>
      </c>
      <c r="N1845" s="3" t="str">
        <f>CONCATENATE("BBNLCN63B03I654I")</f>
        <v>BBNLCN63B03I654I</v>
      </c>
      <c r="O1845" s="3" t="s">
        <v>1977</v>
      </c>
      <c r="P1845" s="3" t="s">
        <v>36</v>
      </c>
      <c r="Q1845" s="3"/>
      <c r="R1845" s="4">
        <v>45996</v>
      </c>
      <c r="S1845" s="3" t="s">
        <v>37</v>
      </c>
      <c r="T1845" s="3" t="s">
        <v>38</v>
      </c>
      <c r="U1845" s="3" t="s">
        <v>39</v>
      </c>
      <c r="V1845" s="3">
        <v>59.27</v>
      </c>
      <c r="W1845" s="3">
        <v>25.19</v>
      </c>
      <c r="X1845" s="3">
        <v>23.86</v>
      </c>
      <c r="Y1845" s="3">
        <v>10.220000000000001</v>
      </c>
    </row>
    <row r="1846" spans="1:25" ht="72.75" x14ac:dyDescent="0.25">
      <c r="A1846" s="3" t="s">
        <v>26</v>
      </c>
      <c r="B1846" s="3" t="s">
        <v>27</v>
      </c>
      <c r="C1846" s="3" t="s">
        <v>28</v>
      </c>
      <c r="D1846" s="3" t="s">
        <v>29</v>
      </c>
      <c r="E1846" s="3" t="s">
        <v>80</v>
      </c>
      <c r="F1846" s="3" t="s">
        <v>31</v>
      </c>
      <c r="G1846" s="3" t="s">
        <v>80</v>
      </c>
      <c r="H1846" s="3" t="s">
        <v>45</v>
      </c>
      <c r="I1846" s="3">
        <v>2025</v>
      </c>
      <c r="J1846" s="3" t="str">
        <f>CONCATENATE("54820160932")</f>
        <v>54820160932</v>
      </c>
      <c r="K1846" s="3" t="s">
        <v>33</v>
      </c>
      <c r="L1846" s="3"/>
      <c r="M1846" s="3" t="s">
        <v>131</v>
      </c>
      <c r="N1846" s="3" t="str">
        <f>CONCATENATE("ZPPVTR60A65D808N")</f>
        <v>ZPPVTR60A65D808N</v>
      </c>
      <c r="O1846" s="3" t="s">
        <v>1978</v>
      </c>
      <c r="P1846" s="3" t="s">
        <v>36</v>
      </c>
      <c r="Q1846" s="3"/>
      <c r="R1846" s="4">
        <v>45996</v>
      </c>
      <c r="S1846" s="3" t="s">
        <v>37</v>
      </c>
      <c r="T1846" s="3" t="s">
        <v>38</v>
      </c>
      <c r="U1846" s="3" t="s">
        <v>39</v>
      </c>
      <c r="V1846" s="3">
        <v>211.64</v>
      </c>
      <c r="W1846" s="3">
        <v>89.95</v>
      </c>
      <c r="X1846" s="3">
        <v>85.19</v>
      </c>
      <c r="Y1846" s="3">
        <v>36.5</v>
      </c>
    </row>
    <row r="1847" spans="1:25" ht="60.75" x14ac:dyDescent="0.25">
      <c r="A1847" s="3" t="s">
        <v>26</v>
      </c>
      <c r="B1847" s="3" t="s">
        <v>27</v>
      </c>
      <c r="C1847" s="3" t="s">
        <v>28</v>
      </c>
      <c r="D1847" s="3" t="s">
        <v>29</v>
      </c>
      <c r="E1847" s="3" t="s">
        <v>72</v>
      </c>
      <c r="F1847" s="3" t="s">
        <v>31</v>
      </c>
      <c r="G1847" s="3" t="s">
        <v>72</v>
      </c>
      <c r="H1847" s="3" t="s">
        <v>45</v>
      </c>
      <c r="I1847" s="3">
        <v>2025</v>
      </c>
      <c r="J1847" s="3" t="str">
        <f>CONCATENATE("54820208194")</f>
        <v>54820208194</v>
      </c>
      <c r="K1847" s="3" t="s">
        <v>33</v>
      </c>
      <c r="L1847" s="3"/>
      <c r="M1847" s="3" t="s">
        <v>131</v>
      </c>
      <c r="N1847" s="3" t="str">
        <f>CONCATENATE("CNTLTT59H41B352H")</f>
        <v>CNTLTT59H41B352H</v>
      </c>
      <c r="O1847" s="3" t="s">
        <v>1979</v>
      </c>
      <c r="P1847" s="3" t="s">
        <v>36</v>
      </c>
      <c r="Q1847" s="3"/>
      <c r="R1847" s="4">
        <v>45996</v>
      </c>
      <c r="S1847" s="3" t="s">
        <v>37</v>
      </c>
      <c r="T1847" s="3" t="s">
        <v>38</v>
      </c>
      <c r="U1847" s="3" t="s">
        <v>39</v>
      </c>
      <c r="V1847" s="3">
        <v>94.29</v>
      </c>
      <c r="W1847" s="3">
        <v>40.07</v>
      </c>
      <c r="X1847" s="3">
        <v>37.950000000000003</v>
      </c>
      <c r="Y1847" s="3">
        <v>16.27</v>
      </c>
    </row>
    <row r="1848" spans="1:25" ht="60.75" x14ac:dyDescent="0.25">
      <c r="A1848" s="3" t="s">
        <v>26</v>
      </c>
      <c r="B1848" s="3" t="s">
        <v>27</v>
      </c>
      <c r="C1848" s="3" t="s">
        <v>28</v>
      </c>
      <c r="D1848" s="3" t="s">
        <v>50</v>
      </c>
      <c r="E1848" s="3" t="s">
        <v>60</v>
      </c>
      <c r="F1848" s="3" t="s">
        <v>52</v>
      </c>
      <c r="G1848" s="3" t="s">
        <v>60</v>
      </c>
      <c r="H1848" s="3" t="s">
        <v>45</v>
      </c>
      <c r="I1848" s="3">
        <v>2025</v>
      </c>
      <c r="J1848" s="3" t="str">
        <f>CONCATENATE("54820166533")</f>
        <v>54820166533</v>
      </c>
      <c r="K1848" s="3" t="s">
        <v>33</v>
      </c>
      <c r="L1848" s="3"/>
      <c r="M1848" s="3" t="s">
        <v>131</v>
      </c>
      <c r="N1848" s="3" t="str">
        <f>CONCATENATE("SRLFNC52D18A639L")</f>
        <v>SRLFNC52D18A639L</v>
      </c>
      <c r="O1848" s="3" t="s">
        <v>1980</v>
      </c>
      <c r="P1848" s="3" t="s">
        <v>36</v>
      </c>
      <c r="Q1848" s="3"/>
      <c r="R1848" s="4">
        <v>45996</v>
      </c>
      <c r="S1848" s="3" t="s">
        <v>37</v>
      </c>
      <c r="T1848" s="3" t="s">
        <v>38</v>
      </c>
      <c r="U1848" s="3" t="s">
        <v>39</v>
      </c>
      <c r="V1848" s="3">
        <v>384.61</v>
      </c>
      <c r="W1848" s="3">
        <v>163.46</v>
      </c>
      <c r="X1848" s="3">
        <v>154.81</v>
      </c>
      <c r="Y1848" s="3">
        <v>66.34</v>
      </c>
    </row>
    <row r="1849" spans="1:25" ht="60.75" x14ac:dyDescent="0.25">
      <c r="A1849" s="3" t="s">
        <v>26</v>
      </c>
      <c r="B1849" s="3" t="s">
        <v>27</v>
      </c>
      <c r="C1849" s="3" t="s">
        <v>28</v>
      </c>
      <c r="D1849" s="3" t="s">
        <v>29</v>
      </c>
      <c r="E1849" s="3" t="s">
        <v>476</v>
      </c>
      <c r="F1849" s="3" t="s">
        <v>31</v>
      </c>
      <c r="G1849" s="3" t="s">
        <v>476</v>
      </c>
      <c r="H1849" s="3" t="s">
        <v>48</v>
      </c>
      <c r="I1849" s="3">
        <v>2025</v>
      </c>
      <c r="J1849" s="3" t="str">
        <f>CONCATENATE("54820078613")</f>
        <v>54820078613</v>
      </c>
      <c r="K1849" s="3" t="s">
        <v>33</v>
      </c>
      <c r="L1849" s="3"/>
      <c r="M1849" s="3" t="s">
        <v>131</v>
      </c>
      <c r="N1849" s="3" t="str">
        <f>CONCATENATE("NBLGBR81L07E388X")</f>
        <v>NBLGBR81L07E388X</v>
      </c>
      <c r="O1849" s="3" t="s">
        <v>1981</v>
      </c>
      <c r="P1849" s="3" t="s">
        <v>36</v>
      </c>
      <c r="Q1849" s="3"/>
      <c r="R1849" s="4">
        <v>45996</v>
      </c>
      <c r="S1849" s="3" t="s">
        <v>37</v>
      </c>
      <c r="T1849" s="3" t="s">
        <v>38</v>
      </c>
      <c r="U1849" s="3" t="s">
        <v>39</v>
      </c>
      <c r="V1849" s="3">
        <v>301.47000000000003</v>
      </c>
      <c r="W1849" s="3">
        <v>128.12</v>
      </c>
      <c r="X1849" s="3">
        <v>121.34</v>
      </c>
      <c r="Y1849" s="3">
        <v>52.01</v>
      </c>
    </row>
    <row r="1850" spans="1:25" ht="60.75" x14ac:dyDescent="0.25">
      <c r="A1850" s="3" t="s">
        <v>26</v>
      </c>
      <c r="B1850" s="3" t="s">
        <v>27</v>
      </c>
      <c r="C1850" s="3" t="s">
        <v>28</v>
      </c>
      <c r="D1850" s="3" t="s">
        <v>50</v>
      </c>
      <c r="E1850" s="3" t="s">
        <v>60</v>
      </c>
      <c r="F1850" s="3" t="s">
        <v>52</v>
      </c>
      <c r="G1850" s="3" t="s">
        <v>60</v>
      </c>
      <c r="H1850" s="3" t="s">
        <v>45</v>
      </c>
      <c r="I1850" s="3">
        <v>2025</v>
      </c>
      <c r="J1850" s="3" t="str">
        <f>CONCATENATE("54820136676")</f>
        <v>54820136676</v>
      </c>
      <c r="K1850" s="3" t="s">
        <v>33</v>
      </c>
      <c r="L1850" s="3"/>
      <c r="M1850" s="3" t="s">
        <v>131</v>
      </c>
      <c r="N1850" s="3" t="str">
        <f>CONCATENATE("VRTLSN50C44G453F")</f>
        <v>VRTLSN50C44G453F</v>
      </c>
      <c r="O1850" s="3" t="s">
        <v>1982</v>
      </c>
      <c r="P1850" s="3" t="s">
        <v>36</v>
      </c>
      <c r="Q1850" s="3"/>
      <c r="R1850" s="4">
        <v>45996</v>
      </c>
      <c r="S1850" s="3" t="s">
        <v>37</v>
      </c>
      <c r="T1850" s="3" t="s">
        <v>38</v>
      </c>
      <c r="U1850" s="3" t="s">
        <v>39</v>
      </c>
      <c r="V1850" s="3">
        <v>51.52</v>
      </c>
      <c r="W1850" s="3">
        <v>21.9</v>
      </c>
      <c r="X1850" s="3">
        <v>20.74</v>
      </c>
      <c r="Y1850" s="3">
        <v>8.8800000000000008</v>
      </c>
    </row>
    <row r="1851" spans="1:25" ht="36.75" x14ac:dyDescent="0.25">
      <c r="A1851" s="3" t="s">
        <v>26</v>
      </c>
      <c r="B1851" s="3" t="s">
        <v>27</v>
      </c>
      <c r="C1851" s="3" t="s">
        <v>28</v>
      </c>
      <c r="D1851" s="3" t="s">
        <v>29</v>
      </c>
      <c r="E1851" s="3" t="s">
        <v>56</v>
      </c>
      <c r="F1851" s="3" t="s">
        <v>31</v>
      </c>
      <c r="G1851" s="3" t="s">
        <v>56</v>
      </c>
      <c r="H1851" s="3" t="s">
        <v>32</v>
      </c>
      <c r="I1851" s="3">
        <v>2025</v>
      </c>
      <c r="J1851" s="3" t="str">
        <f>CONCATENATE("54820185095")</f>
        <v>54820185095</v>
      </c>
      <c r="K1851" s="3" t="s">
        <v>33</v>
      </c>
      <c r="L1851" s="3"/>
      <c r="M1851" s="3" t="s">
        <v>131</v>
      </c>
      <c r="N1851" s="3" t="str">
        <f>CONCATENATE("00735610438")</f>
        <v>00735610438</v>
      </c>
      <c r="O1851" s="3" t="s">
        <v>1983</v>
      </c>
      <c r="P1851" s="3" t="s">
        <v>36</v>
      </c>
      <c r="Q1851" s="3"/>
      <c r="R1851" s="4">
        <v>45996</v>
      </c>
      <c r="S1851" s="3" t="s">
        <v>37</v>
      </c>
      <c r="T1851" s="3" t="s">
        <v>38</v>
      </c>
      <c r="U1851" s="3" t="s">
        <v>39</v>
      </c>
      <c r="V1851" s="3">
        <v>715.43</v>
      </c>
      <c r="W1851" s="3">
        <v>304.06</v>
      </c>
      <c r="X1851" s="3">
        <v>287.95999999999998</v>
      </c>
      <c r="Y1851" s="3">
        <v>123.41</v>
      </c>
    </row>
    <row r="1852" spans="1:25" ht="60.75" x14ac:dyDescent="0.25">
      <c r="A1852" s="3" t="s">
        <v>26</v>
      </c>
      <c r="B1852" s="3" t="s">
        <v>27</v>
      </c>
      <c r="C1852" s="3" t="s">
        <v>28</v>
      </c>
      <c r="D1852" s="3" t="s">
        <v>29</v>
      </c>
      <c r="E1852" s="3" t="s">
        <v>476</v>
      </c>
      <c r="F1852" s="3" t="s">
        <v>31</v>
      </c>
      <c r="G1852" s="3" t="s">
        <v>476</v>
      </c>
      <c r="H1852" s="3" t="s">
        <v>48</v>
      </c>
      <c r="I1852" s="3">
        <v>2025</v>
      </c>
      <c r="J1852" s="3" t="str">
        <f>CONCATENATE("54820089396")</f>
        <v>54820089396</v>
      </c>
      <c r="K1852" s="3" t="s">
        <v>33</v>
      </c>
      <c r="L1852" s="3"/>
      <c r="M1852" s="3" t="s">
        <v>131</v>
      </c>
      <c r="N1852" s="3" t="str">
        <f>CONCATENATE("MBRWTR66M18I461G")</f>
        <v>MBRWTR66M18I461G</v>
      </c>
      <c r="O1852" s="3" t="s">
        <v>1984</v>
      </c>
      <c r="P1852" s="3" t="s">
        <v>36</v>
      </c>
      <c r="Q1852" s="3"/>
      <c r="R1852" s="4">
        <v>45996</v>
      </c>
      <c r="S1852" s="3" t="s">
        <v>37</v>
      </c>
      <c r="T1852" s="3" t="s">
        <v>38</v>
      </c>
      <c r="U1852" s="3" t="s">
        <v>39</v>
      </c>
      <c r="V1852" s="3">
        <v>256.17</v>
      </c>
      <c r="W1852" s="3">
        <v>108.87</v>
      </c>
      <c r="X1852" s="3">
        <v>103.11</v>
      </c>
      <c r="Y1852" s="3">
        <v>44.19</v>
      </c>
    </row>
    <row r="1853" spans="1:25" ht="60.75" x14ac:dyDescent="0.25">
      <c r="A1853" s="3" t="s">
        <v>26</v>
      </c>
      <c r="B1853" s="3" t="s">
        <v>27</v>
      </c>
      <c r="C1853" s="3" t="s">
        <v>28</v>
      </c>
      <c r="D1853" s="3" t="s">
        <v>29</v>
      </c>
      <c r="E1853" s="3" t="s">
        <v>136</v>
      </c>
      <c r="F1853" s="3" t="s">
        <v>31</v>
      </c>
      <c r="G1853" s="3" t="s">
        <v>136</v>
      </c>
      <c r="H1853" s="3" t="s">
        <v>48</v>
      </c>
      <c r="I1853" s="3">
        <v>2025</v>
      </c>
      <c r="J1853" s="3" t="str">
        <f>CONCATENATE("54820115977")</f>
        <v>54820115977</v>
      </c>
      <c r="K1853" s="3" t="s">
        <v>33</v>
      </c>
      <c r="L1853" s="3"/>
      <c r="M1853" s="3" t="s">
        <v>131</v>
      </c>
      <c r="N1853" s="3" t="str">
        <f>CONCATENATE("PLZMVT46A42I461W")</f>
        <v>PLZMVT46A42I461W</v>
      </c>
      <c r="O1853" s="3" t="s">
        <v>1985</v>
      </c>
      <c r="P1853" s="3" t="s">
        <v>36</v>
      </c>
      <c r="Q1853" s="3"/>
      <c r="R1853" s="4">
        <v>45996</v>
      </c>
      <c r="S1853" s="3" t="s">
        <v>37</v>
      </c>
      <c r="T1853" s="3" t="s">
        <v>38</v>
      </c>
      <c r="U1853" s="3" t="s">
        <v>39</v>
      </c>
      <c r="V1853" s="5">
        <v>1054.69</v>
      </c>
      <c r="W1853" s="3">
        <v>448.24</v>
      </c>
      <c r="X1853" s="3">
        <v>424.51</v>
      </c>
      <c r="Y1853" s="3">
        <v>181.94</v>
      </c>
    </row>
    <row r="1854" spans="1:25" ht="60.75" x14ac:dyDescent="0.25">
      <c r="A1854" s="3" t="s">
        <v>26</v>
      </c>
      <c r="B1854" s="3" t="s">
        <v>27</v>
      </c>
      <c r="C1854" s="3" t="s">
        <v>28</v>
      </c>
      <c r="D1854" s="3" t="s">
        <v>104</v>
      </c>
      <c r="E1854" s="3" t="s">
        <v>141</v>
      </c>
      <c r="F1854" s="3" t="s">
        <v>104</v>
      </c>
      <c r="G1854" s="3" t="s">
        <v>141</v>
      </c>
      <c r="H1854" s="3" t="s">
        <v>96</v>
      </c>
      <c r="I1854" s="3">
        <v>2025</v>
      </c>
      <c r="J1854" s="3" t="str">
        <f>CONCATENATE("54820136700")</f>
        <v>54820136700</v>
      </c>
      <c r="K1854" s="3" t="s">
        <v>33</v>
      </c>
      <c r="L1854" s="3"/>
      <c r="M1854" s="3" t="s">
        <v>131</v>
      </c>
      <c r="N1854" s="3" t="str">
        <f>CONCATENATE("GSCGTT67T50D691Q")</f>
        <v>GSCGTT67T50D691Q</v>
      </c>
      <c r="O1854" s="3" t="s">
        <v>1986</v>
      </c>
      <c r="P1854" s="3" t="s">
        <v>36</v>
      </c>
      <c r="Q1854" s="3"/>
      <c r="R1854" s="4">
        <v>45996</v>
      </c>
      <c r="S1854" s="3" t="s">
        <v>37</v>
      </c>
      <c r="T1854" s="3" t="s">
        <v>38</v>
      </c>
      <c r="U1854" s="3" t="s">
        <v>39</v>
      </c>
      <c r="V1854" s="3">
        <v>64.739999999999995</v>
      </c>
      <c r="W1854" s="3">
        <v>27.51</v>
      </c>
      <c r="X1854" s="3">
        <v>26.06</v>
      </c>
      <c r="Y1854" s="3">
        <v>11.17</v>
      </c>
    </row>
    <row r="1855" spans="1:25" ht="60.75" x14ac:dyDescent="0.25">
      <c r="A1855" s="3" t="s">
        <v>26</v>
      </c>
      <c r="B1855" s="3" t="s">
        <v>27</v>
      </c>
      <c r="C1855" s="3" t="s">
        <v>28</v>
      </c>
      <c r="D1855" s="3" t="s">
        <v>40</v>
      </c>
      <c r="E1855" s="3" t="s">
        <v>54</v>
      </c>
      <c r="F1855" s="3" t="s">
        <v>42</v>
      </c>
      <c r="G1855" s="3" t="s">
        <v>54</v>
      </c>
      <c r="H1855" s="3" t="s">
        <v>45</v>
      </c>
      <c r="I1855" s="3">
        <v>2025</v>
      </c>
      <c r="J1855" s="3" t="str">
        <f>CONCATENATE("54820093471")</f>
        <v>54820093471</v>
      </c>
      <c r="K1855" s="3" t="s">
        <v>33</v>
      </c>
      <c r="L1855" s="3"/>
      <c r="M1855" s="3" t="s">
        <v>131</v>
      </c>
      <c r="N1855" s="3" t="str">
        <f>CONCATENATE("SRFPRN38L06G453J")</f>
        <v>SRFPRN38L06G453J</v>
      </c>
      <c r="O1855" s="3" t="s">
        <v>1987</v>
      </c>
      <c r="P1855" s="3" t="s">
        <v>36</v>
      </c>
      <c r="Q1855" s="3"/>
      <c r="R1855" s="4">
        <v>45996</v>
      </c>
      <c r="S1855" s="3" t="s">
        <v>37</v>
      </c>
      <c r="T1855" s="3" t="s">
        <v>38</v>
      </c>
      <c r="U1855" s="3" t="s">
        <v>39</v>
      </c>
      <c r="V1855" s="3">
        <v>265.33999999999997</v>
      </c>
      <c r="W1855" s="3">
        <v>112.77</v>
      </c>
      <c r="X1855" s="3">
        <v>106.8</v>
      </c>
      <c r="Y1855" s="3">
        <v>45.77</v>
      </c>
    </row>
    <row r="1856" spans="1:25" ht="60.75" x14ac:dyDescent="0.25">
      <c r="A1856" s="3" t="s">
        <v>26</v>
      </c>
      <c r="B1856" s="3" t="s">
        <v>27</v>
      </c>
      <c r="C1856" s="3" t="s">
        <v>28</v>
      </c>
      <c r="D1856" s="3" t="s">
        <v>50</v>
      </c>
      <c r="E1856" s="3" t="s">
        <v>147</v>
      </c>
      <c r="F1856" s="3" t="s">
        <v>52</v>
      </c>
      <c r="G1856" s="3" t="s">
        <v>147</v>
      </c>
      <c r="H1856" s="3" t="s">
        <v>45</v>
      </c>
      <c r="I1856" s="3">
        <v>2025</v>
      </c>
      <c r="J1856" s="3" t="str">
        <f>CONCATENATE("54820176193")</f>
        <v>54820176193</v>
      </c>
      <c r="K1856" s="3" t="s">
        <v>33</v>
      </c>
      <c r="L1856" s="3"/>
      <c r="M1856" s="3" t="s">
        <v>131</v>
      </c>
      <c r="N1856" s="3" t="str">
        <f>CONCATENATE("CRBMCR72C50L500H")</f>
        <v>CRBMCR72C50L500H</v>
      </c>
      <c r="O1856" s="3" t="s">
        <v>1988</v>
      </c>
      <c r="P1856" s="3" t="s">
        <v>36</v>
      </c>
      <c r="Q1856" s="3"/>
      <c r="R1856" s="4">
        <v>45996</v>
      </c>
      <c r="S1856" s="3" t="s">
        <v>37</v>
      </c>
      <c r="T1856" s="3" t="s">
        <v>38</v>
      </c>
      <c r="U1856" s="3" t="s">
        <v>39</v>
      </c>
      <c r="V1856" s="3">
        <v>54.05</v>
      </c>
      <c r="W1856" s="3">
        <v>22.97</v>
      </c>
      <c r="X1856" s="3">
        <v>21.76</v>
      </c>
      <c r="Y1856" s="3">
        <v>9.32</v>
      </c>
    </row>
    <row r="1857" spans="1:25" ht="72.75" x14ac:dyDescent="0.25">
      <c r="A1857" s="3" t="s">
        <v>26</v>
      </c>
      <c r="B1857" s="3" t="s">
        <v>27</v>
      </c>
      <c r="C1857" s="3" t="s">
        <v>28</v>
      </c>
      <c r="D1857" s="3" t="s">
        <v>29</v>
      </c>
      <c r="E1857" s="3" t="s">
        <v>56</v>
      </c>
      <c r="F1857" s="3" t="s">
        <v>31</v>
      </c>
      <c r="G1857" s="3" t="s">
        <v>56</v>
      </c>
      <c r="H1857" s="3" t="s">
        <v>32</v>
      </c>
      <c r="I1857" s="3">
        <v>2025</v>
      </c>
      <c r="J1857" s="3" t="str">
        <f>CONCATENATE("54820179486")</f>
        <v>54820179486</v>
      </c>
      <c r="K1857" s="3" t="s">
        <v>33</v>
      </c>
      <c r="L1857" s="3"/>
      <c r="M1857" s="3" t="s">
        <v>131</v>
      </c>
      <c r="N1857" s="3" t="str">
        <f>CONCATENATE("LBNPRZ65A12B474W")</f>
        <v>LBNPRZ65A12B474W</v>
      </c>
      <c r="O1857" s="3" t="s">
        <v>1989</v>
      </c>
      <c r="P1857" s="3" t="s">
        <v>36</v>
      </c>
      <c r="Q1857" s="3"/>
      <c r="R1857" s="4">
        <v>45996</v>
      </c>
      <c r="S1857" s="3" t="s">
        <v>37</v>
      </c>
      <c r="T1857" s="3" t="s">
        <v>38</v>
      </c>
      <c r="U1857" s="3" t="s">
        <v>39</v>
      </c>
      <c r="V1857" s="3">
        <v>662.75</v>
      </c>
      <c r="W1857" s="3">
        <v>281.67</v>
      </c>
      <c r="X1857" s="3">
        <v>266.76</v>
      </c>
      <c r="Y1857" s="3">
        <v>114.32</v>
      </c>
    </row>
    <row r="1858" spans="1:25" ht="60.75" x14ac:dyDescent="0.25">
      <c r="A1858" s="3" t="s">
        <v>26</v>
      </c>
      <c r="B1858" s="3" t="s">
        <v>27</v>
      </c>
      <c r="C1858" s="3" t="s">
        <v>28</v>
      </c>
      <c r="D1858" s="3" t="s">
        <v>50</v>
      </c>
      <c r="E1858" s="3" t="s">
        <v>147</v>
      </c>
      <c r="F1858" s="3" t="s">
        <v>52</v>
      </c>
      <c r="G1858" s="3" t="s">
        <v>147</v>
      </c>
      <c r="H1858" s="3" t="s">
        <v>45</v>
      </c>
      <c r="I1858" s="3">
        <v>2025</v>
      </c>
      <c r="J1858" s="3" t="str">
        <f>CONCATENATE("54820151089")</f>
        <v>54820151089</v>
      </c>
      <c r="K1858" s="3" t="s">
        <v>33</v>
      </c>
      <c r="L1858" s="3"/>
      <c r="M1858" s="3" t="s">
        <v>131</v>
      </c>
      <c r="N1858" s="3" t="str">
        <f>CONCATENATE("LSCTSM63L51L500S")</f>
        <v>LSCTSM63L51L500S</v>
      </c>
      <c r="O1858" s="3" t="s">
        <v>1990</v>
      </c>
      <c r="P1858" s="3" t="s">
        <v>36</v>
      </c>
      <c r="Q1858" s="3"/>
      <c r="R1858" s="4">
        <v>45996</v>
      </c>
      <c r="S1858" s="3" t="s">
        <v>37</v>
      </c>
      <c r="T1858" s="3" t="s">
        <v>38</v>
      </c>
      <c r="U1858" s="3" t="s">
        <v>39</v>
      </c>
      <c r="V1858" s="3">
        <v>50.68</v>
      </c>
      <c r="W1858" s="3">
        <v>21.54</v>
      </c>
      <c r="X1858" s="3">
        <v>20.399999999999999</v>
      </c>
      <c r="Y1858" s="3">
        <v>8.74</v>
      </c>
    </row>
    <row r="1859" spans="1:25" ht="60.75" x14ac:dyDescent="0.25">
      <c r="A1859" s="3" t="s">
        <v>26</v>
      </c>
      <c r="B1859" s="3" t="s">
        <v>27</v>
      </c>
      <c r="C1859" s="3" t="s">
        <v>28</v>
      </c>
      <c r="D1859" s="3" t="s">
        <v>50</v>
      </c>
      <c r="E1859" s="3" t="s">
        <v>147</v>
      </c>
      <c r="F1859" s="3" t="s">
        <v>52</v>
      </c>
      <c r="G1859" s="3" t="s">
        <v>147</v>
      </c>
      <c r="H1859" s="3" t="s">
        <v>45</v>
      </c>
      <c r="I1859" s="3">
        <v>2025</v>
      </c>
      <c r="J1859" s="3" t="str">
        <f>CONCATENATE("54820166210")</f>
        <v>54820166210</v>
      </c>
      <c r="K1859" s="3" t="s">
        <v>33</v>
      </c>
      <c r="L1859" s="3"/>
      <c r="M1859" s="3" t="s">
        <v>131</v>
      </c>
      <c r="N1859" s="3" t="str">
        <f>CONCATENATE("MRCLGU47D09L500Z")</f>
        <v>MRCLGU47D09L500Z</v>
      </c>
      <c r="O1859" s="3" t="s">
        <v>1991</v>
      </c>
      <c r="P1859" s="3" t="s">
        <v>36</v>
      </c>
      <c r="Q1859" s="3"/>
      <c r="R1859" s="4">
        <v>45996</v>
      </c>
      <c r="S1859" s="3" t="s">
        <v>37</v>
      </c>
      <c r="T1859" s="3" t="s">
        <v>38</v>
      </c>
      <c r="U1859" s="3" t="s">
        <v>39</v>
      </c>
      <c r="V1859" s="3">
        <v>118.77</v>
      </c>
      <c r="W1859" s="3">
        <v>50.48</v>
      </c>
      <c r="X1859" s="3">
        <v>47.8</v>
      </c>
      <c r="Y1859" s="3">
        <v>20.49</v>
      </c>
    </row>
    <row r="1860" spans="1:25" ht="60.75" x14ac:dyDescent="0.25">
      <c r="A1860" s="3" t="s">
        <v>26</v>
      </c>
      <c r="B1860" s="3" t="s">
        <v>27</v>
      </c>
      <c r="C1860" s="3" t="s">
        <v>28</v>
      </c>
      <c r="D1860" s="3" t="s">
        <v>40</v>
      </c>
      <c r="E1860" s="3" t="s">
        <v>218</v>
      </c>
      <c r="F1860" s="3" t="s">
        <v>42</v>
      </c>
      <c r="G1860" s="3" t="s">
        <v>218</v>
      </c>
      <c r="H1860" s="3" t="s">
        <v>45</v>
      </c>
      <c r="I1860" s="3">
        <v>2025</v>
      </c>
      <c r="J1860" s="3" t="str">
        <f>CONCATENATE("54820176359")</f>
        <v>54820176359</v>
      </c>
      <c r="K1860" s="3" t="s">
        <v>33</v>
      </c>
      <c r="L1860" s="3"/>
      <c r="M1860" s="3" t="s">
        <v>131</v>
      </c>
      <c r="N1860" s="3" t="str">
        <f>CONCATENATE("GMBMRZ60C28L50LL")</f>
        <v>GMBMRZ60C28L50LL</v>
      </c>
      <c r="O1860" s="3" t="s">
        <v>1992</v>
      </c>
      <c r="P1860" s="3" t="s">
        <v>36</v>
      </c>
      <c r="Q1860" s="3"/>
      <c r="R1860" s="4">
        <v>45996</v>
      </c>
      <c r="S1860" s="3" t="s">
        <v>37</v>
      </c>
      <c r="T1860" s="3" t="s">
        <v>38</v>
      </c>
      <c r="U1860" s="3" t="s">
        <v>39</v>
      </c>
      <c r="V1860" s="5">
        <v>1002.96</v>
      </c>
      <c r="W1860" s="3">
        <v>426.26</v>
      </c>
      <c r="X1860" s="3">
        <v>403.69</v>
      </c>
      <c r="Y1860" s="3">
        <v>173.01</v>
      </c>
    </row>
    <row r="1861" spans="1:25" ht="36.75" x14ac:dyDescent="0.25">
      <c r="A1861" s="3" t="s">
        <v>26</v>
      </c>
      <c r="B1861" s="3" t="s">
        <v>27</v>
      </c>
      <c r="C1861" s="3" t="s">
        <v>28</v>
      </c>
      <c r="D1861" s="3" t="s">
        <v>40</v>
      </c>
      <c r="E1861" s="3" t="s">
        <v>99</v>
      </c>
      <c r="F1861" s="3" t="s">
        <v>42</v>
      </c>
      <c r="G1861" s="3" t="s">
        <v>99</v>
      </c>
      <c r="H1861" s="3" t="s">
        <v>32</v>
      </c>
      <c r="I1861" s="3">
        <v>2025</v>
      </c>
      <c r="J1861" s="3" t="str">
        <f>CONCATENATE("54820124276")</f>
        <v>54820124276</v>
      </c>
      <c r="K1861" s="3" t="s">
        <v>33</v>
      </c>
      <c r="L1861" s="3"/>
      <c r="M1861" s="3" t="s">
        <v>131</v>
      </c>
      <c r="N1861" s="3" t="str">
        <f>CONCATENATE("01988060438")</f>
        <v>01988060438</v>
      </c>
      <c r="O1861" s="3" t="s">
        <v>1993</v>
      </c>
      <c r="P1861" s="3" t="s">
        <v>36</v>
      </c>
      <c r="Q1861" s="3"/>
      <c r="R1861" s="4">
        <v>45996</v>
      </c>
      <c r="S1861" s="3" t="s">
        <v>37</v>
      </c>
      <c r="T1861" s="3" t="s">
        <v>38</v>
      </c>
      <c r="U1861" s="3" t="s">
        <v>39</v>
      </c>
      <c r="V1861" s="3">
        <v>391.72</v>
      </c>
      <c r="W1861" s="3">
        <v>166.48</v>
      </c>
      <c r="X1861" s="3">
        <v>157.66999999999999</v>
      </c>
      <c r="Y1861" s="3">
        <v>67.569999999999993</v>
      </c>
    </row>
    <row r="1862" spans="1:25" ht="36.75" x14ac:dyDescent="0.25">
      <c r="A1862" s="3" t="s">
        <v>26</v>
      </c>
      <c r="B1862" s="3" t="s">
        <v>27</v>
      </c>
      <c r="C1862" s="3" t="s">
        <v>28</v>
      </c>
      <c r="D1862" s="3" t="s">
        <v>50</v>
      </c>
      <c r="E1862" s="3" t="s">
        <v>513</v>
      </c>
      <c r="F1862" s="3" t="s">
        <v>52</v>
      </c>
      <c r="G1862" s="3" t="s">
        <v>513</v>
      </c>
      <c r="H1862" s="3" t="s">
        <v>96</v>
      </c>
      <c r="I1862" s="3">
        <v>2025</v>
      </c>
      <c r="J1862" s="3" t="str">
        <f>CONCATENATE("54820167044")</f>
        <v>54820167044</v>
      </c>
      <c r="K1862" s="3" t="s">
        <v>33</v>
      </c>
      <c r="L1862" s="3"/>
      <c r="M1862" s="3" t="s">
        <v>131</v>
      </c>
      <c r="N1862" s="3" t="str">
        <f>CONCATENATE("02414980447")</f>
        <v>02414980447</v>
      </c>
      <c r="O1862" s="3" t="s">
        <v>1994</v>
      </c>
      <c r="P1862" s="3" t="s">
        <v>36</v>
      </c>
      <c r="Q1862" s="3"/>
      <c r="R1862" s="4">
        <v>45996</v>
      </c>
      <c r="S1862" s="3" t="s">
        <v>37</v>
      </c>
      <c r="T1862" s="3" t="s">
        <v>38</v>
      </c>
      <c r="U1862" s="3" t="s">
        <v>39</v>
      </c>
      <c r="V1862" s="3">
        <v>193.08</v>
      </c>
      <c r="W1862" s="3">
        <v>82.06</v>
      </c>
      <c r="X1862" s="3">
        <v>77.709999999999994</v>
      </c>
      <c r="Y1862" s="3">
        <v>33.31</v>
      </c>
    </row>
    <row r="1863" spans="1:25" ht="60.75" x14ac:dyDescent="0.25">
      <c r="A1863" s="3" t="s">
        <v>26</v>
      </c>
      <c r="B1863" s="3" t="s">
        <v>27</v>
      </c>
      <c r="C1863" s="3" t="s">
        <v>28</v>
      </c>
      <c r="D1863" s="3" t="s">
        <v>91</v>
      </c>
      <c r="E1863" s="3" t="s">
        <v>95</v>
      </c>
      <c r="F1863" s="3" t="s">
        <v>93</v>
      </c>
      <c r="G1863" s="3" t="s">
        <v>95</v>
      </c>
      <c r="H1863" s="3" t="s">
        <v>96</v>
      </c>
      <c r="I1863" s="3">
        <v>2025</v>
      </c>
      <c r="J1863" s="3" t="str">
        <f>CONCATENATE("54820091392")</f>
        <v>54820091392</v>
      </c>
      <c r="K1863" s="3" t="s">
        <v>33</v>
      </c>
      <c r="L1863" s="3"/>
      <c r="M1863" s="3" t="s">
        <v>131</v>
      </c>
      <c r="N1863" s="3" t="str">
        <f>CONCATENATE("CPLSVN37E11F493P")</f>
        <v>CPLSVN37E11F493P</v>
      </c>
      <c r="O1863" s="3" t="s">
        <v>1995</v>
      </c>
      <c r="P1863" s="3" t="s">
        <v>36</v>
      </c>
      <c r="Q1863" s="3"/>
      <c r="R1863" s="4">
        <v>45996</v>
      </c>
      <c r="S1863" s="3" t="s">
        <v>37</v>
      </c>
      <c r="T1863" s="3" t="s">
        <v>38</v>
      </c>
      <c r="U1863" s="3" t="s">
        <v>39</v>
      </c>
      <c r="V1863" s="3">
        <v>109.23</v>
      </c>
      <c r="W1863" s="3">
        <v>46.42</v>
      </c>
      <c r="X1863" s="3">
        <v>43.97</v>
      </c>
      <c r="Y1863" s="3">
        <v>18.84</v>
      </c>
    </row>
    <row r="1864" spans="1:25" ht="60.75" x14ac:dyDescent="0.25">
      <c r="A1864" s="3" t="s">
        <v>26</v>
      </c>
      <c r="B1864" s="3" t="s">
        <v>27</v>
      </c>
      <c r="C1864" s="3" t="s">
        <v>28</v>
      </c>
      <c r="D1864" s="3" t="s">
        <v>50</v>
      </c>
      <c r="E1864" s="3" t="s">
        <v>60</v>
      </c>
      <c r="F1864" s="3" t="s">
        <v>52</v>
      </c>
      <c r="G1864" s="3" t="s">
        <v>60</v>
      </c>
      <c r="H1864" s="3" t="s">
        <v>45</v>
      </c>
      <c r="I1864" s="3">
        <v>2025</v>
      </c>
      <c r="J1864" s="3" t="str">
        <f>CONCATENATE("54820086392")</f>
        <v>54820086392</v>
      </c>
      <c r="K1864" s="3" t="s">
        <v>33</v>
      </c>
      <c r="L1864" s="3"/>
      <c r="M1864" s="3" t="s">
        <v>131</v>
      </c>
      <c r="N1864" s="3" t="str">
        <f>CONCATENATE("MTTMTR43H58D809I")</f>
        <v>MTTMTR43H58D809I</v>
      </c>
      <c r="O1864" s="3" t="s">
        <v>1996</v>
      </c>
      <c r="P1864" s="3" t="s">
        <v>36</v>
      </c>
      <c r="Q1864" s="3"/>
      <c r="R1864" s="4">
        <v>45996</v>
      </c>
      <c r="S1864" s="3" t="s">
        <v>37</v>
      </c>
      <c r="T1864" s="3" t="s">
        <v>38</v>
      </c>
      <c r="U1864" s="3" t="s">
        <v>39</v>
      </c>
      <c r="V1864" s="3">
        <v>74.760000000000005</v>
      </c>
      <c r="W1864" s="3">
        <v>31.77</v>
      </c>
      <c r="X1864" s="3">
        <v>30.09</v>
      </c>
      <c r="Y1864" s="3">
        <v>12.9</v>
      </c>
    </row>
    <row r="1865" spans="1:25" ht="60.75" x14ac:dyDescent="0.25">
      <c r="A1865" s="3" t="s">
        <v>26</v>
      </c>
      <c r="B1865" s="3" t="s">
        <v>27</v>
      </c>
      <c r="C1865" s="3" t="s">
        <v>28</v>
      </c>
      <c r="D1865" s="3" t="s">
        <v>50</v>
      </c>
      <c r="E1865" s="3" t="s">
        <v>51</v>
      </c>
      <c r="F1865" s="3" t="s">
        <v>52</v>
      </c>
      <c r="G1865" s="3" t="s">
        <v>51</v>
      </c>
      <c r="H1865" s="3" t="s">
        <v>48</v>
      </c>
      <c r="I1865" s="3">
        <v>2025</v>
      </c>
      <c r="J1865" s="3" t="str">
        <f>CONCATENATE("54820152012")</f>
        <v>54820152012</v>
      </c>
      <c r="K1865" s="3" t="s">
        <v>33</v>
      </c>
      <c r="L1865" s="3"/>
      <c r="M1865" s="3" t="s">
        <v>131</v>
      </c>
      <c r="N1865" s="3" t="str">
        <f>CONCATENATE("RSONGL49A01I461O")</f>
        <v>RSONGL49A01I461O</v>
      </c>
      <c r="O1865" s="3" t="s">
        <v>1997</v>
      </c>
      <c r="P1865" s="3" t="s">
        <v>36</v>
      </c>
      <c r="Q1865" s="3"/>
      <c r="R1865" s="4">
        <v>45996</v>
      </c>
      <c r="S1865" s="3" t="s">
        <v>37</v>
      </c>
      <c r="T1865" s="3" t="s">
        <v>38</v>
      </c>
      <c r="U1865" s="3" t="s">
        <v>39</v>
      </c>
      <c r="V1865" s="3">
        <v>107.95</v>
      </c>
      <c r="W1865" s="3">
        <v>45.88</v>
      </c>
      <c r="X1865" s="3">
        <v>43.45</v>
      </c>
      <c r="Y1865" s="3">
        <v>18.62</v>
      </c>
    </row>
    <row r="1866" spans="1:25" ht="60.75" x14ac:dyDescent="0.25">
      <c r="A1866" s="3" t="s">
        <v>26</v>
      </c>
      <c r="B1866" s="3" t="s">
        <v>27</v>
      </c>
      <c r="C1866" s="3" t="s">
        <v>28</v>
      </c>
      <c r="D1866" s="3" t="s">
        <v>29</v>
      </c>
      <c r="E1866" s="3" t="s">
        <v>182</v>
      </c>
      <c r="F1866" s="3" t="s">
        <v>31</v>
      </c>
      <c r="G1866" s="3" t="s">
        <v>182</v>
      </c>
      <c r="H1866" s="3" t="s">
        <v>45</v>
      </c>
      <c r="I1866" s="3">
        <v>2025</v>
      </c>
      <c r="J1866" s="3" t="str">
        <f>CONCATENATE("54820146428")</f>
        <v>54820146428</v>
      </c>
      <c r="K1866" s="3" t="s">
        <v>33</v>
      </c>
      <c r="L1866" s="3"/>
      <c r="M1866" s="3" t="s">
        <v>131</v>
      </c>
      <c r="N1866" s="3" t="str">
        <f>CONCATENATE("MZZVLN54A59L500R")</f>
        <v>MZZVLN54A59L500R</v>
      </c>
      <c r="O1866" s="3" t="s">
        <v>1998</v>
      </c>
      <c r="P1866" s="3" t="s">
        <v>36</v>
      </c>
      <c r="Q1866" s="3"/>
      <c r="R1866" s="4">
        <v>45996</v>
      </c>
      <c r="S1866" s="3" t="s">
        <v>37</v>
      </c>
      <c r="T1866" s="3" t="s">
        <v>38</v>
      </c>
      <c r="U1866" s="3" t="s">
        <v>39</v>
      </c>
      <c r="V1866" s="3">
        <v>91.63</v>
      </c>
      <c r="W1866" s="3">
        <v>38.94</v>
      </c>
      <c r="X1866" s="3">
        <v>36.880000000000003</v>
      </c>
      <c r="Y1866" s="3">
        <v>15.81</v>
      </c>
    </row>
    <row r="1867" spans="1:25" ht="60.75" x14ac:dyDescent="0.25">
      <c r="A1867" s="3" t="s">
        <v>26</v>
      </c>
      <c r="B1867" s="3" t="s">
        <v>27</v>
      </c>
      <c r="C1867" s="3" t="s">
        <v>28</v>
      </c>
      <c r="D1867" s="3" t="s">
        <v>29</v>
      </c>
      <c r="E1867" s="3" t="s">
        <v>904</v>
      </c>
      <c r="F1867" s="3" t="s">
        <v>31</v>
      </c>
      <c r="G1867" s="3" t="s">
        <v>904</v>
      </c>
      <c r="H1867" s="3" t="s">
        <v>32</v>
      </c>
      <c r="I1867" s="3">
        <v>2025</v>
      </c>
      <c r="J1867" s="3" t="str">
        <f>CONCATENATE("54820146857")</f>
        <v>54820146857</v>
      </c>
      <c r="K1867" s="3" t="s">
        <v>33</v>
      </c>
      <c r="L1867" s="3"/>
      <c r="M1867" s="3" t="s">
        <v>131</v>
      </c>
      <c r="N1867" s="3" t="str">
        <f>CONCATENATE("MBRNTN60T09D653R")</f>
        <v>MBRNTN60T09D653R</v>
      </c>
      <c r="O1867" s="3" t="s">
        <v>1999</v>
      </c>
      <c r="P1867" s="3" t="s">
        <v>36</v>
      </c>
      <c r="Q1867" s="3"/>
      <c r="R1867" s="4">
        <v>45996</v>
      </c>
      <c r="S1867" s="3" t="s">
        <v>37</v>
      </c>
      <c r="T1867" s="3" t="s">
        <v>38</v>
      </c>
      <c r="U1867" s="3" t="s">
        <v>39</v>
      </c>
      <c r="V1867" s="3">
        <v>74.52</v>
      </c>
      <c r="W1867" s="3">
        <v>31.67</v>
      </c>
      <c r="X1867" s="3">
        <v>29.99</v>
      </c>
      <c r="Y1867" s="3">
        <v>12.86</v>
      </c>
    </row>
    <row r="1868" spans="1:25" ht="60.75" x14ac:dyDescent="0.25">
      <c r="A1868" s="3" t="s">
        <v>26</v>
      </c>
      <c r="B1868" s="3" t="s">
        <v>27</v>
      </c>
      <c r="C1868" s="3" t="s">
        <v>28</v>
      </c>
      <c r="D1868" s="3" t="s">
        <v>29</v>
      </c>
      <c r="E1868" s="3" t="s">
        <v>47</v>
      </c>
      <c r="F1868" s="3" t="s">
        <v>31</v>
      </c>
      <c r="G1868" s="3" t="s">
        <v>47</v>
      </c>
      <c r="H1868" s="3" t="s">
        <v>48</v>
      </c>
      <c r="I1868" s="3">
        <v>2025</v>
      </c>
      <c r="J1868" s="3" t="str">
        <f>CONCATENATE("54820176672")</f>
        <v>54820176672</v>
      </c>
      <c r="K1868" s="3" t="s">
        <v>33</v>
      </c>
      <c r="L1868" s="3"/>
      <c r="M1868" s="3" t="s">
        <v>131</v>
      </c>
      <c r="N1868" s="3" t="str">
        <f>CONCATENATE("SRNLVZ46S29I653Y")</f>
        <v>SRNLVZ46S29I653Y</v>
      </c>
      <c r="O1868" s="3" t="s">
        <v>2000</v>
      </c>
      <c r="P1868" s="3" t="s">
        <v>36</v>
      </c>
      <c r="Q1868" s="3"/>
      <c r="R1868" s="4">
        <v>45996</v>
      </c>
      <c r="S1868" s="3" t="s">
        <v>37</v>
      </c>
      <c r="T1868" s="3" t="s">
        <v>38</v>
      </c>
      <c r="U1868" s="3" t="s">
        <v>39</v>
      </c>
      <c r="V1868" s="3">
        <v>227.26</v>
      </c>
      <c r="W1868" s="3">
        <v>96.59</v>
      </c>
      <c r="X1868" s="3">
        <v>91.47</v>
      </c>
      <c r="Y1868" s="3">
        <v>39.200000000000003</v>
      </c>
    </row>
    <row r="1869" spans="1:25" ht="60.75" x14ac:dyDescent="0.25">
      <c r="A1869" s="3" t="s">
        <v>26</v>
      </c>
      <c r="B1869" s="3" t="s">
        <v>27</v>
      </c>
      <c r="C1869" s="3" t="s">
        <v>28</v>
      </c>
      <c r="D1869" s="3" t="s">
        <v>29</v>
      </c>
      <c r="E1869" s="3" t="s">
        <v>119</v>
      </c>
      <c r="F1869" s="3" t="s">
        <v>31</v>
      </c>
      <c r="G1869" s="3" t="s">
        <v>119</v>
      </c>
      <c r="H1869" s="3" t="s">
        <v>96</v>
      </c>
      <c r="I1869" s="3">
        <v>2025</v>
      </c>
      <c r="J1869" s="3" t="str">
        <f>CONCATENATE("54820121256")</f>
        <v>54820121256</v>
      </c>
      <c r="K1869" s="3" t="s">
        <v>33</v>
      </c>
      <c r="L1869" s="3"/>
      <c r="M1869" s="3" t="s">
        <v>131</v>
      </c>
      <c r="N1869" s="3" t="str">
        <f>CONCATENATE("TLLGCR50L06D691M")</f>
        <v>TLLGCR50L06D691M</v>
      </c>
      <c r="O1869" s="3" t="s">
        <v>2001</v>
      </c>
      <c r="P1869" s="3" t="s">
        <v>36</v>
      </c>
      <c r="Q1869" s="3"/>
      <c r="R1869" s="4">
        <v>45996</v>
      </c>
      <c r="S1869" s="3" t="s">
        <v>37</v>
      </c>
      <c r="T1869" s="3" t="s">
        <v>38</v>
      </c>
      <c r="U1869" s="3" t="s">
        <v>39</v>
      </c>
      <c r="V1869" s="3">
        <v>79.53</v>
      </c>
      <c r="W1869" s="3">
        <v>33.799999999999997</v>
      </c>
      <c r="X1869" s="3">
        <v>32.01</v>
      </c>
      <c r="Y1869" s="3">
        <v>13.72</v>
      </c>
    </row>
    <row r="1870" spans="1:25" ht="60.75" x14ac:dyDescent="0.25">
      <c r="A1870" s="3" t="s">
        <v>26</v>
      </c>
      <c r="B1870" s="3" t="s">
        <v>27</v>
      </c>
      <c r="C1870" s="3" t="s">
        <v>28</v>
      </c>
      <c r="D1870" s="3" t="s">
        <v>50</v>
      </c>
      <c r="E1870" s="3" t="s">
        <v>51</v>
      </c>
      <c r="F1870" s="3" t="s">
        <v>52</v>
      </c>
      <c r="G1870" s="3" t="s">
        <v>51</v>
      </c>
      <c r="H1870" s="3" t="s">
        <v>48</v>
      </c>
      <c r="I1870" s="3">
        <v>2025</v>
      </c>
      <c r="J1870" s="3" t="str">
        <f>CONCATENATE("54820094685")</f>
        <v>54820094685</v>
      </c>
      <c r="K1870" s="3" t="s">
        <v>33</v>
      </c>
      <c r="L1870" s="3"/>
      <c r="M1870" s="3" t="s">
        <v>131</v>
      </c>
      <c r="N1870" s="3" t="str">
        <f>CONCATENATE("BCCFRC90C51D548O")</f>
        <v>BCCFRC90C51D548O</v>
      </c>
      <c r="O1870" s="3" t="s">
        <v>2002</v>
      </c>
      <c r="P1870" s="3" t="s">
        <v>36</v>
      </c>
      <c r="Q1870" s="3"/>
      <c r="R1870" s="4">
        <v>45996</v>
      </c>
      <c r="S1870" s="3" t="s">
        <v>37</v>
      </c>
      <c r="T1870" s="3" t="s">
        <v>38</v>
      </c>
      <c r="U1870" s="3" t="s">
        <v>39</v>
      </c>
      <c r="V1870" s="3">
        <v>649.16999999999996</v>
      </c>
      <c r="W1870" s="3">
        <v>275.89999999999998</v>
      </c>
      <c r="X1870" s="3">
        <v>261.29000000000002</v>
      </c>
      <c r="Y1870" s="3">
        <v>111.98</v>
      </c>
    </row>
    <row r="1871" spans="1:25" ht="60.75" x14ac:dyDescent="0.25">
      <c r="A1871" s="3" t="s">
        <v>26</v>
      </c>
      <c r="B1871" s="3" t="s">
        <v>27</v>
      </c>
      <c r="C1871" s="3" t="s">
        <v>28</v>
      </c>
      <c r="D1871" s="3" t="s">
        <v>50</v>
      </c>
      <c r="E1871" s="3" t="s">
        <v>252</v>
      </c>
      <c r="F1871" s="3" t="s">
        <v>52</v>
      </c>
      <c r="G1871" s="3" t="s">
        <v>252</v>
      </c>
      <c r="H1871" s="3" t="s">
        <v>45</v>
      </c>
      <c r="I1871" s="3">
        <v>2025</v>
      </c>
      <c r="J1871" s="3" t="str">
        <f>CONCATENATE("54820161922")</f>
        <v>54820161922</v>
      </c>
      <c r="K1871" s="3" t="s">
        <v>33</v>
      </c>
      <c r="L1871" s="3"/>
      <c r="M1871" s="3" t="s">
        <v>131</v>
      </c>
      <c r="N1871" s="3" t="str">
        <f>CONCATENATE("FRLGPR64L01D749Y")</f>
        <v>FRLGPR64L01D749Y</v>
      </c>
      <c r="O1871" s="3" t="s">
        <v>2003</v>
      </c>
      <c r="P1871" s="3" t="s">
        <v>36</v>
      </c>
      <c r="Q1871" s="3"/>
      <c r="R1871" s="4">
        <v>45996</v>
      </c>
      <c r="S1871" s="3" t="s">
        <v>37</v>
      </c>
      <c r="T1871" s="3" t="s">
        <v>38</v>
      </c>
      <c r="U1871" s="3" t="s">
        <v>39</v>
      </c>
      <c r="V1871" s="5">
        <v>1011.79</v>
      </c>
      <c r="W1871" s="3">
        <v>430.01</v>
      </c>
      <c r="X1871" s="3">
        <v>407.25</v>
      </c>
      <c r="Y1871" s="3">
        <v>174.53</v>
      </c>
    </row>
    <row r="1872" spans="1:25" ht="60.75" x14ac:dyDescent="0.25">
      <c r="A1872" s="3" t="s">
        <v>26</v>
      </c>
      <c r="B1872" s="3" t="s">
        <v>27</v>
      </c>
      <c r="C1872" s="3" t="s">
        <v>28</v>
      </c>
      <c r="D1872" s="3" t="s">
        <v>29</v>
      </c>
      <c r="E1872" s="3" t="s">
        <v>136</v>
      </c>
      <c r="F1872" s="3" t="s">
        <v>31</v>
      </c>
      <c r="G1872" s="3" t="s">
        <v>136</v>
      </c>
      <c r="H1872" s="3" t="s">
        <v>48</v>
      </c>
      <c r="I1872" s="3">
        <v>2025</v>
      </c>
      <c r="J1872" s="3" t="str">
        <f>CONCATENATE("54820080916")</f>
        <v>54820080916</v>
      </c>
      <c r="K1872" s="3" t="s">
        <v>33</v>
      </c>
      <c r="L1872" s="3"/>
      <c r="M1872" s="3" t="s">
        <v>131</v>
      </c>
      <c r="N1872" s="3" t="str">
        <f>CONCATENATE("BNCLRA43D65I461U")</f>
        <v>BNCLRA43D65I461U</v>
      </c>
      <c r="O1872" s="3" t="s">
        <v>2004</v>
      </c>
      <c r="P1872" s="3" t="s">
        <v>36</v>
      </c>
      <c r="Q1872" s="3"/>
      <c r="R1872" s="4">
        <v>45996</v>
      </c>
      <c r="S1872" s="3" t="s">
        <v>37</v>
      </c>
      <c r="T1872" s="3" t="s">
        <v>38</v>
      </c>
      <c r="U1872" s="3" t="s">
        <v>39</v>
      </c>
      <c r="V1872" s="3">
        <v>114.47</v>
      </c>
      <c r="W1872" s="3">
        <v>48.65</v>
      </c>
      <c r="X1872" s="3">
        <v>46.07</v>
      </c>
      <c r="Y1872" s="3">
        <v>19.75</v>
      </c>
    </row>
    <row r="1873" spans="1:25" ht="60.75" x14ac:dyDescent="0.25">
      <c r="A1873" s="3" t="s">
        <v>26</v>
      </c>
      <c r="B1873" s="3" t="s">
        <v>27</v>
      </c>
      <c r="C1873" s="3" t="s">
        <v>28</v>
      </c>
      <c r="D1873" s="3" t="s">
        <v>104</v>
      </c>
      <c r="E1873" s="3" t="s">
        <v>691</v>
      </c>
      <c r="F1873" s="3" t="s">
        <v>104</v>
      </c>
      <c r="G1873" s="3" t="s">
        <v>691</v>
      </c>
      <c r="H1873" s="3" t="s">
        <v>48</v>
      </c>
      <c r="I1873" s="3">
        <v>2025</v>
      </c>
      <c r="J1873" s="3" t="str">
        <f>CONCATENATE("54820170444")</f>
        <v>54820170444</v>
      </c>
      <c r="K1873" s="3" t="s">
        <v>33</v>
      </c>
      <c r="L1873" s="3"/>
      <c r="M1873" s="3" t="s">
        <v>131</v>
      </c>
      <c r="N1873" s="3" t="str">
        <f>CONCATENATE("BRTLCU68E16D451C")</f>
        <v>BRTLCU68E16D451C</v>
      </c>
      <c r="O1873" s="3" t="s">
        <v>2005</v>
      </c>
      <c r="P1873" s="3" t="s">
        <v>36</v>
      </c>
      <c r="Q1873" s="3"/>
      <c r="R1873" s="4">
        <v>45996</v>
      </c>
      <c r="S1873" s="3" t="s">
        <v>37</v>
      </c>
      <c r="T1873" s="3" t="s">
        <v>38</v>
      </c>
      <c r="U1873" s="3" t="s">
        <v>39</v>
      </c>
      <c r="V1873" s="3">
        <v>156.36000000000001</v>
      </c>
      <c r="W1873" s="3">
        <v>66.45</v>
      </c>
      <c r="X1873" s="3">
        <v>62.93</v>
      </c>
      <c r="Y1873" s="3">
        <v>26.98</v>
      </c>
    </row>
    <row r="1874" spans="1:25" ht="72.75" x14ac:dyDescent="0.25">
      <c r="A1874" s="3" t="s">
        <v>26</v>
      </c>
      <c r="B1874" s="3" t="s">
        <v>27</v>
      </c>
      <c r="C1874" s="3" t="s">
        <v>28</v>
      </c>
      <c r="D1874" s="3" t="s">
        <v>104</v>
      </c>
      <c r="E1874" s="3" t="s">
        <v>141</v>
      </c>
      <c r="F1874" s="3" t="s">
        <v>104</v>
      </c>
      <c r="G1874" s="3" t="s">
        <v>141</v>
      </c>
      <c r="H1874" s="3" t="s">
        <v>32</v>
      </c>
      <c r="I1874" s="3">
        <v>2025</v>
      </c>
      <c r="J1874" s="3" t="str">
        <f>CONCATENATE("54820117650")</f>
        <v>54820117650</v>
      </c>
      <c r="K1874" s="3" t="s">
        <v>33</v>
      </c>
      <c r="L1874" s="3"/>
      <c r="M1874" s="3" t="s">
        <v>131</v>
      </c>
      <c r="N1874" s="3" t="str">
        <f>CONCATENATE("GTTMTT94R16B474M")</f>
        <v>GTTMTT94R16B474M</v>
      </c>
      <c r="O1874" s="3" t="s">
        <v>2006</v>
      </c>
      <c r="P1874" s="3" t="s">
        <v>36</v>
      </c>
      <c r="Q1874" s="3"/>
      <c r="R1874" s="4">
        <v>45996</v>
      </c>
      <c r="S1874" s="3" t="s">
        <v>37</v>
      </c>
      <c r="T1874" s="3" t="s">
        <v>38</v>
      </c>
      <c r="U1874" s="3" t="s">
        <v>39</v>
      </c>
      <c r="V1874" s="3">
        <v>114.84</v>
      </c>
      <c r="W1874" s="3">
        <v>48.81</v>
      </c>
      <c r="X1874" s="3">
        <v>46.22</v>
      </c>
      <c r="Y1874" s="3">
        <v>19.809999999999999</v>
      </c>
    </row>
    <row r="1875" spans="1:25" ht="36.75" x14ac:dyDescent="0.25">
      <c r="A1875" s="3" t="s">
        <v>26</v>
      </c>
      <c r="B1875" s="3" t="s">
        <v>27</v>
      </c>
      <c r="C1875" s="3" t="s">
        <v>28</v>
      </c>
      <c r="D1875" s="3" t="s">
        <v>29</v>
      </c>
      <c r="E1875" s="3" t="s">
        <v>56</v>
      </c>
      <c r="F1875" s="3" t="s">
        <v>31</v>
      </c>
      <c r="G1875" s="3" t="s">
        <v>56</v>
      </c>
      <c r="H1875" s="3" t="s">
        <v>32</v>
      </c>
      <c r="I1875" s="3">
        <v>2025</v>
      </c>
      <c r="J1875" s="3" t="str">
        <f>CONCATENATE("54820188073")</f>
        <v>54820188073</v>
      </c>
      <c r="K1875" s="3" t="s">
        <v>33</v>
      </c>
      <c r="L1875" s="3"/>
      <c r="M1875" s="3" t="s">
        <v>131</v>
      </c>
      <c r="N1875" s="3" t="str">
        <f>CONCATENATE("02004590432")</f>
        <v>02004590432</v>
      </c>
      <c r="O1875" s="3" t="s">
        <v>2007</v>
      </c>
      <c r="P1875" s="3" t="s">
        <v>36</v>
      </c>
      <c r="Q1875" s="3"/>
      <c r="R1875" s="4">
        <v>45996</v>
      </c>
      <c r="S1875" s="3" t="s">
        <v>37</v>
      </c>
      <c r="T1875" s="3" t="s">
        <v>38</v>
      </c>
      <c r="U1875" s="3" t="s">
        <v>39</v>
      </c>
      <c r="V1875" s="3">
        <v>169.79</v>
      </c>
      <c r="W1875" s="3">
        <v>72.16</v>
      </c>
      <c r="X1875" s="3">
        <v>68.34</v>
      </c>
      <c r="Y1875" s="3">
        <v>29.29</v>
      </c>
    </row>
    <row r="1876" spans="1:25" ht="60.75" x14ac:dyDescent="0.25">
      <c r="A1876" s="3" t="s">
        <v>26</v>
      </c>
      <c r="B1876" s="3" t="s">
        <v>27</v>
      </c>
      <c r="C1876" s="3" t="s">
        <v>28</v>
      </c>
      <c r="D1876" s="3" t="s">
        <v>50</v>
      </c>
      <c r="E1876" s="3" t="s">
        <v>367</v>
      </c>
      <c r="F1876" s="3" t="s">
        <v>52</v>
      </c>
      <c r="G1876" s="3" t="s">
        <v>367</v>
      </c>
      <c r="H1876" s="3" t="s">
        <v>32</v>
      </c>
      <c r="I1876" s="3">
        <v>2025</v>
      </c>
      <c r="J1876" s="3" t="str">
        <f>CONCATENATE("54820087861")</f>
        <v>54820087861</v>
      </c>
      <c r="K1876" s="3" t="s">
        <v>33</v>
      </c>
      <c r="L1876" s="3"/>
      <c r="M1876" s="3" t="s">
        <v>131</v>
      </c>
      <c r="N1876" s="3" t="str">
        <f>CONCATENATE("SNTTLI63L18D653M")</f>
        <v>SNTTLI63L18D653M</v>
      </c>
      <c r="O1876" s="3" t="s">
        <v>2008</v>
      </c>
      <c r="P1876" s="3" t="s">
        <v>36</v>
      </c>
      <c r="Q1876" s="3"/>
      <c r="R1876" s="4">
        <v>45996</v>
      </c>
      <c r="S1876" s="3" t="s">
        <v>37</v>
      </c>
      <c r="T1876" s="3" t="s">
        <v>38</v>
      </c>
      <c r="U1876" s="3" t="s">
        <v>39</v>
      </c>
      <c r="V1876" s="3">
        <v>512.04999999999995</v>
      </c>
      <c r="W1876" s="3">
        <v>217.62</v>
      </c>
      <c r="X1876" s="3">
        <v>206.1</v>
      </c>
      <c r="Y1876" s="3">
        <v>88.33</v>
      </c>
    </row>
    <row r="1877" spans="1:25" ht="60.75" x14ac:dyDescent="0.25">
      <c r="A1877" s="3" t="s">
        <v>26</v>
      </c>
      <c r="B1877" s="3" t="s">
        <v>27</v>
      </c>
      <c r="C1877" s="3" t="s">
        <v>28</v>
      </c>
      <c r="D1877" s="3" t="s">
        <v>50</v>
      </c>
      <c r="E1877" s="3" t="s">
        <v>51</v>
      </c>
      <c r="F1877" s="3" t="s">
        <v>52</v>
      </c>
      <c r="G1877" s="3" t="s">
        <v>51</v>
      </c>
      <c r="H1877" s="3" t="s">
        <v>48</v>
      </c>
      <c r="I1877" s="3">
        <v>2025</v>
      </c>
      <c r="J1877" s="3" t="str">
        <f>CONCATENATE("54820154273")</f>
        <v>54820154273</v>
      </c>
      <c r="K1877" s="3" t="s">
        <v>33</v>
      </c>
      <c r="L1877" s="3"/>
      <c r="M1877" s="3" t="s">
        <v>131</v>
      </c>
      <c r="N1877" s="3" t="str">
        <f>CONCATENATE("LTNRRT77S19D451G")</f>
        <v>LTNRRT77S19D451G</v>
      </c>
      <c r="O1877" s="3" t="s">
        <v>2009</v>
      </c>
      <c r="P1877" s="3" t="s">
        <v>36</v>
      </c>
      <c r="Q1877" s="3"/>
      <c r="R1877" s="4">
        <v>45996</v>
      </c>
      <c r="S1877" s="3" t="s">
        <v>37</v>
      </c>
      <c r="T1877" s="3" t="s">
        <v>38</v>
      </c>
      <c r="U1877" s="3" t="s">
        <v>39</v>
      </c>
      <c r="V1877" s="3">
        <v>48.36</v>
      </c>
      <c r="W1877" s="3">
        <v>20.55</v>
      </c>
      <c r="X1877" s="3">
        <v>19.46</v>
      </c>
      <c r="Y1877" s="3">
        <v>8.35</v>
      </c>
    </row>
    <row r="1878" spans="1:25" ht="60.75" x14ac:dyDescent="0.25">
      <c r="A1878" s="3" t="s">
        <v>26</v>
      </c>
      <c r="B1878" s="3" t="s">
        <v>27</v>
      </c>
      <c r="C1878" s="3" t="s">
        <v>28</v>
      </c>
      <c r="D1878" s="3" t="s">
        <v>29</v>
      </c>
      <c r="E1878" s="3" t="s">
        <v>56</v>
      </c>
      <c r="F1878" s="3" t="s">
        <v>31</v>
      </c>
      <c r="G1878" s="3" t="s">
        <v>56</v>
      </c>
      <c r="H1878" s="3" t="s">
        <v>32</v>
      </c>
      <c r="I1878" s="3">
        <v>2025</v>
      </c>
      <c r="J1878" s="3" t="str">
        <f>CONCATENATE("54820165337")</f>
        <v>54820165337</v>
      </c>
      <c r="K1878" s="3" t="s">
        <v>33</v>
      </c>
      <c r="L1878" s="3"/>
      <c r="M1878" s="3" t="s">
        <v>131</v>
      </c>
      <c r="N1878" s="3" t="str">
        <f>CONCATENATE("ZMPDRN67S57B474O")</f>
        <v>ZMPDRN67S57B474O</v>
      </c>
      <c r="O1878" s="3" t="s">
        <v>2010</v>
      </c>
      <c r="P1878" s="3" t="s">
        <v>36</v>
      </c>
      <c r="Q1878" s="3"/>
      <c r="R1878" s="4">
        <v>45996</v>
      </c>
      <c r="S1878" s="3" t="s">
        <v>37</v>
      </c>
      <c r="T1878" s="3" t="s">
        <v>38</v>
      </c>
      <c r="U1878" s="3" t="s">
        <v>39</v>
      </c>
      <c r="V1878" s="3">
        <v>85.11</v>
      </c>
      <c r="W1878" s="3">
        <v>36.17</v>
      </c>
      <c r="X1878" s="3">
        <v>34.26</v>
      </c>
      <c r="Y1878" s="3">
        <v>14.68</v>
      </c>
    </row>
    <row r="1879" spans="1:25" ht="60.75" x14ac:dyDescent="0.25">
      <c r="A1879" s="3" t="s">
        <v>26</v>
      </c>
      <c r="B1879" s="3" t="s">
        <v>27</v>
      </c>
      <c r="C1879" s="3" t="s">
        <v>28</v>
      </c>
      <c r="D1879" s="3" t="s">
        <v>50</v>
      </c>
      <c r="E1879" s="3" t="s">
        <v>51</v>
      </c>
      <c r="F1879" s="3" t="s">
        <v>52</v>
      </c>
      <c r="G1879" s="3" t="s">
        <v>51</v>
      </c>
      <c r="H1879" s="3" t="s">
        <v>48</v>
      </c>
      <c r="I1879" s="3">
        <v>2025</v>
      </c>
      <c r="J1879" s="3" t="str">
        <f>CONCATENATE("54820163597")</f>
        <v>54820163597</v>
      </c>
      <c r="K1879" s="3" t="s">
        <v>33</v>
      </c>
      <c r="L1879" s="3"/>
      <c r="M1879" s="3" t="s">
        <v>131</v>
      </c>
      <c r="N1879" s="3" t="str">
        <f>CONCATENATE("LBRPLA74C03D451E")</f>
        <v>LBRPLA74C03D451E</v>
      </c>
      <c r="O1879" s="3" t="s">
        <v>2011</v>
      </c>
      <c r="P1879" s="3" t="s">
        <v>36</v>
      </c>
      <c r="Q1879" s="3"/>
      <c r="R1879" s="4">
        <v>45996</v>
      </c>
      <c r="S1879" s="3" t="s">
        <v>37</v>
      </c>
      <c r="T1879" s="3" t="s">
        <v>38</v>
      </c>
      <c r="U1879" s="3" t="s">
        <v>39</v>
      </c>
      <c r="V1879" s="3">
        <v>251.49</v>
      </c>
      <c r="W1879" s="3">
        <v>106.88</v>
      </c>
      <c r="X1879" s="3">
        <v>101.22</v>
      </c>
      <c r="Y1879" s="3">
        <v>43.39</v>
      </c>
    </row>
    <row r="1880" spans="1:25" ht="72.75" x14ac:dyDescent="0.25">
      <c r="A1880" s="3" t="s">
        <v>26</v>
      </c>
      <c r="B1880" s="3" t="s">
        <v>27</v>
      </c>
      <c r="C1880" s="3" t="s">
        <v>28</v>
      </c>
      <c r="D1880" s="3" t="s">
        <v>50</v>
      </c>
      <c r="E1880" s="3" t="s">
        <v>252</v>
      </c>
      <c r="F1880" s="3" t="s">
        <v>52</v>
      </c>
      <c r="G1880" s="3" t="s">
        <v>252</v>
      </c>
      <c r="H1880" s="3" t="s">
        <v>45</v>
      </c>
      <c r="I1880" s="3">
        <v>2025</v>
      </c>
      <c r="J1880" s="3" t="str">
        <f>CONCATENATE("54820122197")</f>
        <v>54820122197</v>
      </c>
      <c r="K1880" s="3" t="s">
        <v>33</v>
      </c>
      <c r="L1880" s="3"/>
      <c r="M1880" s="3" t="s">
        <v>131</v>
      </c>
      <c r="N1880" s="3" t="str">
        <f>CONCATENATE("MRNMHL69A12D749P")</f>
        <v>MRNMHL69A12D749P</v>
      </c>
      <c r="O1880" s="3" t="s">
        <v>2012</v>
      </c>
      <c r="P1880" s="3" t="s">
        <v>36</v>
      </c>
      <c r="Q1880" s="3"/>
      <c r="R1880" s="4">
        <v>45996</v>
      </c>
      <c r="S1880" s="3" t="s">
        <v>37</v>
      </c>
      <c r="T1880" s="3" t="s">
        <v>38</v>
      </c>
      <c r="U1880" s="3" t="s">
        <v>39</v>
      </c>
      <c r="V1880" s="3">
        <v>165.28</v>
      </c>
      <c r="W1880" s="3">
        <v>70.239999999999995</v>
      </c>
      <c r="X1880" s="3">
        <v>66.53</v>
      </c>
      <c r="Y1880" s="3">
        <v>28.51</v>
      </c>
    </row>
    <row r="1881" spans="1:25" ht="60.75" x14ac:dyDescent="0.25">
      <c r="A1881" s="3" t="s">
        <v>26</v>
      </c>
      <c r="B1881" s="3" t="s">
        <v>27</v>
      </c>
      <c r="C1881" s="3" t="s">
        <v>28</v>
      </c>
      <c r="D1881" s="3" t="s">
        <v>29</v>
      </c>
      <c r="E1881" s="3" t="s">
        <v>47</v>
      </c>
      <c r="F1881" s="3" t="s">
        <v>31</v>
      </c>
      <c r="G1881" s="3" t="s">
        <v>47</v>
      </c>
      <c r="H1881" s="3" t="s">
        <v>48</v>
      </c>
      <c r="I1881" s="3">
        <v>2025</v>
      </c>
      <c r="J1881" s="3" t="str">
        <f>CONCATENATE("54820198247")</f>
        <v>54820198247</v>
      </c>
      <c r="K1881" s="3" t="s">
        <v>33</v>
      </c>
      <c r="L1881" s="3"/>
      <c r="M1881" s="3" t="s">
        <v>131</v>
      </c>
      <c r="N1881" s="3" t="str">
        <f>CONCATENATE("GBRDNL79P21D451C")</f>
        <v>GBRDNL79P21D451C</v>
      </c>
      <c r="O1881" s="3" t="s">
        <v>2013</v>
      </c>
      <c r="P1881" s="3" t="s">
        <v>36</v>
      </c>
      <c r="Q1881" s="3"/>
      <c r="R1881" s="4">
        <v>45996</v>
      </c>
      <c r="S1881" s="3" t="s">
        <v>37</v>
      </c>
      <c r="T1881" s="3" t="s">
        <v>38</v>
      </c>
      <c r="U1881" s="3" t="s">
        <v>39</v>
      </c>
      <c r="V1881" s="3">
        <v>124.02</v>
      </c>
      <c r="W1881" s="3">
        <v>52.71</v>
      </c>
      <c r="X1881" s="3">
        <v>49.92</v>
      </c>
      <c r="Y1881" s="3">
        <v>21.39</v>
      </c>
    </row>
    <row r="1882" spans="1:25" ht="60.75" x14ac:dyDescent="0.25">
      <c r="A1882" s="3" t="s">
        <v>26</v>
      </c>
      <c r="B1882" s="3" t="s">
        <v>27</v>
      </c>
      <c r="C1882" s="3" t="s">
        <v>28</v>
      </c>
      <c r="D1882" s="3" t="s">
        <v>29</v>
      </c>
      <c r="E1882" s="3" t="s">
        <v>101</v>
      </c>
      <c r="F1882" s="3" t="s">
        <v>31</v>
      </c>
      <c r="G1882" s="3" t="s">
        <v>101</v>
      </c>
      <c r="H1882" s="3" t="s">
        <v>32</v>
      </c>
      <c r="I1882" s="3">
        <v>2025</v>
      </c>
      <c r="J1882" s="3" t="str">
        <f>CONCATENATE("54820133905")</f>
        <v>54820133905</v>
      </c>
      <c r="K1882" s="3" t="s">
        <v>33</v>
      </c>
      <c r="L1882" s="3"/>
      <c r="M1882" s="3" t="s">
        <v>131</v>
      </c>
      <c r="N1882" s="3" t="str">
        <f>CONCATENATE("PRRFNC62A05H876E")</f>
        <v>PRRFNC62A05H876E</v>
      </c>
      <c r="O1882" s="3" t="s">
        <v>2014</v>
      </c>
      <c r="P1882" s="3" t="s">
        <v>36</v>
      </c>
      <c r="Q1882" s="3"/>
      <c r="R1882" s="4">
        <v>45996</v>
      </c>
      <c r="S1882" s="3" t="s">
        <v>37</v>
      </c>
      <c r="T1882" s="3" t="s">
        <v>38</v>
      </c>
      <c r="U1882" s="3" t="s">
        <v>39</v>
      </c>
      <c r="V1882" s="3">
        <v>109.48</v>
      </c>
      <c r="W1882" s="3">
        <v>46.53</v>
      </c>
      <c r="X1882" s="3">
        <v>44.07</v>
      </c>
      <c r="Y1882" s="3">
        <v>18.88</v>
      </c>
    </row>
    <row r="1883" spans="1:25" ht="60.75" x14ac:dyDescent="0.25">
      <c r="A1883" s="3" t="s">
        <v>26</v>
      </c>
      <c r="B1883" s="3" t="s">
        <v>27</v>
      </c>
      <c r="C1883" s="3" t="s">
        <v>28</v>
      </c>
      <c r="D1883" s="3" t="s">
        <v>91</v>
      </c>
      <c r="E1883" s="3" t="s">
        <v>522</v>
      </c>
      <c r="F1883" s="3" t="s">
        <v>93</v>
      </c>
      <c r="G1883" s="3" t="s">
        <v>522</v>
      </c>
      <c r="H1883" s="3" t="s">
        <v>32</v>
      </c>
      <c r="I1883" s="3">
        <v>2025</v>
      </c>
      <c r="J1883" s="3" t="str">
        <f>CONCATENATE("54820134069")</f>
        <v>54820134069</v>
      </c>
      <c r="K1883" s="3" t="s">
        <v>33</v>
      </c>
      <c r="L1883" s="3"/>
      <c r="M1883" s="3" t="s">
        <v>131</v>
      </c>
      <c r="N1883" s="3" t="str">
        <f>CONCATENATE("BNFGLL95R07A271G")</f>
        <v>BNFGLL95R07A271G</v>
      </c>
      <c r="O1883" s="3" t="s">
        <v>2015</v>
      </c>
      <c r="P1883" s="3" t="s">
        <v>36</v>
      </c>
      <c r="Q1883" s="3"/>
      <c r="R1883" s="4">
        <v>45996</v>
      </c>
      <c r="S1883" s="3" t="s">
        <v>37</v>
      </c>
      <c r="T1883" s="3" t="s">
        <v>38</v>
      </c>
      <c r="U1883" s="3" t="s">
        <v>39</v>
      </c>
      <c r="V1883" s="3">
        <v>75.77</v>
      </c>
      <c r="W1883" s="3">
        <v>32.200000000000003</v>
      </c>
      <c r="X1883" s="3">
        <v>30.5</v>
      </c>
      <c r="Y1883" s="3">
        <v>13.07</v>
      </c>
    </row>
    <row r="1884" spans="1:25" ht="60.75" x14ac:dyDescent="0.25">
      <c r="A1884" s="3" t="s">
        <v>26</v>
      </c>
      <c r="B1884" s="3" t="s">
        <v>27</v>
      </c>
      <c r="C1884" s="3" t="s">
        <v>28</v>
      </c>
      <c r="D1884" s="3" t="s">
        <v>50</v>
      </c>
      <c r="E1884" s="3" t="s">
        <v>147</v>
      </c>
      <c r="F1884" s="3" t="s">
        <v>52</v>
      </c>
      <c r="G1884" s="3" t="s">
        <v>147</v>
      </c>
      <c r="H1884" s="3" t="s">
        <v>45</v>
      </c>
      <c r="I1884" s="3">
        <v>2025</v>
      </c>
      <c r="J1884" s="3" t="str">
        <f>CONCATENATE("54820170287")</f>
        <v>54820170287</v>
      </c>
      <c r="K1884" s="3" t="s">
        <v>33</v>
      </c>
      <c r="L1884" s="3"/>
      <c r="M1884" s="3" t="s">
        <v>131</v>
      </c>
      <c r="N1884" s="3" t="str">
        <f>CONCATENATE("CNCDBR71B46L500B")</f>
        <v>CNCDBR71B46L500B</v>
      </c>
      <c r="O1884" s="3" t="s">
        <v>2016</v>
      </c>
      <c r="P1884" s="3" t="s">
        <v>36</v>
      </c>
      <c r="Q1884" s="3"/>
      <c r="R1884" s="4">
        <v>45996</v>
      </c>
      <c r="S1884" s="3" t="s">
        <v>37</v>
      </c>
      <c r="T1884" s="3" t="s">
        <v>38</v>
      </c>
      <c r="U1884" s="3" t="s">
        <v>39</v>
      </c>
      <c r="V1884" s="3">
        <v>626.97</v>
      </c>
      <c r="W1884" s="3">
        <v>266.45999999999998</v>
      </c>
      <c r="X1884" s="3">
        <v>252.36</v>
      </c>
      <c r="Y1884" s="3">
        <v>108.15</v>
      </c>
    </row>
    <row r="1885" spans="1:25" ht="60.75" x14ac:dyDescent="0.25">
      <c r="A1885" s="3" t="s">
        <v>26</v>
      </c>
      <c r="B1885" s="3" t="s">
        <v>27</v>
      </c>
      <c r="C1885" s="3" t="s">
        <v>28</v>
      </c>
      <c r="D1885" s="3" t="s">
        <v>29</v>
      </c>
      <c r="E1885" s="3" t="s">
        <v>136</v>
      </c>
      <c r="F1885" s="3" t="s">
        <v>31</v>
      </c>
      <c r="G1885" s="3" t="s">
        <v>136</v>
      </c>
      <c r="H1885" s="3" t="s">
        <v>48</v>
      </c>
      <c r="I1885" s="3">
        <v>2025</v>
      </c>
      <c r="J1885" s="3" t="str">
        <f>CONCATENATE("54820154265")</f>
        <v>54820154265</v>
      </c>
      <c r="K1885" s="3" t="s">
        <v>33</v>
      </c>
      <c r="L1885" s="3"/>
      <c r="M1885" s="3" t="s">
        <v>131</v>
      </c>
      <c r="N1885" s="3" t="str">
        <f>CONCATENATE("CRSFRC82M31D451E")</f>
        <v>CRSFRC82M31D451E</v>
      </c>
      <c r="O1885" s="3" t="s">
        <v>2017</v>
      </c>
      <c r="P1885" s="3" t="s">
        <v>36</v>
      </c>
      <c r="Q1885" s="3"/>
      <c r="R1885" s="4">
        <v>45996</v>
      </c>
      <c r="S1885" s="3" t="s">
        <v>37</v>
      </c>
      <c r="T1885" s="3" t="s">
        <v>38</v>
      </c>
      <c r="U1885" s="3" t="s">
        <v>39</v>
      </c>
      <c r="V1885" s="3">
        <v>271.5</v>
      </c>
      <c r="W1885" s="3">
        <v>115.39</v>
      </c>
      <c r="X1885" s="3">
        <v>109.28</v>
      </c>
      <c r="Y1885" s="3">
        <v>46.83</v>
      </c>
    </row>
    <row r="1886" spans="1:25" ht="60.75" x14ac:dyDescent="0.25">
      <c r="A1886" s="3" t="s">
        <v>26</v>
      </c>
      <c r="B1886" s="3" t="s">
        <v>27</v>
      </c>
      <c r="C1886" s="3" t="s">
        <v>28</v>
      </c>
      <c r="D1886" s="3" t="s">
        <v>50</v>
      </c>
      <c r="E1886" s="3" t="s">
        <v>60</v>
      </c>
      <c r="F1886" s="3" t="s">
        <v>52</v>
      </c>
      <c r="G1886" s="3" t="s">
        <v>60</v>
      </c>
      <c r="H1886" s="3" t="s">
        <v>45</v>
      </c>
      <c r="I1886" s="3">
        <v>2025</v>
      </c>
      <c r="J1886" s="3" t="str">
        <f>CONCATENATE("54820156708")</f>
        <v>54820156708</v>
      </c>
      <c r="K1886" s="3" t="s">
        <v>33</v>
      </c>
      <c r="L1886" s="3"/>
      <c r="M1886" s="3" t="s">
        <v>131</v>
      </c>
      <c r="N1886" s="3" t="str">
        <f>CONCATENATE("NSNFRC67H07A327Z")</f>
        <v>NSNFRC67H07A327Z</v>
      </c>
      <c r="O1886" s="3" t="s">
        <v>2018</v>
      </c>
      <c r="P1886" s="3" t="s">
        <v>36</v>
      </c>
      <c r="Q1886" s="3"/>
      <c r="R1886" s="4">
        <v>45996</v>
      </c>
      <c r="S1886" s="3" t="s">
        <v>37</v>
      </c>
      <c r="T1886" s="3" t="s">
        <v>38</v>
      </c>
      <c r="U1886" s="3" t="s">
        <v>39</v>
      </c>
      <c r="V1886" s="3">
        <v>124.07</v>
      </c>
      <c r="W1886" s="3">
        <v>52.73</v>
      </c>
      <c r="X1886" s="3">
        <v>49.94</v>
      </c>
      <c r="Y1886" s="3">
        <v>21.4</v>
      </c>
    </row>
    <row r="1887" spans="1:25" ht="72.75" x14ac:dyDescent="0.25">
      <c r="A1887" s="3" t="s">
        <v>26</v>
      </c>
      <c r="B1887" s="3" t="s">
        <v>27</v>
      </c>
      <c r="C1887" s="3" t="s">
        <v>28</v>
      </c>
      <c r="D1887" s="3" t="s">
        <v>91</v>
      </c>
      <c r="E1887" s="3" t="s">
        <v>522</v>
      </c>
      <c r="F1887" s="3" t="s">
        <v>93</v>
      </c>
      <c r="G1887" s="3" t="s">
        <v>522</v>
      </c>
      <c r="H1887" s="3" t="s">
        <v>32</v>
      </c>
      <c r="I1887" s="3">
        <v>2025</v>
      </c>
      <c r="J1887" s="3" t="str">
        <f>CONCATENATE("54820134333")</f>
        <v>54820134333</v>
      </c>
      <c r="K1887" s="3" t="s">
        <v>33</v>
      </c>
      <c r="L1887" s="3"/>
      <c r="M1887" s="3" t="s">
        <v>131</v>
      </c>
      <c r="N1887" s="3" t="str">
        <f>CONCATENATE("MCHRRT46R19H501Q")</f>
        <v>MCHRRT46R19H501Q</v>
      </c>
      <c r="O1887" s="3" t="s">
        <v>2019</v>
      </c>
      <c r="P1887" s="3" t="s">
        <v>36</v>
      </c>
      <c r="Q1887" s="3"/>
      <c r="R1887" s="4">
        <v>45996</v>
      </c>
      <c r="S1887" s="3" t="s">
        <v>37</v>
      </c>
      <c r="T1887" s="3" t="s">
        <v>38</v>
      </c>
      <c r="U1887" s="3" t="s">
        <v>39</v>
      </c>
      <c r="V1887" s="3">
        <v>138.44999999999999</v>
      </c>
      <c r="W1887" s="3">
        <v>58.84</v>
      </c>
      <c r="X1887" s="3">
        <v>55.73</v>
      </c>
      <c r="Y1887" s="3">
        <v>23.88</v>
      </c>
    </row>
    <row r="1888" spans="1:25" ht="60.75" x14ac:dyDescent="0.25">
      <c r="A1888" s="3" t="s">
        <v>26</v>
      </c>
      <c r="B1888" s="3" t="s">
        <v>27</v>
      </c>
      <c r="C1888" s="3" t="s">
        <v>28</v>
      </c>
      <c r="D1888" s="3" t="s">
        <v>29</v>
      </c>
      <c r="E1888" s="3" t="s">
        <v>47</v>
      </c>
      <c r="F1888" s="3" t="s">
        <v>31</v>
      </c>
      <c r="G1888" s="3" t="s">
        <v>47</v>
      </c>
      <c r="H1888" s="3" t="s">
        <v>48</v>
      </c>
      <c r="I1888" s="3">
        <v>2025</v>
      </c>
      <c r="J1888" s="3" t="str">
        <f>CONCATENATE("54820134374")</f>
        <v>54820134374</v>
      </c>
      <c r="K1888" s="3" t="s">
        <v>33</v>
      </c>
      <c r="L1888" s="3"/>
      <c r="M1888" s="3" t="s">
        <v>131</v>
      </c>
      <c r="N1888" s="3" t="str">
        <f>CONCATENATE("PLRLRL71A16Z110K")</f>
        <v>PLRLRL71A16Z110K</v>
      </c>
      <c r="O1888" s="3" t="s">
        <v>2020</v>
      </c>
      <c r="P1888" s="3" t="s">
        <v>36</v>
      </c>
      <c r="Q1888" s="3"/>
      <c r="R1888" s="4">
        <v>45996</v>
      </c>
      <c r="S1888" s="3" t="s">
        <v>37</v>
      </c>
      <c r="T1888" s="3" t="s">
        <v>38</v>
      </c>
      <c r="U1888" s="3" t="s">
        <v>39</v>
      </c>
      <c r="V1888" s="3">
        <v>78.81</v>
      </c>
      <c r="W1888" s="3">
        <v>33.49</v>
      </c>
      <c r="X1888" s="3">
        <v>31.72</v>
      </c>
      <c r="Y1888" s="3">
        <v>13.6</v>
      </c>
    </row>
    <row r="1889" spans="1:25" ht="60.75" x14ac:dyDescent="0.25">
      <c r="A1889" s="3" t="s">
        <v>26</v>
      </c>
      <c r="B1889" s="3" t="s">
        <v>27</v>
      </c>
      <c r="C1889" s="3" t="s">
        <v>28</v>
      </c>
      <c r="D1889" s="3" t="s">
        <v>104</v>
      </c>
      <c r="E1889" s="3" t="s">
        <v>141</v>
      </c>
      <c r="F1889" s="3" t="s">
        <v>104</v>
      </c>
      <c r="G1889" s="3" t="s">
        <v>141</v>
      </c>
      <c r="H1889" s="3" t="s">
        <v>96</v>
      </c>
      <c r="I1889" s="3">
        <v>2025</v>
      </c>
      <c r="J1889" s="3" t="str">
        <f>CONCATENATE("54820137328")</f>
        <v>54820137328</v>
      </c>
      <c r="K1889" s="3" t="s">
        <v>33</v>
      </c>
      <c r="L1889" s="3"/>
      <c r="M1889" s="3" t="s">
        <v>131</v>
      </c>
      <c r="N1889" s="3" t="str">
        <f>CONCATENATE("DNGFBA74E28Z112S")</f>
        <v>DNGFBA74E28Z112S</v>
      </c>
      <c r="O1889" s="3" t="s">
        <v>2021</v>
      </c>
      <c r="P1889" s="3" t="s">
        <v>36</v>
      </c>
      <c r="Q1889" s="3"/>
      <c r="R1889" s="4">
        <v>45996</v>
      </c>
      <c r="S1889" s="3" t="s">
        <v>37</v>
      </c>
      <c r="T1889" s="3" t="s">
        <v>38</v>
      </c>
      <c r="U1889" s="3" t="s">
        <v>39</v>
      </c>
      <c r="V1889" s="3">
        <v>100.82</v>
      </c>
      <c r="W1889" s="3">
        <v>42.85</v>
      </c>
      <c r="X1889" s="3">
        <v>40.58</v>
      </c>
      <c r="Y1889" s="3">
        <v>17.39</v>
      </c>
    </row>
    <row r="1890" spans="1:25" ht="60.75" x14ac:dyDescent="0.25">
      <c r="A1890" s="3" t="s">
        <v>26</v>
      </c>
      <c r="B1890" s="3" t="s">
        <v>27</v>
      </c>
      <c r="C1890" s="3" t="s">
        <v>28</v>
      </c>
      <c r="D1890" s="3" t="s">
        <v>50</v>
      </c>
      <c r="E1890" s="3" t="s">
        <v>60</v>
      </c>
      <c r="F1890" s="3" t="s">
        <v>52</v>
      </c>
      <c r="G1890" s="3" t="s">
        <v>60</v>
      </c>
      <c r="H1890" s="3" t="s">
        <v>45</v>
      </c>
      <c r="I1890" s="3">
        <v>2025</v>
      </c>
      <c r="J1890" s="3" t="str">
        <f>CONCATENATE("54820179940")</f>
        <v>54820179940</v>
      </c>
      <c r="K1890" s="3" t="s">
        <v>33</v>
      </c>
      <c r="L1890" s="3"/>
      <c r="M1890" s="3" t="s">
        <v>131</v>
      </c>
      <c r="N1890" s="3" t="str">
        <f>CONCATENATE("PTRDNC47L20D791D")</f>
        <v>PTRDNC47L20D791D</v>
      </c>
      <c r="O1890" s="3" t="s">
        <v>2022</v>
      </c>
      <c r="P1890" s="3" t="s">
        <v>36</v>
      </c>
      <c r="Q1890" s="3"/>
      <c r="R1890" s="4">
        <v>45996</v>
      </c>
      <c r="S1890" s="3" t="s">
        <v>37</v>
      </c>
      <c r="T1890" s="3" t="s">
        <v>38</v>
      </c>
      <c r="U1890" s="3" t="s">
        <v>39</v>
      </c>
      <c r="V1890" s="3">
        <v>70.37</v>
      </c>
      <c r="W1890" s="3">
        <v>29.91</v>
      </c>
      <c r="X1890" s="3">
        <v>28.32</v>
      </c>
      <c r="Y1890" s="3">
        <v>12.14</v>
      </c>
    </row>
    <row r="1891" spans="1:25" ht="60.75" x14ac:dyDescent="0.25">
      <c r="A1891" s="3" t="s">
        <v>26</v>
      </c>
      <c r="B1891" s="3" t="s">
        <v>27</v>
      </c>
      <c r="C1891" s="3" t="s">
        <v>28</v>
      </c>
      <c r="D1891" s="3" t="s">
        <v>29</v>
      </c>
      <c r="E1891" s="3" t="s">
        <v>80</v>
      </c>
      <c r="F1891" s="3" t="s">
        <v>31</v>
      </c>
      <c r="G1891" s="3" t="s">
        <v>80</v>
      </c>
      <c r="H1891" s="3" t="s">
        <v>45</v>
      </c>
      <c r="I1891" s="3">
        <v>2025</v>
      </c>
      <c r="J1891" s="3" t="str">
        <f>CONCATENATE("54820125422")</f>
        <v>54820125422</v>
      </c>
      <c r="K1891" s="3" t="s">
        <v>33</v>
      </c>
      <c r="L1891" s="3"/>
      <c r="M1891" s="3" t="s">
        <v>131</v>
      </c>
      <c r="N1891" s="3" t="str">
        <f>CONCATENATE("SPDCNZ60L55G453P")</f>
        <v>SPDCNZ60L55G453P</v>
      </c>
      <c r="O1891" s="3" t="s">
        <v>2023</v>
      </c>
      <c r="P1891" s="3" t="s">
        <v>36</v>
      </c>
      <c r="Q1891" s="3"/>
      <c r="R1891" s="4">
        <v>45996</v>
      </c>
      <c r="S1891" s="3" t="s">
        <v>37</v>
      </c>
      <c r="T1891" s="3" t="s">
        <v>38</v>
      </c>
      <c r="U1891" s="3" t="s">
        <v>39</v>
      </c>
      <c r="V1891" s="3">
        <v>122.16</v>
      </c>
      <c r="W1891" s="3">
        <v>51.92</v>
      </c>
      <c r="X1891" s="3">
        <v>49.17</v>
      </c>
      <c r="Y1891" s="3">
        <v>21.07</v>
      </c>
    </row>
    <row r="1892" spans="1:25" ht="60.75" x14ac:dyDescent="0.25">
      <c r="A1892" s="3" t="s">
        <v>26</v>
      </c>
      <c r="B1892" s="3" t="s">
        <v>27</v>
      </c>
      <c r="C1892" s="3" t="s">
        <v>28</v>
      </c>
      <c r="D1892" s="3" t="s">
        <v>50</v>
      </c>
      <c r="E1892" s="3" t="s">
        <v>173</v>
      </c>
      <c r="F1892" s="3" t="s">
        <v>52</v>
      </c>
      <c r="G1892" s="3" t="s">
        <v>173</v>
      </c>
      <c r="H1892" s="3" t="s">
        <v>45</v>
      </c>
      <c r="I1892" s="3">
        <v>2025</v>
      </c>
      <c r="J1892" s="3" t="str">
        <f>CONCATENATE("54820134457")</f>
        <v>54820134457</v>
      </c>
      <c r="K1892" s="3" t="s">
        <v>33</v>
      </c>
      <c r="L1892" s="3"/>
      <c r="M1892" s="3" t="s">
        <v>131</v>
      </c>
      <c r="N1892" s="3" t="str">
        <f>CONCATENATE("BRNMNL88H14I459V")</f>
        <v>BRNMNL88H14I459V</v>
      </c>
      <c r="O1892" s="3" t="s">
        <v>2024</v>
      </c>
      <c r="P1892" s="3" t="s">
        <v>36</v>
      </c>
      <c r="Q1892" s="3"/>
      <c r="R1892" s="4">
        <v>45996</v>
      </c>
      <c r="S1892" s="3" t="s">
        <v>37</v>
      </c>
      <c r="T1892" s="3" t="s">
        <v>38</v>
      </c>
      <c r="U1892" s="3" t="s">
        <v>39</v>
      </c>
      <c r="V1892" s="3">
        <v>327.16000000000003</v>
      </c>
      <c r="W1892" s="3">
        <v>139.04</v>
      </c>
      <c r="X1892" s="3">
        <v>131.68</v>
      </c>
      <c r="Y1892" s="3">
        <v>56.44</v>
      </c>
    </row>
    <row r="1893" spans="1:25" ht="60.75" x14ac:dyDescent="0.25">
      <c r="A1893" s="3" t="s">
        <v>26</v>
      </c>
      <c r="B1893" s="3" t="s">
        <v>27</v>
      </c>
      <c r="C1893" s="3" t="s">
        <v>28</v>
      </c>
      <c r="D1893" s="3" t="s">
        <v>50</v>
      </c>
      <c r="E1893" s="3" t="s">
        <v>173</v>
      </c>
      <c r="F1893" s="3" t="s">
        <v>52</v>
      </c>
      <c r="G1893" s="3" t="s">
        <v>173</v>
      </c>
      <c r="H1893" s="3" t="s">
        <v>45</v>
      </c>
      <c r="I1893" s="3">
        <v>2025</v>
      </c>
      <c r="J1893" s="3" t="str">
        <f>CONCATENATE("54820100813")</f>
        <v>54820100813</v>
      </c>
      <c r="K1893" s="3" t="s">
        <v>33</v>
      </c>
      <c r="L1893" s="3"/>
      <c r="M1893" s="3" t="s">
        <v>131</v>
      </c>
      <c r="N1893" s="3" t="str">
        <f>CONCATENATE("SVRLFA36A02G551E")</f>
        <v>SVRLFA36A02G551E</v>
      </c>
      <c r="O1893" s="3" t="s">
        <v>2025</v>
      </c>
      <c r="P1893" s="3" t="s">
        <v>36</v>
      </c>
      <c r="Q1893" s="3"/>
      <c r="R1893" s="4">
        <v>45996</v>
      </c>
      <c r="S1893" s="3" t="s">
        <v>37</v>
      </c>
      <c r="T1893" s="3" t="s">
        <v>38</v>
      </c>
      <c r="U1893" s="3" t="s">
        <v>39</v>
      </c>
      <c r="V1893" s="3">
        <v>191.33</v>
      </c>
      <c r="W1893" s="3">
        <v>81.319999999999993</v>
      </c>
      <c r="X1893" s="3">
        <v>77.010000000000005</v>
      </c>
      <c r="Y1893" s="3">
        <v>33</v>
      </c>
    </row>
    <row r="1894" spans="1:25" ht="60.75" x14ac:dyDescent="0.25">
      <c r="A1894" s="3" t="s">
        <v>26</v>
      </c>
      <c r="B1894" s="3" t="s">
        <v>27</v>
      </c>
      <c r="C1894" s="3" t="s">
        <v>28</v>
      </c>
      <c r="D1894" s="3" t="s">
        <v>29</v>
      </c>
      <c r="E1894" s="3" t="s">
        <v>47</v>
      </c>
      <c r="F1894" s="3" t="s">
        <v>31</v>
      </c>
      <c r="G1894" s="3" t="s">
        <v>47</v>
      </c>
      <c r="H1894" s="3" t="s">
        <v>48</v>
      </c>
      <c r="I1894" s="3">
        <v>2025</v>
      </c>
      <c r="J1894" s="3" t="str">
        <f>CONCATENATE("54820154190")</f>
        <v>54820154190</v>
      </c>
      <c r="K1894" s="3" t="s">
        <v>33</v>
      </c>
      <c r="L1894" s="3"/>
      <c r="M1894" s="3" t="s">
        <v>131</v>
      </c>
      <c r="N1894" s="3" t="str">
        <f>CONCATENATE("NSNPTR50P29C267R")</f>
        <v>NSNPTR50P29C267R</v>
      </c>
      <c r="O1894" s="3" t="s">
        <v>2026</v>
      </c>
      <c r="P1894" s="3" t="s">
        <v>36</v>
      </c>
      <c r="Q1894" s="3"/>
      <c r="R1894" s="4">
        <v>45996</v>
      </c>
      <c r="S1894" s="3" t="s">
        <v>37</v>
      </c>
      <c r="T1894" s="3" t="s">
        <v>38</v>
      </c>
      <c r="U1894" s="3" t="s">
        <v>39</v>
      </c>
      <c r="V1894" s="3">
        <v>924.43</v>
      </c>
      <c r="W1894" s="3">
        <v>392.88</v>
      </c>
      <c r="X1894" s="3">
        <v>372.08</v>
      </c>
      <c r="Y1894" s="3">
        <v>159.47</v>
      </c>
    </row>
    <row r="1895" spans="1:25" ht="36.75" x14ac:dyDescent="0.25">
      <c r="A1895" s="3" t="s">
        <v>26</v>
      </c>
      <c r="B1895" s="3" t="s">
        <v>27</v>
      </c>
      <c r="C1895" s="3" t="s">
        <v>28</v>
      </c>
      <c r="D1895" s="3" t="s">
        <v>29</v>
      </c>
      <c r="E1895" s="3" t="s">
        <v>119</v>
      </c>
      <c r="F1895" s="3" t="s">
        <v>31</v>
      </c>
      <c r="G1895" s="3" t="s">
        <v>119</v>
      </c>
      <c r="H1895" s="3" t="s">
        <v>96</v>
      </c>
      <c r="I1895" s="3">
        <v>2025</v>
      </c>
      <c r="J1895" s="3" t="str">
        <f>CONCATENATE("54820100714")</f>
        <v>54820100714</v>
      </c>
      <c r="K1895" s="3" t="s">
        <v>33</v>
      </c>
      <c r="L1895" s="3"/>
      <c r="M1895" s="3" t="s">
        <v>131</v>
      </c>
      <c r="N1895" s="3" t="str">
        <f>CONCATENATE("02410500447")</f>
        <v>02410500447</v>
      </c>
      <c r="O1895" s="3" t="s">
        <v>2027</v>
      </c>
      <c r="P1895" s="3" t="s">
        <v>36</v>
      </c>
      <c r="Q1895" s="3"/>
      <c r="R1895" s="4">
        <v>45996</v>
      </c>
      <c r="S1895" s="3" t="s">
        <v>37</v>
      </c>
      <c r="T1895" s="3" t="s">
        <v>38</v>
      </c>
      <c r="U1895" s="3" t="s">
        <v>39</v>
      </c>
      <c r="V1895" s="3">
        <v>282.19</v>
      </c>
      <c r="W1895" s="3">
        <v>119.93</v>
      </c>
      <c r="X1895" s="3">
        <v>113.58</v>
      </c>
      <c r="Y1895" s="3">
        <v>48.68</v>
      </c>
    </row>
    <row r="1896" spans="1:25" ht="36.75" x14ac:dyDescent="0.25">
      <c r="A1896" s="3" t="s">
        <v>26</v>
      </c>
      <c r="B1896" s="3" t="s">
        <v>27</v>
      </c>
      <c r="C1896" s="3" t="s">
        <v>28</v>
      </c>
      <c r="D1896" s="3" t="s">
        <v>29</v>
      </c>
      <c r="E1896" s="3" t="s">
        <v>233</v>
      </c>
      <c r="F1896" s="3" t="s">
        <v>31</v>
      </c>
      <c r="G1896" s="3" t="s">
        <v>233</v>
      </c>
      <c r="H1896" s="3" t="s">
        <v>96</v>
      </c>
      <c r="I1896" s="3">
        <v>2025</v>
      </c>
      <c r="J1896" s="3" t="str">
        <f>CONCATENATE("54820190699")</f>
        <v>54820190699</v>
      </c>
      <c r="K1896" s="3" t="s">
        <v>33</v>
      </c>
      <c r="L1896" s="3"/>
      <c r="M1896" s="3" t="s">
        <v>131</v>
      </c>
      <c r="N1896" s="3" t="str">
        <f>CONCATENATE("02274720446")</f>
        <v>02274720446</v>
      </c>
      <c r="O1896" s="3" t="s">
        <v>2028</v>
      </c>
      <c r="P1896" s="3" t="s">
        <v>36</v>
      </c>
      <c r="Q1896" s="3"/>
      <c r="R1896" s="4">
        <v>45996</v>
      </c>
      <c r="S1896" s="3" t="s">
        <v>37</v>
      </c>
      <c r="T1896" s="3" t="s">
        <v>38</v>
      </c>
      <c r="U1896" s="3" t="s">
        <v>39</v>
      </c>
      <c r="V1896" s="3">
        <v>396.86</v>
      </c>
      <c r="W1896" s="3">
        <v>168.67</v>
      </c>
      <c r="X1896" s="3">
        <v>159.74</v>
      </c>
      <c r="Y1896" s="3">
        <v>68.45</v>
      </c>
    </row>
    <row r="1897" spans="1:25" ht="60.75" x14ac:dyDescent="0.25">
      <c r="A1897" s="3" t="s">
        <v>26</v>
      </c>
      <c r="B1897" s="3" t="s">
        <v>27</v>
      </c>
      <c r="C1897" s="3" t="s">
        <v>28</v>
      </c>
      <c r="D1897" s="3" t="s">
        <v>50</v>
      </c>
      <c r="E1897" s="3" t="s">
        <v>51</v>
      </c>
      <c r="F1897" s="3" t="s">
        <v>52</v>
      </c>
      <c r="G1897" s="3" t="s">
        <v>51</v>
      </c>
      <c r="H1897" s="3" t="s">
        <v>48</v>
      </c>
      <c r="I1897" s="3">
        <v>2025</v>
      </c>
      <c r="J1897" s="3" t="str">
        <f>CONCATENATE("54820169537")</f>
        <v>54820169537</v>
      </c>
      <c r="K1897" s="3" t="s">
        <v>33</v>
      </c>
      <c r="L1897" s="3"/>
      <c r="M1897" s="3" t="s">
        <v>131</v>
      </c>
      <c r="N1897" s="3" t="str">
        <f>CONCATENATE("PTRMNL87D13E388W")</f>
        <v>PTRMNL87D13E388W</v>
      </c>
      <c r="O1897" s="3" t="s">
        <v>2029</v>
      </c>
      <c r="P1897" s="3" t="s">
        <v>36</v>
      </c>
      <c r="Q1897" s="3"/>
      <c r="R1897" s="4">
        <v>45996</v>
      </c>
      <c r="S1897" s="3" t="s">
        <v>37</v>
      </c>
      <c r="T1897" s="3" t="s">
        <v>38</v>
      </c>
      <c r="U1897" s="3" t="s">
        <v>39</v>
      </c>
      <c r="V1897" s="3">
        <v>194.27</v>
      </c>
      <c r="W1897" s="3">
        <v>82.56</v>
      </c>
      <c r="X1897" s="3">
        <v>78.19</v>
      </c>
      <c r="Y1897" s="3">
        <v>33.520000000000003</v>
      </c>
    </row>
    <row r="1898" spans="1:25" ht="36.75" x14ac:dyDescent="0.25">
      <c r="A1898" s="3" t="s">
        <v>26</v>
      </c>
      <c r="B1898" s="3" t="s">
        <v>27</v>
      </c>
      <c r="C1898" s="3" t="s">
        <v>28</v>
      </c>
      <c r="D1898" s="3" t="s">
        <v>91</v>
      </c>
      <c r="E1898" s="3" t="s">
        <v>522</v>
      </c>
      <c r="F1898" s="3" t="s">
        <v>93</v>
      </c>
      <c r="G1898" s="3" t="s">
        <v>522</v>
      </c>
      <c r="H1898" s="3" t="s">
        <v>32</v>
      </c>
      <c r="I1898" s="3">
        <v>2025</v>
      </c>
      <c r="J1898" s="3" t="str">
        <f>CONCATENATE("54820133913")</f>
        <v>54820133913</v>
      </c>
      <c r="K1898" s="3" t="s">
        <v>33</v>
      </c>
      <c r="L1898" s="3"/>
      <c r="M1898" s="3" t="s">
        <v>131</v>
      </c>
      <c r="N1898" s="3" t="str">
        <f>CONCATENATE("01429600438")</f>
        <v>01429600438</v>
      </c>
      <c r="O1898" s="3" t="s">
        <v>2030</v>
      </c>
      <c r="P1898" s="3" t="s">
        <v>36</v>
      </c>
      <c r="Q1898" s="3"/>
      <c r="R1898" s="4">
        <v>45996</v>
      </c>
      <c r="S1898" s="3" t="s">
        <v>37</v>
      </c>
      <c r="T1898" s="3" t="s">
        <v>38</v>
      </c>
      <c r="U1898" s="3" t="s">
        <v>39</v>
      </c>
      <c r="V1898" s="3">
        <v>103.48</v>
      </c>
      <c r="W1898" s="3">
        <v>43.98</v>
      </c>
      <c r="X1898" s="3">
        <v>41.65</v>
      </c>
      <c r="Y1898" s="3">
        <v>17.850000000000001</v>
      </c>
    </row>
    <row r="1899" spans="1:25" ht="60.75" x14ac:dyDescent="0.25">
      <c r="A1899" s="3" t="s">
        <v>26</v>
      </c>
      <c r="B1899" s="3" t="s">
        <v>27</v>
      </c>
      <c r="C1899" s="3" t="s">
        <v>28</v>
      </c>
      <c r="D1899" s="3" t="s">
        <v>50</v>
      </c>
      <c r="E1899" s="3" t="s">
        <v>147</v>
      </c>
      <c r="F1899" s="3" t="s">
        <v>52</v>
      </c>
      <c r="G1899" s="3" t="s">
        <v>147</v>
      </c>
      <c r="H1899" s="3" t="s">
        <v>45</v>
      </c>
      <c r="I1899" s="3">
        <v>2025</v>
      </c>
      <c r="J1899" s="3" t="str">
        <f>CONCATENATE("54820100979")</f>
        <v>54820100979</v>
      </c>
      <c r="K1899" s="3" t="s">
        <v>33</v>
      </c>
      <c r="L1899" s="3"/>
      <c r="M1899" s="3" t="s">
        <v>131</v>
      </c>
      <c r="N1899" s="3" t="str">
        <f>CONCATENATE("CNTRLL57B65I670E")</f>
        <v>CNTRLL57B65I670E</v>
      </c>
      <c r="O1899" s="3" t="s">
        <v>1348</v>
      </c>
      <c r="P1899" s="3" t="s">
        <v>36</v>
      </c>
      <c r="Q1899" s="3"/>
      <c r="R1899" s="4">
        <v>45996</v>
      </c>
      <c r="S1899" s="3" t="s">
        <v>37</v>
      </c>
      <c r="T1899" s="3" t="s">
        <v>38</v>
      </c>
      <c r="U1899" s="3" t="s">
        <v>39</v>
      </c>
      <c r="V1899" s="3">
        <v>135.72</v>
      </c>
      <c r="W1899" s="3">
        <v>57.68</v>
      </c>
      <c r="X1899" s="3">
        <v>54.63</v>
      </c>
      <c r="Y1899" s="3">
        <v>23.41</v>
      </c>
    </row>
    <row r="1900" spans="1:25" ht="60.75" x14ac:dyDescent="0.25">
      <c r="A1900" s="3" t="s">
        <v>26</v>
      </c>
      <c r="B1900" s="3" t="s">
        <v>27</v>
      </c>
      <c r="C1900" s="3" t="s">
        <v>28</v>
      </c>
      <c r="D1900" s="3" t="s">
        <v>50</v>
      </c>
      <c r="E1900" s="3" t="s">
        <v>60</v>
      </c>
      <c r="F1900" s="3" t="s">
        <v>52</v>
      </c>
      <c r="G1900" s="3" t="s">
        <v>60</v>
      </c>
      <c r="H1900" s="3" t="s">
        <v>45</v>
      </c>
      <c r="I1900" s="3">
        <v>2025</v>
      </c>
      <c r="J1900" s="3" t="str">
        <f>CONCATENATE("54820192778")</f>
        <v>54820192778</v>
      </c>
      <c r="K1900" s="3" t="s">
        <v>33</v>
      </c>
      <c r="L1900" s="3"/>
      <c r="M1900" s="3" t="s">
        <v>131</v>
      </c>
      <c r="N1900" s="3" t="str">
        <f>CONCATENATE("GNUMRZ69R06Z133P")</f>
        <v>GNUMRZ69R06Z133P</v>
      </c>
      <c r="O1900" s="3" t="s">
        <v>2031</v>
      </c>
      <c r="P1900" s="3" t="s">
        <v>36</v>
      </c>
      <c r="Q1900" s="3"/>
      <c r="R1900" s="4">
        <v>45996</v>
      </c>
      <c r="S1900" s="3" t="s">
        <v>37</v>
      </c>
      <c r="T1900" s="3" t="s">
        <v>38</v>
      </c>
      <c r="U1900" s="3" t="s">
        <v>39</v>
      </c>
      <c r="V1900" s="3">
        <v>68.569999999999993</v>
      </c>
      <c r="W1900" s="3">
        <v>29.14</v>
      </c>
      <c r="X1900" s="3">
        <v>27.6</v>
      </c>
      <c r="Y1900" s="3">
        <v>11.83</v>
      </c>
    </row>
    <row r="1901" spans="1:25" ht="60.75" x14ac:dyDescent="0.25">
      <c r="A1901" s="3" t="s">
        <v>26</v>
      </c>
      <c r="B1901" s="3" t="s">
        <v>27</v>
      </c>
      <c r="C1901" s="3" t="s">
        <v>28</v>
      </c>
      <c r="D1901" s="3" t="s">
        <v>50</v>
      </c>
      <c r="E1901" s="3" t="s">
        <v>147</v>
      </c>
      <c r="F1901" s="3" t="s">
        <v>52</v>
      </c>
      <c r="G1901" s="3" t="s">
        <v>147</v>
      </c>
      <c r="H1901" s="3" t="s">
        <v>45</v>
      </c>
      <c r="I1901" s="3">
        <v>2025</v>
      </c>
      <c r="J1901" s="3" t="str">
        <f>CONCATENATE("54820194246")</f>
        <v>54820194246</v>
      </c>
      <c r="K1901" s="3" t="s">
        <v>33</v>
      </c>
      <c r="L1901" s="3"/>
      <c r="M1901" s="3" t="s">
        <v>131</v>
      </c>
      <c r="N1901" s="3" t="str">
        <f>CONCATENATE("CRNPRI51A24L500U")</f>
        <v>CRNPRI51A24L500U</v>
      </c>
      <c r="O1901" s="3" t="s">
        <v>2032</v>
      </c>
      <c r="P1901" s="3" t="s">
        <v>36</v>
      </c>
      <c r="Q1901" s="3"/>
      <c r="R1901" s="4">
        <v>45996</v>
      </c>
      <c r="S1901" s="3" t="s">
        <v>37</v>
      </c>
      <c r="T1901" s="3" t="s">
        <v>38</v>
      </c>
      <c r="U1901" s="3" t="s">
        <v>39</v>
      </c>
      <c r="V1901" s="3">
        <v>785.84</v>
      </c>
      <c r="W1901" s="3">
        <v>333.98</v>
      </c>
      <c r="X1901" s="3">
        <v>316.3</v>
      </c>
      <c r="Y1901" s="3">
        <v>135.56</v>
      </c>
    </row>
    <row r="1902" spans="1:25" ht="60.75" x14ac:dyDescent="0.25">
      <c r="A1902" s="3" t="s">
        <v>26</v>
      </c>
      <c r="B1902" s="3" t="s">
        <v>27</v>
      </c>
      <c r="C1902" s="3" t="s">
        <v>28</v>
      </c>
      <c r="D1902" s="3" t="s">
        <v>29</v>
      </c>
      <c r="E1902" s="3" t="s">
        <v>47</v>
      </c>
      <c r="F1902" s="3" t="s">
        <v>31</v>
      </c>
      <c r="G1902" s="3" t="s">
        <v>47</v>
      </c>
      <c r="H1902" s="3" t="s">
        <v>48</v>
      </c>
      <c r="I1902" s="3">
        <v>2025</v>
      </c>
      <c r="J1902" s="3" t="str">
        <f>CONCATENATE("54820168281")</f>
        <v>54820168281</v>
      </c>
      <c r="K1902" s="3" t="s">
        <v>33</v>
      </c>
      <c r="L1902" s="3"/>
      <c r="M1902" s="3" t="s">
        <v>131</v>
      </c>
      <c r="N1902" s="3" t="str">
        <f>CONCATENATE("SBFSLV92S68D451Q")</f>
        <v>SBFSLV92S68D451Q</v>
      </c>
      <c r="O1902" s="3" t="s">
        <v>185</v>
      </c>
      <c r="P1902" s="3" t="s">
        <v>36</v>
      </c>
      <c r="Q1902" s="3"/>
      <c r="R1902" s="4">
        <v>45996</v>
      </c>
      <c r="S1902" s="3" t="s">
        <v>37</v>
      </c>
      <c r="T1902" s="3" t="s">
        <v>38</v>
      </c>
      <c r="U1902" s="3" t="s">
        <v>39</v>
      </c>
      <c r="V1902" s="3">
        <v>178.21</v>
      </c>
      <c r="W1902" s="3">
        <v>75.739999999999995</v>
      </c>
      <c r="X1902" s="3">
        <v>71.73</v>
      </c>
      <c r="Y1902" s="3">
        <v>30.74</v>
      </c>
    </row>
    <row r="1903" spans="1:25" ht="36.75" x14ac:dyDescent="0.25">
      <c r="A1903" s="3" t="s">
        <v>26</v>
      </c>
      <c r="B1903" s="3" t="s">
        <v>27</v>
      </c>
      <c r="C1903" s="3" t="s">
        <v>28</v>
      </c>
      <c r="D1903" s="3" t="s">
        <v>29</v>
      </c>
      <c r="E1903" s="3" t="s">
        <v>182</v>
      </c>
      <c r="F1903" s="3" t="s">
        <v>31</v>
      </c>
      <c r="G1903" s="3" t="s">
        <v>182</v>
      </c>
      <c r="H1903" s="3" t="s">
        <v>45</v>
      </c>
      <c r="I1903" s="3">
        <v>2025</v>
      </c>
      <c r="J1903" s="3" t="str">
        <f>CONCATENATE("54820176763")</f>
        <v>54820176763</v>
      </c>
      <c r="K1903" s="3" t="s">
        <v>33</v>
      </c>
      <c r="L1903" s="3"/>
      <c r="M1903" s="3" t="s">
        <v>131</v>
      </c>
      <c r="N1903" s="3" t="str">
        <f>CONCATENATE("02338940410")</f>
        <v>02338940410</v>
      </c>
      <c r="O1903" s="3" t="s">
        <v>2033</v>
      </c>
      <c r="P1903" s="3" t="s">
        <v>36</v>
      </c>
      <c r="Q1903" s="3"/>
      <c r="R1903" s="4">
        <v>45996</v>
      </c>
      <c r="S1903" s="3" t="s">
        <v>37</v>
      </c>
      <c r="T1903" s="3" t="s">
        <v>38</v>
      </c>
      <c r="U1903" s="3" t="s">
        <v>39</v>
      </c>
      <c r="V1903" s="3">
        <v>880.08</v>
      </c>
      <c r="W1903" s="3">
        <v>374.03</v>
      </c>
      <c r="X1903" s="3">
        <v>354.23</v>
      </c>
      <c r="Y1903" s="3">
        <v>151.82</v>
      </c>
    </row>
    <row r="1904" spans="1:25" ht="60.75" x14ac:dyDescent="0.25">
      <c r="A1904" s="3" t="s">
        <v>26</v>
      </c>
      <c r="B1904" s="3" t="s">
        <v>27</v>
      </c>
      <c r="C1904" s="3" t="s">
        <v>28</v>
      </c>
      <c r="D1904" s="3" t="s">
        <v>29</v>
      </c>
      <c r="E1904" s="3" t="s">
        <v>56</v>
      </c>
      <c r="F1904" s="3" t="s">
        <v>31</v>
      </c>
      <c r="G1904" s="3" t="s">
        <v>56</v>
      </c>
      <c r="H1904" s="3" t="s">
        <v>32</v>
      </c>
      <c r="I1904" s="3">
        <v>2025</v>
      </c>
      <c r="J1904" s="3" t="str">
        <f>CONCATENATE("54820149646")</f>
        <v>54820149646</v>
      </c>
      <c r="K1904" s="3" t="s">
        <v>33</v>
      </c>
      <c r="L1904" s="3"/>
      <c r="M1904" s="3" t="s">
        <v>131</v>
      </c>
      <c r="N1904" s="3" t="str">
        <f>CONCATENATE("TCCLSU57A54I569R")</f>
        <v>TCCLSU57A54I569R</v>
      </c>
      <c r="O1904" s="3" t="s">
        <v>2034</v>
      </c>
      <c r="P1904" s="3" t="s">
        <v>36</v>
      </c>
      <c r="Q1904" s="3"/>
      <c r="R1904" s="4">
        <v>45996</v>
      </c>
      <c r="S1904" s="3" t="s">
        <v>37</v>
      </c>
      <c r="T1904" s="3" t="s">
        <v>38</v>
      </c>
      <c r="U1904" s="3" t="s">
        <v>39</v>
      </c>
      <c r="V1904" s="3">
        <v>172.29</v>
      </c>
      <c r="W1904" s="3">
        <v>73.22</v>
      </c>
      <c r="X1904" s="3">
        <v>69.349999999999994</v>
      </c>
      <c r="Y1904" s="3">
        <v>29.72</v>
      </c>
    </row>
    <row r="1905" spans="1:25" ht="36.75" x14ac:dyDescent="0.25">
      <c r="A1905" s="3" t="s">
        <v>26</v>
      </c>
      <c r="B1905" s="3" t="s">
        <v>27</v>
      </c>
      <c r="C1905" s="3" t="s">
        <v>28</v>
      </c>
      <c r="D1905" s="3" t="s">
        <v>29</v>
      </c>
      <c r="E1905" s="3" t="s">
        <v>56</v>
      </c>
      <c r="F1905" s="3" t="s">
        <v>31</v>
      </c>
      <c r="G1905" s="3" t="s">
        <v>56</v>
      </c>
      <c r="H1905" s="3" t="s">
        <v>32</v>
      </c>
      <c r="I1905" s="3">
        <v>2025</v>
      </c>
      <c r="J1905" s="3" t="str">
        <f>CONCATENATE("54820135165")</f>
        <v>54820135165</v>
      </c>
      <c r="K1905" s="3" t="s">
        <v>33</v>
      </c>
      <c r="L1905" s="3"/>
      <c r="M1905" s="3" t="s">
        <v>131</v>
      </c>
      <c r="N1905" s="3" t="str">
        <f>CONCATENATE("01964190431")</f>
        <v>01964190431</v>
      </c>
      <c r="O1905" s="3" t="s">
        <v>2035</v>
      </c>
      <c r="P1905" s="3" t="s">
        <v>36</v>
      </c>
      <c r="Q1905" s="3"/>
      <c r="R1905" s="4">
        <v>45996</v>
      </c>
      <c r="S1905" s="3" t="s">
        <v>37</v>
      </c>
      <c r="T1905" s="3" t="s">
        <v>38</v>
      </c>
      <c r="U1905" s="3" t="s">
        <v>39</v>
      </c>
      <c r="V1905" s="3">
        <v>541.20000000000005</v>
      </c>
      <c r="W1905" s="3">
        <v>230.01</v>
      </c>
      <c r="X1905" s="3">
        <v>217.83</v>
      </c>
      <c r="Y1905" s="3">
        <v>93.36</v>
      </c>
    </row>
    <row r="1906" spans="1:25" ht="60.75" x14ac:dyDescent="0.25">
      <c r="A1906" s="3" t="s">
        <v>26</v>
      </c>
      <c r="B1906" s="3" t="s">
        <v>27</v>
      </c>
      <c r="C1906" s="3" t="s">
        <v>28</v>
      </c>
      <c r="D1906" s="3" t="s">
        <v>29</v>
      </c>
      <c r="E1906" s="3" t="s">
        <v>119</v>
      </c>
      <c r="F1906" s="3" t="s">
        <v>31</v>
      </c>
      <c r="G1906" s="3" t="s">
        <v>119</v>
      </c>
      <c r="H1906" s="3" t="s">
        <v>96</v>
      </c>
      <c r="I1906" s="3">
        <v>2025</v>
      </c>
      <c r="J1906" s="3" t="str">
        <f>CONCATENATE("54820083951")</f>
        <v>54820083951</v>
      </c>
      <c r="K1906" s="3" t="s">
        <v>33</v>
      </c>
      <c r="L1906" s="3"/>
      <c r="M1906" s="3" t="s">
        <v>131</v>
      </c>
      <c r="N1906" s="3" t="str">
        <f>CONCATENATE("ZZIGNN71S20I774Y")</f>
        <v>ZZIGNN71S20I774Y</v>
      </c>
      <c r="O1906" s="3" t="s">
        <v>2036</v>
      </c>
      <c r="P1906" s="3" t="s">
        <v>36</v>
      </c>
      <c r="Q1906" s="3"/>
      <c r="R1906" s="4">
        <v>45996</v>
      </c>
      <c r="S1906" s="3" t="s">
        <v>37</v>
      </c>
      <c r="T1906" s="3" t="s">
        <v>38</v>
      </c>
      <c r="U1906" s="3" t="s">
        <v>39</v>
      </c>
      <c r="V1906" s="3">
        <v>278.07</v>
      </c>
      <c r="W1906" s="3">
        <v>118.18</v>
      </c>
      <c r="X1906" s="3">
        <v>111.92</v>
      </c>
      <c r="Y1906" s="3">
        <v>47.97</v>
      </c>
    </row>
    <row r="1907" spans="1:25" ht="36.75" x14ac:dyDescent="0.25">
      <c r="A1907" s="3" t="s">
        <v>26</v>
      </c>
      <c r="B1907" s="3" t="s">
        <v>27</v>
      </c>
      <c r="C1907" s="3" t="s">
        <v>28</v>
      </c>
      <c r="D1907" s="3" t="s">
        <v>29</v>
      </c>
      <c r="E1907" s="3" t="s">
        <v>476</v>
      </c>
      <c r="F1907" s="3" t="s">
        <v>31</v>
      </c>
      <c r="G1907" s="3" t="s">
        <v>476</v>
      </c>
      <c r="H1907" s="3" t="s">
        <v>48</v>
      </c>
      <c r="I1907" s="3">
        <v>2025</v>
      </c>
      <c r="J1907" s="3" t="str">
        <f>CONCATENATE("54820141916")</f>
        <v>54820141916</v>
      </c>
      <c r="K1907" s="3" t="s">
        <v>33</v>
      </c>
      <c r="L1907" s="3"/>
      <c r="M1907" s="3" t="s">
        <v>131</v>
      </c>
      <c r="N1907" s="3" t="str">
        <f>CONCATENATE("02921120420")</f>
        <v>02921120420</v>
      </c>
      <c r="O1907" s="3" t="s">
        <v>2037</v>
      </c>
      <c r="P1907" s="3" t="s">
        <v>36</v>
      </c>
      <c r="Q1907" s="3"/>
      <c r="R1907" s="4">
        <v>45996</v>
      </c>
      <c r="S1907" s="3" t="s">
        <v>37</v>
      </c>
      <c r="T1907" s="3" t="s">
        <v>38</v>
      </c>
      <c r="U1907" s="3" t="s">
        <v>39</v>
      </c>
      <c r="V1907" s="3">
        <v>199</v>
      </c>
      <c r="W1907" s="3">
        <v>84.58</v>
      </c>
      <c r="X1907" s="3">
        <v>80.099999999999994</v>
      </c>
      <c r="Y1907" s="3">
        <v>34.32</v>
      </c>
    </row>
    <row r="1908" spans="1:25" ht="60.75" x14ac:dyDescent="0.25">
      <c r="A1908" s="3" t="s">
        <v>26</v>
      </c>
      <c r="B1908" s="3" t="s">
        <v>27</v>
      </c>
      <c r="C1908" s="3" t="s">
        <v>28</v>
      </c>
      <c r="D1908" s="3" t="s">
        <v>29</v>
      </c>
      <c r="E1908" s="3" t="s">
        <v>136</v>
      </c>
      <c r="F1908" s="3" t="s">
        <v>31</v>
      </c>
      <c r="G1908" s="3" t="s">
        <v>136</v>
      </c>
      <c r="H1908" s="3" t="s">
        <v>48</v>
      </c>
      <c r="I1908" s="3">
        <v>2025</v>
      </c>
      <c r="J1908" s="3" t="str">
        <f>CONCATENATE("54820154430")</f>
        <v>54820154430</v>
      </c>
      <c r="K1908" s="3" t="s">
        <v>33</v>
      </c>
      <c r="L1908" s="3"/>
      <c r="M1908" s="3" t="s">
        <v>131</v>
      </c>
      <c r="N1908" s="3" t="str">
        <f>CONCATENATE("MSTVLD54L44I461F")</f>
        <v>MSTVLD54L44I461F</v>
      </c>
      <c r="O1908" s="3" t="s">
        <v>2038</v>
      </c>
      <c r="P1908" s="3" t="s">
        <v>36</v>
      </c>
      <c r="Q1908" s="3"/>
      <c r="R1908" s="4">
        <v>45996</v>
      </c>
      <c r="S1908" s="3" t="s">
        <v>37</v>
      </c>
      <c r="T1908" s="3" t="s">
        <v>38</v>
      </c>
      <c r="U1908" s="3" t="s">
        <v>39</v>
      </c>
      <c r="V1908" s="3">
        <v>148.91999999999999</v>
      </c>
      <c r="W1908" s="3">
        <v>63.29</v>
      </c>
      <c r="X1908" s="3">
        <v>59.94</v>
      </c>
      <c r="Y1908" s="3">
        <v>25.69</v>
      </c>
    </row>
    <row r="1909" spans="1:25" ht="72.75" x14ac:dyDescent="0.25">
      <c r="A1909" s="3" t="s">
        <v>26</v>
      </c>
      <c r="B1909" s="3" t="s">
        <v>27</v>
      </c>
      <c r="C1909" s="3" t="s">
        <v>28</v>
      </c>
      <c r="D1909" s="3" t="s">
        <v>29</v>
      </c>
      <c r="E1909" s="3" t="s">
        <v>56</v>
      </c>
      <c r="F1909" s="3" t="s">
        <v>31</v>
      </c>
      <c r="G1909" s="3" t="s">
        <v>56</v>
      </c>
      <c r="H1909" s="3" t="s">
        <v>32</v>
      </c>
      <c r="I1909" s="3">
        <v>2025</v>
      </c>
      <c r="J1909" s="3" t="str">
        <f>CONCATENATE("54820255047")</f>
        <v>54820255047</v>
      </c>
      <c r="K1909" s="3" t="s">
        <v>33</v>
      </c>
      <c r="L1909" s="3"/>
      <c r="M1909" s="3" t="s">
        <v>131</v>
      </c>
      <c r="N1909" s="3" t="str">
        <f>CONCATENATE("CRRLGU66B11D628H")</f>
        <v>CRRLGU66B11D628H</v>
      </c>
      <c r="O1909" s="3" t="s">
        <v>2039</v>
      </c>
      <c r="P1909" s="3" t="s">
        <v>36</v>
      </c>
      <c r="Q1909" s="3"/>
      <c r="R1909" s="4">
        <v>45996</v>
      </c>
      <c r="S1909" s="3" t="s">
        <v>37</v>
      </c>
      <c r="T1909" s="3" t="s">
        <v>38</v>
      </c>
      <c r="U1909" s="3" t="s">
        <v>39</v>
      </c>
      <c r="V1909" s="5">
        <v>1160.5999999999999</v>
      </c>
      <c r="W1909" s="3">
        <v>493.26</v>
      </c>
      <c r="X1909" s="3">
        <v>467.14</v>
      </c>
      <c r="Y1909" s="3">
        <v>200.2</v>
      </c>
    </row>
    <row r="1910" spans="1:25" ht="72.75" x14ac:dyDescent="0.25">
      <c r="A1910" s="3" t="s">
        <v>26</v>
      </c>
      <c r="B1910" s="3" t="s">
        <v>27</v>
      </c>
      <c r="C1910" s="3" t="s">
        <v>28</v>
      </c>
      <c r="D1910" s="3" t="s">
        <v>29</v>
      </c>
      <c r="E1910" s="3" t="s">
        <v>47</v>
      </c>
      <c r="F1910" s="3" t="s">
        <v>31</v>
      </c>
      <c r="G1910" s="3" t="s">
        <v>47</v>
      </c>
      <c r="H1910" s="3" t="s">
        <v>48</v>
      </c>
      <c r="I1910" s="3">
        <v>2025</v>
      </c>
      <c r="J1910" s="3" t="str">
        <f>CONCATENATE("54820187851")</f>
        <v>54820187851</v>
      </c>
      <c r="K1910" s="3" t="s">
        <v>33</v>
      </c>
      <c r="L1910" s="3"/>
      <c r="M1910" s="3" t="s">
        <v>131</v>
      </c>
      <c r="N1910" s="3" t="str">
        <f>CONCATENATE("BRNTNN60A21D451U")</f>
        <v>BRNTNN60A21D451U</v>
      </c>
      <c r="O1910" s="3" t="s">
        <v>2040</v>
      </c>
      <c r="P1910" s="3" t="s">
        <v>36</v>
      </c>
      <c r="Q1910" s="3"/>
      <c r="R1910" s="4">
        <v>45996</v>
      </c>
      <c r="S1910" s="3" t="s">
        <v>37</v>
      </c>
      <c r="T1910" s="3" t="s">
        <v>38</v>
      </c>
      <c r="U1910" s="3" t="s">
        <v>39</v>
      </c>
      <c r="V1910" s="3">
        <v>146.49</v>
      </c>
      <c r="W1910" s="3">
        <v>62.26</v>
      </c>
      <c r="X1910" s="3">
        <v>58.96</v>
      </c>
      <c r="Y1910" s="3">
        <v>25.27</v>
      </c>
    </row>
    <row r="1911" spans="1:25" ht="60.75" x14ac:dyDescent="0.25">
      <c r="A1911" s="3" t="s">
        <v>26</v>
      </c>
      <c r="B1911" s="3" t="s">
        <v>27</v>
      </c>
      <c r="C1911" s="3" t="s">
        <v>28</v>
      </c>
      <c r="D1911" s="3" t="s">
        <v>29</v>
      </c>
      <c r="E1911" s="3" t="s">
        <v>208</v>
      </c>
      <c r="F1911" s="3" t="s">
        <v>31</v>
      </c>
      <c r="G1911" s="3" t="s">
        <v>208</v>
      </c>
      <c r="H1911" s="3" t="s">
        <v>45</v>
      </c>
      <c r="I1911" s="3">
        <v>2025</v>
      </c>
      <c r="J1911" s="3" t="str">
        <f>CONCATENATE("54820210596")</f>
        <v>54820210596</v>
      </c>
      <c r="K1911" s="3" t="s">
        <v>33</v>
      </c>
      <c r="L1911" s="3"/>
      <c r="M1911" s="3" t="s">
        <v>131</v>
      </c>
      <c r="N1911" s="3" t="str">
        <f>CONCATENATE("CRDRRT68T09I287N")</f>
        <v>CRDRRT68T09I287N</v>
      </c>
      <c r="O1911" s="3" t="s">
        <v>2041</v>
      </c>
      <c r="P1911" s="3" t="s">
        <v>36</v>
      </c>
      <c r="Q1911" s="3"/>
      <c r="R1911" s="4">
        <v>45996</v>
      </c>
      <c r="S1911" s="3" t="s">
        <v>37</v>
      </c>
      <c r="T1911" s="3" t="s">
        <v>38</v>
      </c>
      <c r="U1911" s="3" t="s">
        <v>39</v>
      </c>
      <c r="V1911" s="3">
        <v>373.57</v>
      </c>
      <c r="W1911" s="3">
        <v>158.77000000000001</v>
      </c>
      <c r="X1911" s="3">
        <v>150.36000000000001</v>
      </c>
      <c r="Y1911" s="3">
        <v>64.44</v>
      </c>
    </row>
    <row r="1912" spans="1:25" ht="60.75" x14ac:dyDescent="0.25">
      <c r="A1912" s="3" t="s">
        <v>26</v>
      </c>
      <c r="B1912" s="3" t="s">
        <v>27</v>
      </c>
      <c r="C1912" s="3" t="s">
        <v>28</v>
      </c>
      <c r="D1912" s="3" t="s">
        <v>50</v>
      </c>
      <c r="E1912" s="3" t="s">
        <v>147</v>
      </c>
      <c r="F1912" s="3" t="s">
        <v>52</v>
      </c>
      <c r="G1912" s="3" t="s">
        <v>147</v>
      </c>
      <c r="H1912" s="3" t="s">
        <v>45</v>
      </c>
      <c r="I1912" s="3">
        <v>2025</v>
      </c>
      <c r="J1912" s="3" t="str">
        <f>CONCATENATE("54820138326")</f>
        <v>54820138326</v>
      </c>
      <c r="K1912" s="3" t="s">
        <v>33</v>
      </c>
      <c r="L1912" s="3"/>
      <c r="M1912" s="3" t="s">
        <v>131</v>
      </c>
      <c r="N1912" s="3" t="str">
        <f>CONCATENATE("SRFRLL57P44L500F")</f>
        <v>SRFRLL57P44L500F</v>
      </c>
      <c r="O1912" s="3" t="s">
        <v>2042</v>
      </c>
      <c r="P1912" s="3" t="s">
        <v>36</v>
      </c>
      <c r="Q1912" s="3"/>
      <c r="R1912" s="4">
        <v>45996</v>
      </c>
      <c r="S1912" s="3" t="s">
        <v>37</v>
      </c>
      <c r="T1912" s="3" t="s">
        <v>38</v>
      </c>
      <c r="U1912" s="3" t="s">
        <v>39</v>
      </c>
      <c r="V1912" s="3">
        <v>118.43</v>
      </c>
      <c r="W1912" s="3">
        <v>50.33</v>
      </c>
      <c r="X1912" s="3">
        <v>47.67</v>
      </c>
      <c r="Y1912" s="3">
        <v>20.43</v>
      </c>
    </row>
    <row r="1913" spans="1:25" ht="60.75" x14ac:dyDescent="0.25">
      <c r="A1913" s="3" t="s">
        <v>26</v>
      </c>
      <c r="B1913" s="3" t="s">
        <v>27</v>
      </c>
      <c r="C1913" s="3" t="s">
        <v>28</v>
      </c>
      <c r="D1913" s="3" t="s">
        <v>29</v>
      </c>
      <c r="E1913" s="3" t="s">
        <v>136</v>
      </c>
      <c r="F1913" s="3" t="s">
        <v>31</v>
      </c>
      <c r="G1913" s="3" t="s">
        <v>136</v>
      </c>
      <c r="H1913" s="3" t="s">
        <v>48</v>
      </c>
      <c r="I1913" s="3">
        <v>2025</v>
      </c>
      <c r="J1913" s="3" t="str">
        <f>CONCATENATE("54820132618")</f>
        <v>54820132618</v>
      </c>
      <c r="K1913" s="3" t="s">
        <v>33</v>
      </c>
      <c r="L1913" s="3"/>
      <c r="M1913" s="3" t="s">
        <v>131</v>
      </c>
      <c r="N1913" s="3" t="str">
        <f>CONCATENATE("DLZVTR53A64E958S")</f>
        <v>DLZVTR53A64E958S</v>
      </c>
      <c r="O1913" s="3" t="s">
        <v>2043</v>
      </c>
      <c r="P1913" s="3" t="s">
        <v>36</v>
      </c>
      <c r="Q1913" s="3"/>
      <c r="R1913" s="4">
        <v>45996</v>
      </c>
      <c r="S1913" s="3" t="s">
        <v>37</v>
      </c>
      <c r="T1913" s="3" t="s">
        <v>38</v>
      </c>
      <c r="U1913" s="3" t="s">
        <v>39</v>
      </c>
      <c r="V1913" s="3">
        <v>152.77000000000001</v>
      </c>
      <c r="W1913" s="3">
        <v>64.930000000000007</v>
      </c>
      <c r="X1913" s="3">
        <v>61.49</v>
      </c>
      <c r="Y1913" s="3">
        <v>26.35</v>
      </c>
    </row>
    <row r="1914" spans="1:25" ht="60.75" x14ac:dyDescent="0.25">
      <c r="A1914" s="3" t="s">
        <v>26</v>
      </c>
      <c r="B1914" s="3" t="s">
        <v>27</v>
      </c>
      <c r="C1914" s="3" t="s">
        <v>28</v>
      </c>
      <c r="D1914" s="3" t="s">
        <v>50</v>
      </c>
      <c r="E1914" s="3" t="s">
        <v>60</v>
      </c>
      <c r="F1914" s="3" t="s">
        <v>52</v>
      </c>
      <c r="G1914" s="3" t="s">
        <v>60</v>
      </c>
      <c r="H1914" s="3" t="s">
        <v>45</v>
      </c>
      <c r="I1914" s="3">
        <v>2025</v>
      </c>
      <c r="J1914" s="3" t="str">
        <f>CONCATENATE("54820136502")</f>
        <v>54820136502</v>
      </c>
      <c r="K1914" s="3" t="s">
        <v>33</v>
      </c>
      <c r="L1914" s="3"/>
      <c r="M1914" s="3" t="s">
        <v>131</v>
      </c>
      <c r="N1914" s="3" t="str">
        <f>CONCATENATE("PLNSMN73A57G453X")</f>
        <v>PLNSMN73A57G453X</v>
      </c>
      <c r="O1914" s="3" t="s">
        <v>2044</v>
      </c>
      <c r="P1914" s="3" t="s">
        <v>36</v>
      </c>
      <c r="Q1914" s="3"/>
      <c r="R1914" s="4">
        <v>45996</v>
      </c>
      <c r="S1914" s="3" t="s">
        <v>37</v>
      </c>
      <c r="T1914" s="3" t="s">
        <v>38</v>
      </c>
      <c r="U1914" s="3" t="s">
        <v>39</v>
      </c>
      <c r="V1914" s="3">
        <v>53.29</v>
      </c>
      <c r="W1914" s="3">
        <v>22.65</v>
      </c>
      <c r="X1914" s="3">
        <v>21.45</v>
      </c>
      <c r="Y1914" s="3">
        <v>9.19</v>
      </c>
    </row>
    <row r="1915" spans="1:25" ht="60.75" x14ac:dyDescent="0.25">
      <c r="A1915" s="3" t="s">
        <v>26</v>
      </c>
      <c r="B1915" s="3" t="s">
        <v>27</v>
      </c>
      <c r="C1915" s="3" t="s">
        <v>28</v>
      </c>
      <c r="D1915" s="3" t="s">
        <v>50</v>
      </c>
      <c r="E1915" s="3" t="s">
        <v>60</v>
      </c>
      <c r="F1915" s="3" t="s">
        <v>52</v>
      </c>
      <c r="G1915" s="3" t="s">
        <v>60</v>
      </c>
      <c r="H1915" s="3" t="s">
        <v>45</v>
      </c>
      <c r="I1915" s="3">
        <v>2025</v>
      </c>
      <c r="J1915" s="3" t="str">
        <f>CONCATENATE("54820191879")</f>
        <v>54820191879</v>
      </c>
      <c r="K1915" s="3" t="s">
        <v>33</v>
      </c>
      <c r="L1915" s="3"/>
      <c r="M1915" s="3" t="s">
        <v>131</v>
      </c>
      <c r="N1915" s="3" t="str">
        <f>CONCATENATE("VGNTRZ54T15B352V")</f>
        <v>VGNTRZ54T15B352V</v>
      </c>
      <c r="O1915" s="3" t="s">
        <v>2045</v>
      </c>
      <c r="P1915" s="3" t="s">
        <v>36</v>
      </c>
      <c r="Q1915" s="3"/>
      <c r="R1915" s="4">
        <v>45996</v>
      </c>
      <c r="S1915" s="3" t="s">
        <v>37</v>
      </c>
      <c r="T1915" s="3" t="s">
        <v>38</v>
      </c>
      <c r="U1915" s="3" t="s">
        <v>39</v>
      </c>
      <c r="V1915" s="3">
        <v>47.11</v>
      </c>
      <c r="W1915" s="3">
        <v>20.02</v>
      </c>
      <c r="X1915" s="3">
        <v>18.96</v>
      </c>
      <c r="Y1915" s="3">
        <v>8.1300000000000008</v>
      </c>
    </row>
    <row r="1916" spans="1:25" ht="60.75" x14ac:dyDescent="0.25">
      <c r="A1916" s="3" t="s">
        <v>26</v>
      </c>
      <c r="B1916" s="3" t="s">
        <v>27</v>
      </c>
      <c r="C1916" s="3" t="s">
        <v>28</v>
      </c>
      <c r="D1916" s="3" t="s">
        <v>50</v>
      </c>
      <c r="E1916" s="3" t="s">
        <v>60</v>
      </c>
      <c r="F1916" s="3" t="s">
        <v>52</v>
      </c>
      <c r="G1916" s="3" t="s">
        <v>60</v>
      </c>
      <c r="H1916" s="3" t="s">
        <v>45</v>
      </c>
      <c r="I1916" s="3">
        <v>2025</v>
      </c>
      <c r="J1916" s="3" t="str">
        <f>CONCATENATE("54820089891")</f>
        <v>54820089891</v>
      </c>
      <c r="K1916" s="3" t="s">
        <v>33</v>
      </c>
      <c r="L1916" s="3"/>
      <c r="M1916" s="3" t="s">
        <v>131</v>
      </c>
      <c r="N1916" s="3" t="str">
        <f>CONCATENATE("CHSRRT64E29B352H")</f>
        <v>CHSRRT64E29B352H</v>
      </c>
      <c r="O1916" s="3" t="s">
        <v>2046</v>
      </c>
      <c r="P1916" s="3" t="s">
        <v>36</v>
      </c>
      <c r="Q1916" s="3"/>
      <c r="R1916" s="4">
        <v>45996</v>
      </c>
      <c r="S1916" s="3" t="s">
        <v>37</v>
      </c>
      <c r="T1916" s="3" t="s">
        <v>38</v>
      </c>
      <c r="U1916" s="3" t="s">
        <v>39</v>
      </c>
      <c r="V1916" s="3">
        <v>80.099999999999994</v>
      </c>
      <c r="W1916" s="3">
        <v>34.04</v>
      </c>
      <c r="X1916" s="3">
        <v>32.24</v>
      </c>
      <c r="Y1916" s="3">
        <v>13.82</v>
      </c>
    </row>
    <row r="1917" spans="1:25" ht="60.75" x14ac:dyDescent="0.25">
      <c r="A1917" s="3" t="s">
        <v>26</v>
      </c>
      <c r="B1917" s="3" t="s">
        <v>27</v>
      </c>
      <c r="C1917" s="3" t="s">
        <v>28</v>
      </c>
      <c r="D1917" s="3" t="s">
        <v>50</v>
      </c>
      <c r="E1917" s="3" t="s">
        <v>51</v>
      </c>
      <c r="F1917" s="3" t="s">
        <v>52</v>
      </c>
      <c r="G1917" s="3" t="s">
        <v>51</v>
      </c>
      <c r="H1917" s="3" t="s">
        <v>48</v>
      </c>
      <c r="I1917" s="3">
        <v>2025</v>
      </c>
      <c r="J1917" s="3" t="str">
        <f>CONCATENATE("54820147079")</f>
        <v>54820147079</v>
      </c>
      <c r="K1917" s="3" t="s">
        <v>33</v>
      </c>
      <c r="L1917" s="3"/>
      <c r="M1917" s="3" t="s">
        <v>131</v>
      </c>
      <c r="N1917" s="3" t="str">
        <f>CONCATENATE("MRCNNL61S49D451Y")</f>
        <v>MRCNNL61S49D451Y</v>
      </c>
      <c r="O1917" s="3" t="s">
        <v>2047</v>
      </c>
      <c r="P1917" s="3" t="s">
        <v>36</v>
      </c>
      <c r="Q1917" s="3"/>
      <c r="R1917" s="4">
        <v>45996</v>
      </c>
      <c r="S1917" s="3" t="s">
        <v>37</v>
      </c>
      <c r="T1917" s="3" t="s">
        <v>38</v>
      </c>
      <c r="U1917" s="3" t="s">
        <v>39</v>
      </c>
      <c r="V1917" s="3">
        <v>354.36</v>
      </c>
      <c r="W1917" s="3">
        <v>150.6</v>
      </c>
      <c r="X1917" s="3">
        <v>142.63</v>
      </c>
      <c r="Y1917" s="3">
        <v>61.13</v>
      </c>
    </row>
    <row r="1918" spans="1:25" ht="72.75" x14ac:dyDescent="0.25">
      <c r="A1918" s="3" t="s">
        <v>26</v>
      </c>
      <c r="B1918" s="3" t="s">
        <v>27</v>
      </c>
      <c r="C1918" s="3" t="s">
        <v>28</v>
      </c>
      <c r="D1918" s="3" t="s">
        <v>50</v>
      </c>
      <c r="E1918" s="3" t="s">
        <v>60</v>
      </c>
      <c r="F1918" s="3" t="s">
        <v>52</v>
      </c>
      <c r="G1918" s="3" t="s">
        <v>60</v>
      </c>
      <c r="H1918" s="3" t="s">
        <v>45</v>
      </c>
      <c r="I1918" s="3">
        <v>2025</v>
      </c>
      <c r="J1918" s="3" t="str">
        <f>CONCATENATE("54820114145")</f>
        <v>54820114145</v>
      </c>
      <c r="K1918" s="3" t="s">
        <v>33</v>
      </c>
      <c r="L1918" s="3"/>
      <c r="M1918" s="3" t="s">
        <v>131</v>
      </c>
      <c r="N1918" s="3" t="str">
        <f>CONCATENATE("GDCDMA49M27G453W")</f>
        <v>GDCDMA49M27G453W</v>
      </c>
      <c r="O1918" s="3" t="s">
        <v>2048</v>
      </c>
      <c r="P1918" s="3" t="s">
        <v>36</v>
      </c>
      <c r="Q1918" s="3"/>
      <c r="R1918" s="4">
        <v>45996</v>
      </c>
      <c r="S1918" s="3" t="s">
        <v>37</v>
      </c>
      <c r="T1918" s="3" t="s">
        <v>38</v>
      </c>
      <c r="U1918" s="3" t="s">
        <v>39</v>
      </c>
      <c r="V1918" s="3">
        <v>388.01</v>
      </c>
      <c r="W1918" s="3">
        <v>164.9</v>
      </c>
      <c r="X1918" s="3">
        <v>156.16999999999999</v>
      </c>
      <c r="Y1918" s="3">
        <v>66.94</v>
      </c>
    </row>
    <row r="1919" spans="1:25" ht="60.75" x14ac:dyDescent="0.25">
      <c r="A1919" s="3" t="s">
        <v>26</v>
      </c>
      <c r="B1919" s="3" t="s">
        <v>27</v>
      </c>
      <c r="C1919" s="3" t="s">
        <v>28</v>
      </c>
      <c r="D1919" s="3" t="s">
        <v>29</v>
      </c>
      <c r="E1919" s="3" t="s">
        <v>182</v>
      </c>
      <c r="F1919" s="3" t="s">
        <v>31</v>
      </c>
      <c r="G1919" s="3" t="s">
        <v>182</v>
      </c>
      <c r="H1919" s="3" t="s">
        <v>45</v>
      </c>
      <c r="I1919" s="3">
        <v>2025</v>
      </c>
      <c r="J1919" s="3" t="str">
        <f>CONCATENATE("54820159157")</f>
        <v>54820159157</v>
      </c>
      <c r="K1919" s="3" t="s">
        <v>33</v>
      </c>
      <c r="L1919" s="3"/>
      <c r="M1919" s="3" t="s">
        <v>131</v>
      </c>
      <c r="N1919" s="3" t="str">
        <f>CONCATENATE("RLLMRC82L24L500C")</f>
        <v>RLLMRC82L24L500C</v>
      </c>
      <c r="O1919" s="3" t="s">
        <v>2049</v>
      </c>
      <c r="P1919" s="3" t="s">
        <v>36</v>
      </c>
      <c r="Q1919" s="3"/>
      <c r="R1919" s="4">
        <v>45996</v>
      </c>
      <c r="S1919" s="3" t="s">
        <v>37</v>
      </c>
      <c r="T1919" s="3" t="s">
        <v>38</v>
      </c>
      <c r="U1919" s="3" t="s">
        <v>39</v>
      </c>
      <c r="V1919" s="3">
        <v>83.4</v>
      </c>
      <c r="W1919" s="3">
        <v>35.450000000000003</v>
      </c>
      <c r="X1919" s="3">
        <v>33.57</v>
      </c>
      <c r="Y1919" s="3">
        <v>14.38</v>
      </c>
    </row>
    <row r="1920" spans="1:25" ht="60.75" x14ac:dyDescent="0.25">
      <c r="A1920" s="3" t="s">
        <v>26</v>
      </c>
      <c r="B1920" s="3" t="s">
        <v>27</v>
      </c>
      <c r="C1920" s="3" t="s">
        <v>28</v>
      </c>
      <c r="D1920" s="3" t="s">
        <v>50</v>
      </c>
      <c r="E1920" s="3" t="s">
        <v>252</v>
      </c>
      <c r="F1920" s="3" t="s">
        <v>52</v>
      </c>
      <c r="G1920" s="3" t="s">
        <v>252</v>
      </c>
      <c r="H1920" s="3" t="s">
        <v>45</v>
      </c>
      <c r="I1920" s="3">
        <v>2025</v>
      </c>
      <c r="J1920" s="3" t="str">
        <f>CONCATENATE("54820171574")</f>
        <v>54820171574</v>
      </c>
      <c r="K1920" s="3" t="s">
        <v>33</v>
      </c>
      <c r="L1920" s="3"/>
      <c r="M1920" s="3" t="s">
        <v>131</v>
      </c>
      <c r="N1920" s="3" t="str">
        <f>CONCATENATE("BNTRST50H14G479C")</f>
        <v>BNTRST50H14G479C</v>
      </c>
      <c r="O1920" s="3" t="s">
        <v>2050</v>
      </c>
      <c r="P1920" s="3" t="s">
        <v>36</v>
      </c>
      <c r="Q1920" s="3"/>
      <c r="R1920" s="4">
        <v>45996</v>
      </c>
      <c r="S1920" s="3" t="s">
        <v>37</v>
      </c>
      <c r="T1920" s="3" t="s">
        <v>38</v>
      </c>
      <c r="U1920" s="3" t="s">
        <v>39</v>
      </c>
      <c r="V1920" s="3">
        <v>512.79</v>
      </c>
      <c r="W1920" s="3">
        <v>217.94</v>
      </c>
      <c r="X1920" s="3">
        <v>206.4</v>
      </c>
      <c r="Y1920" s="3">
        <v>88.45</v>
      </c>
    </row>
    <row r="1921" spans="1:25" ht="60.75" x14ac:dyDescent="0.25">
      <c r="A1921" s="3" t="s">
        <v>26</v>
      </c>
      <c r="B1921" s="3" t="s">
        <v>27</v>
      </c>
      <c r="C1921" s="3" t="s">
        <v>28</v>
      </c>
      <c r="D1921" s="3" t="s">
        <v>29</v>
      </c>
      <c r="E1921" s="3" t="s">
        <v>101</v>
      </c>
      <c r="F1921" s="3" t="s">
        <v>31</v>
      </c>
      <c r="G1921" s="3" t="s">
        <v>101</v>
      </c>
      <c r="H1921" s="3" t="s">
        <v>32</v>
      </c>
      <c r="I1921" s="3">
        <v>2025</v>
      </c>
      <c r="J1921" s="3" t="str">
        <f>CONCATENATE("54820161179")</f>
        <v>54820161179</v>
      </c>
      <c r="K1921" s="3" t="s">
        <v>33</v>
      </c>
      <c r="L1921" s="3"/>
      <c r="M1921" s="3" t="s">
        <v>131</v>
      </c>
      <c r="N1921" s="3" t="str">
        <f>CONCATENATE("BCCFRZ54C10B474R")</f>
        <v>BCCFRZ54C10B474R</v>
      </c>
      <c r="O1921" s="3" t="s">
        <v>2051</v>
      </c>
      <c r="P1921" s="3" t="s">
        <v>36</v>
      </c>
      <c r="Q1921" s="3"/>
      <c r="R1921" s="4">
        <v>45996</v>
      </c>
      <c r="S1921" s="3" t="s">
        <v>37</v>
      </c>
      <c r="T1921" s="3" t="s">
        <v>38</v>
      </c>
      <c r="U1921" s="3" t="s">
        <v>39</v>
      </c>
      <c r="V1921" s="3">
        <v>266.31</v>
      </c>
      <c r="W1921" s="3">
        <v>113.18</v>
      </c>
      <c r="X1921" s="3">
        <v>107.19</v>
      </c>
      <c r="Y1921" s="3">
        <v>45.94</v>
      </c>
    </row>
    <row r="1922" spans="1:25" ht="60.75" x14ac:dyDescent="0.25">
      <c r="A1922" s="3" t="s">
        <v>26</v>
      </c>
      <c r="B1922" s="3" t="s">
        <v>27</v>
      </c>
      <c r="C1922" s="3" t="s">
        <v>28</v>
      </c>
      <c r="D1922" s="3" t="s">
        <v>312</v>
      </c>
      <c r="E1922" s="3" t="s">
        <v>313</v>
      </c>
      <c r="F1922" s="3" t="s">
        <v>314</v>
      </c>
      <c r="G1922" s="3" t="s">
        <v>313</v>
      </c>
      <c r="H1922" s="3" t="s">
        <v>96</v>
      </c>
      <c r="I1922" s="3">
        <v>2025</v>
      </c>
      <c r="J1922" s="3" t="str">
        <f>CONCATENATE("54820215637")</f>
        <v>54820215637</v>
      </c>
      <c r="K1922" s="3" t="s">
        <v>33</v>
      </c>
      <c r="L1922" s="3"/>
      <c r="M1922" s="3" t="s">
        <v>131</v>
      </c>
      <c r="N1922" s="3" t="str">
        <f>CONCATENATE("MLACRD67S01G289N")</f>
        <v>MLACRD67S01G289N</v>
      </c>
      <c r="O1922" s="3" t="s">
        <v>2052</v>
      </c>
      <c r="P1922" s="3" t="s">
        <v>36</v>
      </c>
      <c r="Q1922" s="3"/>
      <c r="R1922" s="4">
        <v>45996</v>
      </c>
      <c r="S1922" s="3" t="s">
        <v>37</v>
      </c>
      <c r="T1922" s="3" t="s">
        <v>38</v>
      </c>
      <c r="U1922" s="3" t="s">
        <v>39</v>
      </c>
      <c r="V1922" s="3">
        <v>403.93</v>
      </c>
      <c r="W1922" s="3">
        <v>171.67</v>
      </c>
      <c r="X1922" s="3">
        <v>162.58000000000001</v>
      </c>
      <c r="Y1922" s="3">
        <v>69.680000000000007</v>
      </c>
    </row>
    <row r="1923" spans="1:25" ht="60.75" x14ac:dyDescent="0.25">
      <c r="A1923" s="3" t="s">
        <v>26</v>
      </c>
      <c r="B1923" s="3" t="s">
        <v>27</v>
      </c>
      <c r="C1923" s="3" t="s">
        <v>28</v>
      </c>
      <c r="D1923" s="3" t="s">
        <v>29</v>
      </c>
      <c r="E1923" s="3" t="s">
        <v>56</v>
      </c>
      <c r="F1923" s="3" t="s">
        <v>31</v>
      </c>
      <c r="G1923" s="3" t="s">
        <v>56</v>
      </c>
      <c r="H1923" s="3" t="s">
        <v>32</v>
      </c>
      <c r="I1923" s="3">
        <v>2025</v>
      </c>
      <c r="J1923" s="3" t="str">
        <f>CONCATENATE("54820121991")</f>
        <v>54820121991</v>
      </c>
      <c r="K1923" s="3" t="s">
        <v>33</v>
      </c>
      <c r="L1923" s="3"/>
      <c r="M1923" s="3" t="s">
        <v>131</v>
      </c>
      <c r="N1923" s="3" t="str">
        <f>CONCATENATE("PRNGSL51S13G657Q")</f>
        <v>PRNGSL51S13G657Q</v>
      </c>
      <c r="O1923" s="3" t="s">
        <v>2053</v>
      </c>
      <c r="P1923" s="3" t="s">
        <v>36</v>
      </c>
      <c r="Q1923" s="3"/>
      <c r="R1923" s="4">
        <v>45996</v>
      </c>
      <c r="S1923" s="3" t="s">
        <v>37</v>
      </c>
      <c r="T1923" s="3" t="s">
        <v>38</v>
      </c>
      <c r="U1923" s="3" t="s">
        <v>39</v>
      </c>
      <c r="V1923" s="3">
        <v>251.12</v>
      </c>
      <c r="W1923" s="3">
        <v>106.73</v>
      </c>
      <c r="X1923" s="3">
        <v>101.08</v>
      </c>
      <c r="Y1923" s="3">
        <v>43.31</v>
      </c>
    </row>
    <row r="1924" spans="1:25" ht="60.75" x14ac:dyDescent="0.25">
      <c r="A1924" s="3" t="s">
        <v>26</v>
      </c>
      <c r="B1924" s="3" t="s">
        <v>27</v>
      </c>
      <c r="C1924" s="3" t="s">
        <v>28</v>
      </c>
      <c r="D1924" s="3" t="s">
        <v>50</v>
      </c>
      <c r="E1924" s="3" t="s">
        <v>60</v>
      </c>
      <c r="F1924" s="3" t="s">
        <v>52</v>
      </c>
      <c r="G1924" s="3" t="s">
        <v>60</v>
      </c>
      <c r="H1924" s="3" t="s">
        <v>45</v>
      </c>
      <c r="I1924" s="3">
        <v>2025</v>
      </c>
      <c r="J1924" s="3" t="str">
        <f>CONCATENATE("54820132816")</f>
        <v>54820132816</v>
      </c>
      <c r="K1924" s="3" t="s">
        <v>33</v>
      </c>
      <c r="L1924" s="3"/>
      <c r="M1924" s="3" t="s">
        <v>131</v>
      </c>
      <c r="N1924" s="3" t="str">
        <f>CONCATENATE("PSCNGL65S64G453J")</f>
        <v>PSCNGL65S64G453J</v>
      </c>
      <c r="O1924" s="3" t="s">
        <v>2054</v>
      </c>
      <c r="P1924" s="3" t="s">
        <v>36</v>
      </c>
      <c r="Q1924" s="3"/>
      <c r="R1924" s="4">
        <v>45996</v>
      </c>
      <c r="S1924" s="3" t="s">
        <v>37</v>
      </c>
      <c r="T1924" s="3" t="s">
        <v>38</v>
      </c>
      <c r="U1924" s="3" t="s">
        <v>39</v>
      </c>
      <c r="V1924" s="3">
        <v>197.67</v>
      </c>
      <c r="W1924" s="3">
        <v>84.01</v>
      </c>
      <c r="X1924" s="3">
        <v>79.56</v>
      </c>
      <c r="Y1924" s="3">
        <v>34.1</v>
      </c>
    </row>
    <row r="1925" spans="1:25" ht="60.75" x14ac:dyDescent="0.25">
      <c r="A1925" s="3" t="s">
        <v>26</v>
      </c>
      <c r="B1925" s="3" t="s">
        <v>27</v>
      </c>
      <c r="C1925" s="3" t="s">
        <v>28</v>
      </c>
      <c r="D1925" s="3" t="s">
        <v>50</v>
      </c>
      <c r="E1925" s="3" t="s">
        <v>252</v>
      </c>
      <c r="F1925" s="3" t="s">
        <v>52</v>
      </c>
      <c r="G1925" s="3" t="s">
        <v>252</v>
      </c>
      <c r="H1925" s="3" t="s">
        <v>45</v>
      </c>
      <c r="I1925" s="3">
        <v>2025</v>
      </c>
      <c r="J1925" s="3" t="str">
        <f>CONCATENATE("54820187422")</f>
        <v>54820187422</v>
      </c>
      <c r="K1925" s="3" t="s">
        <v>33</v>
      </c>
      <c r="L1925" s="3"/>
      <c r="M1925" s="3" t="s">
        <v>131</v>
      </c>
      <c r="N1925" s="3" t="str">
        <f>CONCATENATE("RCCMRA35D44H958P")</f>
        <v>RCCMRA35D44H958P</v>
      </c>
      <c r="O1925" s="3" t="s">
        <v>2055</v>
      </c>
      <c r="P1925" s="3" t="s">
        <v>36</v>
      </c>
      <c r="Q1925" s="3"/>
      <c r="R1925" s="4">
        <v>45996</v>
      </c>
      <c r="S1925" s="3" t="s">
        <v>37</v>
      </c>
      <c r="T1925" s="3" t="s">
        <v>38</v>
      </c>
      <c r="U1925" s="3" t="s">
        <v>39</v>
      </c>
      <c r="V1925" s="3">
        <v>98.73</v>
      </c>
      <c r="W1925" s="3">
        <v>41.96</v>
      </c>
      <c r="X1925" s="3">
        <v>39.74</v>
      </c>
      <c r="Y1925" s="3">
        <v>17.03</v>
      </c>
    </row>
    <row r="1926" spans="1:25" ht="72.75" x14ac:dyDescent="0.25">
      <c r="A1926" s="3" t="s">
        <v>26</v>
      </c>
      <c r="B1926" s="3" t="s">
        <v>27</v>
      </c>
      <c r="C1926" s="3" t="s">
        <v>28</v>
      </c>
      <c r="D1926" s="3" t="s">
        <v>50</v>
      </c>
      <c r="E1926" s="3" t="s">
        <v>252</v>
      </c>
      <c r="F1926" s="3" t="s">
        <v>52</v>
      </c>
      <c r="G1926" s="3" t="s">
        <v>252</v>
      </c>
      <c r="H1926" s="3" t="s">
        <v>45</v>
      </c>
      <c r="I1926" s="3">
        <v>2025</v>
      </c>
      <c r="J1926" s="3" t="str">
        <f>CONCATENATE("54820181227")</f>
        <v>54820181227</v>
      </c>
      <c r="K1926" s="3" t="s">
        <v>33</v>
      </c>
      <c r="L1926" s="3"/>
      <c r="M1926" s="3" t="s">
        <v>131</v>
      </c>
      <c r="N1926" s="3" t="str">
        <f>CONCATENATE("TMSGRN32R07D749O")</f>
        <v>TMSGRN32R07D749O</v>
      </c>
      <c r="O1926" s="3" t="s">
        <v>2056</v>
      </c>
      <c r="P1926" s="3" t="s">
        <v>36</v>
      </c>
      <c r="Q1926" s="3"/>
      <c r="R1926" s="4">
        <v>45996</v>
      </c>
      <c r="S1926" s="3" t="s">
        <v>37</v>
      </c>
      <c r="T1926" s="3" t="s">
        <v>38</v>
      </c>
      <c r="U1926" s="3" t="s">
        <v>39</v>
      </c>
      <c r="V1926" s="3">
        <v>85.98</v>
      </c>
      <c r="W1926" s="3">
        <v>36.54</v>
      </c>
      <c r="X1926" s="3">
        <v>34.61</v>
      </c>
      <c r="Y1926" s="3">
        <v>14.83</v>
      </c>
    </row>
    <row r="1927" spans="1:25" ht="60.75" x14ac:dyDescent="0.25">
      <c r="A1927" s="3" t="s">
        <v>26</v>
      </c>
      <c r="B1927" s="3" t="s">
        <v>27</v>
      </c>
      <c r="C1927" s="3" t="s">
        <v>28</v>
      </c>
      <c r="D1927" s="3" t="s">
        <v>50</v>
      </c>
      <c r="E1927" s="3" t="s">
        <v>147</v>
      </c>
      <c r="F1927" s="3" t="s">
        <v>52</v>
      </c>
      <c r="G1927" s="3" t="s">
        <v>147</v>
      </c>
      <c r="H1927" s="3" t="s">
        <v>45</v>
      </c>
      <c r="I1927" s="3">
        <v>2025</v>
      </c>
      <c r="J1927" s="3" t="str">
        <f>CONCATENATE("54820163357")</f>
        <v>54820163357</v>
      </c>
      <c r="K1927" s="3" t="s">
        <v>33</v>
      </c>
      <c r="L1927" s="3"/>
      <c r="M1927" s="3" t="s">
        <v>131</v>
      </c>
      <c r="N1927" s="3" t="str">
        <f>CONCATENATE("PRNCRS88B20L500T")</f>
        <v>PRNCRS88B20L500T</v>
      </c>
      <c r="O1927" s="3" t="s">
        <v>2057</v>
      </c>
      <c r="P1927" s="3" t="s">
        <v>36</v>
      </c>
      <c r="Q1927" s="3"/>
      <c r="R1927" s="4">
        <v>45996</v>
      </c>
      <c r="S1927" s="3" t="s">
        <v>37</v>
      </c>
      <c r="T1927" s="3" t="s">
        <v>38</v>
      </c>
      <c r="U1927" s="3" t="s">
        <v>39</v>
      </c>
      <c r="V1927" s="3">
        <v>316.63</v>
      </c>
      <c r="W1927" s="3">
        <v>134.57</v>
      </c>
      <c r="X1927" s="3">
        <v>127.44</v>
      </c>
      <c r="Y1927" s="3">
        <v>54.62</v>
      </c>
    </row>
    <row r="1928" spans="1:25" ht="60.75" x14ac:dyDescent="0.25">
      <c r="A1928" s="3" t="s">
        <v>26</v>
      </c>
      <c r="B1928" s="3" t="s">
        <v>27</v>
      </c>
      <c r="C1928" s="3" t="s">
        <v>28</v>
      </c>
      <c r="D1928" s="3" t="s">
        <v>29</v>
      </c>
      <c r="E1928" s="3" t="s">
        <v>56</v>
      </c>
      <c r="F1928" s="3" t="s">
        <v>31</v>
      </c>
      <c r="G1928" s="3" t="s">
        <v>56</v>
      </c>
      <c r="H1928" s="3" t="s">
        <v>32</v>
      </c>
      <c r="I1928" s="3">
        <v>2025</v>
      </c>
      <c r="J1928" s="3" t="str">
        <f>CONCATENATE("54820110549")</f>
        <v>54820110549</v>
      </c>
      <c r="K1928" s="3" t="s">
        <v>33</v>
      </c>
      <c r="L1928" s="3"/>
      <c r="M1928" s="3" t="s">
        <v>131</v>
      </c>
      <c r="N1928" s="3" t="str">
        <f>CONCATENATE("LZUGRL57L66D653P")</f>
        <v>LZUGRL57L66D653P</v>
      </c>
      <c r="O1928" s="3" t="s">
        <v>2058</v>
      </c>
      <c r="P1928" s="3" t="s">
        <v>36</v>
      </c>
      <c r="Q1928" s="3"/>
      <c r="R1928" s="4">
        <v>45996</v>
      </c>
      <c r="S1928" s="3" t="s">
        <v>37</v>
      </c>
      <c r="T1928" s="3" t="s">
        <v>38</v>
      </c>
      <c r="U1928" s="3" t="s">
        <v>39</v>
      </c>
      <c r="V1928" s="3">
        <v>131.33000000000001</v>
      </c>
      <c r="W1928" s="3">
        <v>55.82</v>
      </c>
      <c r="X1928" s="3">
        <v>52.86</v>
      </c>
      <c r="Y1928" s="3">
        <v>22.65</v>
      </c>
    </row>
    <row r="1929" spans="1:25" ht="60.75" x14ac:dyDescent="0.25">
      <c r="A1929" s="3" t="s">
        <v>26</v>
      </c>
      <c r="B1929" s="3" t="s">
        <v>27</v>
      </c>
      <c r="C1929" s="3" t="s">
        <v>28</v>
      </c>
      <c r="D1929" s="3" t="s">
        <v>29</v>
      </c>
      <c r="E1929" s="3" t="s">
        <v>136</v>
      </c>
      <c r="F1929" s="3" t="s">
        <v>31</v>
      </c>
      <c r="G1929" s="3" t="s">
        <v>136</v>
      </c>
      <c r="H1929" s="3" t="s">
        <v>48</v>
      </c>
      <c r="I1929" s="3">
        <v>2025</v>
      </c>
      <c r="J1929" s="3" t="str">
        <f>CONCATENATE("54820171632")</f>
        <v>54820171632</v>
      </c>
      <c r="K1929" s="3" t="s">
        <v>33</v>
      </c>
      <c r="L1929" s="3"/>
      <c r="M1929" s="3" t="s">
        <v>131</v>
      </c>
      <c r="N1929" s="3" t="str">
        <f>CONCATENATE("RSSLSN82L08D451F")</f>
        <v>RSSLSN82L08D451F</v>
      </c>
      <c r="O1929" s="3" t="s">
        <v>2059</v>
      </c>
      <c r="P1929" s="3" t="s">
        <v>36</v>
      </c>
      <c r="Q1929" s="3"/>
      <c r="R1929" s="4">
        <v>45996</v>
      </c>
      <c r="S1929" s="3" t="s">
        <v>37</v>
      </c>
      <c r="T1929" s="3" t="s">
        <v>38</v>
      </c>
      <c r="U1929" s="3" t="s">
        <v>39</v>
      </c>
      <c r="V1929" s="3">
        <v>663.88</v>
      </c>
      <c r="W1929" s="3">
        <v>282.14999999999998</v>
      </c>
      <c r="X1929" s="3">
        <v>267.20999999999998</v>
      </c>
      <c r="Y1929" s="3">
        <v>114.52</v>
      </c>
    </row>
    <row r="1930" spans="1:25" ht="60.75" x14ac:dyDescent="0.25">
      <c r="A1930" s="3" t="s">
        <v>26</v>
      </c>
      <c r="B1930" s="3" t="s">
        <v>27</v>
      </c>
      <c r="C1930" s="3" t="s">
        <v>28</v>
      </c>
      <c r="D1930" s="3" t="s">
        <v>312</v>
      </c>
      <c r="E1930" s="3" t="s">
        <v>313</v>
      </c>
      <c r="F1930" s="3" t="s">
        <v>314</v>
      </c>
      <c r="G1930" s="3" t="s">
        <v>313</v>
      </c>
      <c r="H1930" s="3" t="s">
        <v>96</v>
      </c>
      <c r="I1930" s="3">
        <v>2025</v>
      </c>
      <c r="J1930" s="3" t="str">
        <f>CONCATENATE("54820215934")</f>
        <v>54820215934</v>
      </c>
      <c r="K1930" s="3" t="s">
        <v>33</v>
      </c>
      <c r="L1930" s="3"/>
      <c r="M1930" s="3" t="s">
        <v>131</v>
      </c>
      <c r="N1930" s="3" t="str">
        <f>CONCATENATE("NGLGFR70R30A462L")</f>
        <v>NGLGFR70R30A462L</v>
      </c>
      <c r="O1930" s="3" t="s">
        <v>2060</v>
      </c>
      <c r="P1930" s="3" t="s">
        <v>36</v>
      </c>
      <c r="Q1930" s="3"/>
      <c r="R1930" s="4">
        <v>45996</v>
      </c>
      <c r="S1930" s="3" t="s">
        <v>37</v>
      </c>
      <c r="T1930" s="3" t="s">
        <v>38</v>
      </c>
      <c r="U1930" s="3" t="s">
        <v>39</v>
      </c>
      <c r="V1930" s="3">
        <v>153.24</v>
      </c>
      <c r="W1930" s="3">
        <v>65.13</v>
      </c>
      <c r="X1930" s="3">
        <v>61.68</v>
      </c>
      <c r="Y1930" s="3">
        <v>26.43</v>
      </c>
    </row>
    <row r="1931" spans="1:25" ht="60.75" x14ac:dyDescent="0.25">
      <c r="A1931" s="3" t="s">
        <v>26</v>
      </c>
      <c r="B1931" s="3" t="s">
        <v>27</v>
      </c>
      <c r="C1931" s="3" t="s">
        <v>28</v>
      </c>
      <c r="D1931" s="3" t="s">
        <v>312</v>
      </c>
      <c r="E1931" s="3" t="s">
        <v>313</v>
      </c>
      <c r="F1931" s="3" t="s">
        <v>314</v>
      </c>
      <c r="G1931" s="3" t="s">
        <v>313</v>
      </c>
      <c r="H1931" s="3" t="s">
        <v>96</v>
      </c>
      <c r="I1931" s="3">
        <v>2025</v>
      </c>
      <c r="J1931" s="3" t="str">
        <f>CONCATENATE("54820239272")</f>
        <v>54820239272</v>
      </c>
      <c r="K1931" s="3" t="s">
        <v>33</v>
      </c>
      <c r="L1931" s="3"/>
      <c r="M1931" s="3" t="s">
        <v>131</v>
      </c>
      <c r="N1931" s="3" t="str">
        <f>CONCATENATE("PLZNTN44D19A252E")</f>
        <v>PLZNTN44D19A252E</v>
      </c>
      <c r="O1931" s="3" t="s">
        <v>2061</v>
      </c>
      <c r="P1931" s="3" t="s">
        <v>36</v>
      </c>
      <c r="Q1931" s="3"/>
      <c r="R1931" s="4">
        <v>45996</v>
      </c>
      <c r="S1931" s="3" t="s">
        <v>37</v>
      </c>
      <c r="T1931" s="3" t="s">
        <v>38</v>
      </c>
      <c r="U1931" s="3" t="s">
        <v>39</v>
      </c>
      <c r="V1931" s="3">
        <v>75.41</v>
      </c>
      <c r="W1931" s="3">
        <v>32.049999999999997</v>
      </c>
      <c r="X1931" s="3">
        <v>30.35</v>
      </c>
      <c r="Y1931" s="3">
        <v>13.01</v>
      </c>
    </row>
    <row r="1932" spans="1:25" ht="72.75" x14ac:dyDescent="0.25">
      <c r="A1932" s="3" t="s">
        <v>26</v>
      </c>
      <c r="B1932" s="3" t="s">
        <v>27</v>
      </c>
      <c r="C1932" s="3" t="s">
        <v>28</v>
      </c>
      <c r="D1932" s="3" t="s">
        <v>29</v>
      </c>
      <c r="E1932" s="3" t="s">
        <v>2062</v>
      </c>
      <c r="F1932" s="3" t="s">
        <v>31</v>
      </c>
      <c r="G1932" s="3" t="s">
        <v>2062</v>
      </c>
      <c r="H1932" s="3" t="s">
        <v>48</v>
      </c>
      <c r="I1932" s="3">
        <v>2025</v>
      </c>
      <c r="J1932" s="3" t="str">
        <f>CONCATENATE("54820079900")</f>
        <v>54820079900</v>
      </c>
      <c r="K1932" s="3" t="s">
        <v>33</v>
      </c>
      <c r="L1932" s="3"/>
      <c r="M1932" s="3" t="s">
        <v>131</v>
      </c>
      <c r="N1932" s="3" t="str">
        <f>CONCATENATE("BLDGNI62B63H886B")</f>
        <v>BLDGNI62B63H886B</v>
      </c>
      <c r="O1932" s="3" t="s">
        <v>2063</v>
      </c>
      <c r="P1932" s="3" t="s">
        <v>36</v>
      </c>
      <c r="Q1932" s="3"/>
      <c r="R1932" s="4">
        <v>45996</v>
      </c>
      <c r="S1932" s="3" t="s">
        <v>37</v>
      </c>
      <c r="T1932" s="3" t="s">
        <v>38</v>
      </c>
      <c r="U1932" s="3" t="s">
        <v>39</v>
      </c>
      <c r="V1932" s="3">
        <v>108.13</v>
      </c>
      <c r="W1932" s="3">
        <v>45.96</v>
      </c>
      <c r="X1932" s="3">
        <v>43.52</v>
      </c>
      <c r="Y1932" s="3">
        <v>18.649999999999999</v>
      </c>
    </row>
    <row r="1933" spans="1:25" ht="60.75" x14ac:dyDescent="0.25">
      <c r="A1933" s="3" t="s">
        <v>26</v>
      </c>
      <c r="B1933" s="3" t="s">
        <v>27</v>
      </c>
      <c r="C1933" s="3" t="s">
        <v>28</v>
      </c>
      <c r="D1933" s="3" t="s">
        <v>50</v>
      </c>
      <c r="E1933" s="3" t="s">
        <v>147</v>
      </c>
      <c r="F1933" s="3" t="s">
        <v>52</v>
      </c>
      <c r="G1933" s="3" t="s">
        <v>147</v>
      </c>
      <c r="H1933" s="3" t="s">
        <v>45</v>
      </c>
      <c r="I1933" s="3">
        <v>2025</v>
      </c>
      <c r="J1933" s="3" t="str">
        <f>CONCATENATE("54820130810")</f>
        <v>54820130810</v>
      </c>
      <c r="K1933" s="3" t="s">
        <v>33</v>
      </c>
      <c r="L1933" s="3"/>
      <c r="M1933" s="3" t="s">
        <v>131</v>
      </c>
      <c r="N1933" s="3" t="str">
        <f>CONCATENATE("GBCDRN53E13L500Z")</f>
        <v>GBCDRN53E13L500Z</v>
      </c>
      <c r="O1933" s="3" t="s">
        <v>2064</v>
      </c>
      <c r="P1933" s="3" t="s">
        <v>36</v>
      </c>
      <c r="Q1933" s="3"/>
      <c r="R1933" s="4">
        <v>45996</v>
      </c>
      <c r="S1933" s="3" t="s">
        <v>37</v>
      </c>
      <c r="T1933" s="3" t="s">
        <v>38</v>
      </c>
      <c r="U1933" s="3" t="s">
        <v>39</v>
      </c>
      <c r="V1933" s="3">
        <v>216.97</v>
      </c>
      <c r="W1933" s="3">
        <v>92.21</v>
      </c>
      <c r="X1933" s="3">
        <v>87.33</v>
      </c>
      <c r="Y1933" s="3">
        <v>37.43</v>
      </c>
    </row>
    <row r="1934" spans="1:25" ht="72.75" x14ac:dyDescent="0.25">
      <c r="A1934" s="3" t="s">
        <v>26</v>
      </c>
      <c r="B1934" s="3" t="s">
        <v>27</v>
      </c>
      <c r="C1934" s="3" t="s">
        <v>28</v>
      </c>
      <c r="D1934" s="3" t="s">
        <v>50</v>
      </c>
      <c r="E1934" s="3" t="s">
        <v>60</v>
      </c>
      <c r="F1934" s="3" t="s">
        <v>52</v>
      </c>
      <c r="G1934" s="3" t="s">
        <v>60</v>
      </c>
      <c r="H1934" s="3" t="s">
        <v>45</v>
      </c>
      <c r="I1934" s="3">
        <v>2025</v>
      </c>
      <c r="J1934" s="3" t="str">
        <f>CONCATENATE("54820122999")</f>
        <v>54820122999</v>
      </c>
      <c r="K1934" s="3" t="s">
        <v>33</v>
      </c>
      <c r="L1934" s="3"/>
      <c r="M1934" s="3" t="s">
        <v>131</v>
      </c>
      <c r="N1934" s="3" t="str">
        <f>CONCATENATE("NCLMNN44H67G453V")</f>
        <v>NCLMNN44H67G453V</v>
      </c>
      <c r="O1934" s="3" t="s">
        <v>2065</v>
      </c>
      <c r="P1934" s="3" t="s">
        <v>36</v>
      </c>
      <c r="Q1934" s="3"/>
      <c r="R1934" s="4">
        <v>45996</v>
      </c>
      <c r="S1934" s="3" t="s">
        <v>37</v>
      </c>
      <c r="T1934" s="3" t="s">
        <v>38</v>
      </c>
      <c r="U1934" s="3" t="s">
        <v>39</v>
      </c>
      <c r="V1934" s="3">
        <v>298.5</v>
      </c>
      <c r="W1934" s="3">
        <v>126.86</v>
      </c>
      <c r="X1934" s="3">
        <v>120.15</v>
      </c>
      <c r="Y1934" s="3">
        <v>51.49</v>
      </c>
    </row>
    <row r="1935" spans="1:25" ht="60.75" x14ac:dyDescent="0.25">
      <c r="A1935" s="3" t="s">
        <v>26</v>
      </c>
      <c r="B1935" s="3" t="s">
        <v>27</v>
      </c>
      <c r="C1935" s="3" t="s">
        <v>28</v>
      </c>
      <c r="D1935" s="3" t="s">
        <v>29</v>
      </c>
      <c r="E1935" s="3" t="s">
        <v>476</v>
      </c>
      <c r="F1935" s="3" t="s">
        <v>31</v>
      </c>
      <c r="G1935" s="3" t="s">
        <v>476</v>
      </c>
      <c r="H1935" s="3" t="s">
        <v>48</v>
      </c>
      <c r="I1935" s="3">
        <v>2025</v>
      </c>
      <c r="J1935" s="3" t="str">
        <f>CONCATENATE("54820116504")</f>
        <v>54820116504</v>
      </c>
      <c r="K1935" s="3" t="s">
        <v>33</v>
      </c>
      <c r="L1935" s="3"/>
      <c r="M1935" s="3" t="s">
        <v>131</v>
      </c>
      <c r="N1935" s="3" t="str">
        <f>CONCATENATE("RSSCRL55R41I653U")</f>
        <v>RSSCRL55R41I653U</v>
      </c>
      <c r="O1935" s="3" t="s">
        <v>2066</v>
      </c>
      <c r="P1935" s="3" t="s">
        <v>36</v>
      </c>
      <c r="Q1935" s="3"/>
      <c r="R1935" s="4">
        <v>45996</v>
      </c>
      <c r="S1935" s="3" t="s">
        <v>37</v>
      </c>
      <c r="T1935" s="3" t="s">
        <v>38</v>
      </c>
      <c r="U1935" s="3" t="s">
        <v>39</v>
      </c>
      <c r="V1935" s="3">
        <v>125.98</v>
      </c>
      <c r="W1935" s="3">
        <v>53.54</v>
      </c>
      <c r="X1935" s="3">
        <v>50.71</v>
      </c>
      <c r="Y1935" s="3">
        <v>21.73</v>
      </c>
    </row>
    <row r="1936" spans="1:25" ht="60.75" x14ac:dyDescent="0.25">
      <c r="A1936" s="3" t="s">
        <v>26</v>
      </c>
      <c r="B1936" s="3" t="s">
        <v>27</v>
      </c>
      <c r="C1936" s="3" t="s">
        <v>28</v>
      </c>
      <c r="D1936" s="3" t="s">
        <v>91</v>
      </c>
      <c r="E1936" s="3" t="s">
        <v>95</v>
      </c>
      <c r="F1936" s="3" t="s">
        <v>93</v>
      </c>
      <c r="G1936" s="3" t="s">
        <v>95</v>
      </c>
      <c r="H1936" s="3" t="s">
        <v>96</v>
      </c>
      <c r="I1936" s="3">
        <v>2025</v>
      </c>
      <c r="J1936" s="3" t="str">
        <f>CONCATENATE("54820117759")</f>
        <v>54820117759</v>
      </c>
      <c r="K1936" s="3" t="s">
        <v>33</v>
      </c>
      <c r="L1936" s="3"/>
      <c r="M1936" s="3" t="s">
        <v>131</v>
      </c>
      <c r="N1936" s="3" t="str">
        <f>CONCATENATE("NGLNDA87T68A462F")</f>
        <v>NGLNDA87T68A462F</v>
      </c>
      <c r="O1936" s="3" t="s">
        <v>2067</v>
      </c>
      <c r="P1936" s="3" t="s">
        <v>36</v>
      </c>
      <c r="Q1936" s="3"/>
      <c r="R1936" s="4">
        <v>45996</v>
      </c>
      <c r="S1936" s="3" t="s">
        <v>37</v>
      </c>
      <c r="T1936" s="3" t="s">
        <v>38</v>
      </c>
      <c r="U1936" s="3" t="s">
        <v>39</v>
      </c>
      <c r="V1936" s="3">
        <v>688.32</v>
      </c>
      <c r="W1936" s="3">
        <v>292.54000000000002</v>
      </c>
      <c r="X1936" s="3">
        <v>277.05</v>
      </c>
      <c r="Y1936" s="3">
        <v>118.73</v>
      </c>
    </row>
    <row r="1937" spans="1:25" ht="60.75" x14ac:dyDescent="0.25">
      <c r="A1937" s="3" t="s">
        <v>26</v>
      </c>
      <c r="B1937" s="3" t="s">
        <v>27</v>
      </c>
      <c r="C1937" s="3" t="s">
        <v>28</v>
      </c>
      <c r="D1937" s="3" t="s">
        <v>29</v>
      </c>
      <c r="E1937" s="3" t="s">
        <v>119</v>
      </c>
      <c r="F1937" s="3" t="s">
        <v>31</v>
      </c>
      <c r="G1937" s="3" t="s">
        <v>119</v>
      </c>
      <c r="H1937" s="3" t="s">
        <v>96</v>
      </c>
      <c r="I1937" s="3">
        <v>2025</v>
      </c>
      <c r="J1937" s="3" t="str">
        <f>CONCATENATE("54820078878")</f>
        <v>54820078878</v>
      </c>
      <c r="K1937" s="3" t="s">
        <v>33</v>
      </c>
      <c r="L1937" s="3"/>
      <c r="M1937" s="3" t="s">
        <v>131</v>
      </c>
      <c r="N1937" s="3" t="str">
        <f>CONCATENATE("FRNGNI51S11F549Y")</f>
        <v>FRNGNI51S11F549Y</v>
      </c>
      <c r="O1937" s="3" t="s">
        <v>2068</v>
      </c>
      <c r="P1937" s="3" t="s">
        <v>36</v>
      </c>
      <c r="Q1937" s="3"/>
      <c r="R1937" s="4">
        <v>45996</v>
      </c>
      <c r="S1937" s="3" t="s">
        <v>37</v>
      </c>
      <c r="T1937" s="3" t="s">
        <v>38</v>
      </c>
      <c r="U1937" s="3" t="s">
        <v>39</v>
      </c>
      <c r="V1937" s="3">
        <v>149.94</v>
      </c>
      <c r="W1937" s="3">
        <v>63.72</v>
      </c>
      <c r="X1937" s="3">
        <v>60.35</v>
      </c>
      <c r="Y1937" s="3">
        <v>25.87</v>
      </c>
    </row>
    <row r="1938" spans="1:25" ht="60.75" x14ac:dyDescent="0.25">
      <c r="A1938" s="3" t="s">
        <v>26</v>
      </c>
      <c r="B1938" s="3" t="s">
        <v>27</v>
      </c>
      <c r="C1938" s="3" t="s">
        <v>28</v>
      </c>
      <c r="D1938" s="3" t="s">
        <v>50</v>
      </c>
      <c r="E1938" s="3" t="s">
        <v>51</v>
      </c>
      <c r="F1938" s="3" t="s">
        <v>52</v>
      </c>
      <c r="G1938" s="3" t="s">
        <v>51</v>
      </c>
      <c r="H1938" s="3" t="s">
        <v>48</v>
      </c>
      <c r="I1938" s="3">
        <v>2025</v>
      </c>
      <c r="J1938" s="3" t="str">
        <f>CONCATENATE("54820101670")</f>
        <v>54820101670</v>
      </c>
      <c r="K1938" s="3" t="s">
        <v>33</v>
      </c>
      <c r="L1938" s="3"/>
      <c r="M1938" s="3" t="s">
        <v>131</v>
      </c>
      <c r="N1938" s="3" t="str">
        <f>CONCATENATE("NNCSMN72H24C524E")</f>
        <v>NNCSMN72H24C524E</v>
      </c>
      <c r="O1938" s="3" t="s">
        <v>2069</v>
      </c>
      <c r="P1938" s="3" t="s">
        <v>36</v>
      </c>
      <c r="Q1938" s="3"/>
      <c r="R1938" s="4">
        <v>45996</v>
      </c>
      <c r="S1938" s="3" t="s">
        <v>37</v>
      </c>
      <c r="T1938" s="3" t="s">
        <v>38</v>
      </c>
      <c r="U1938" s="3" t="s">
        <v>39</v>
      </c>
      <c r="V1938" s="3">
        <v>206.84</v>
      </c>
      <c r="W1938" s="3">
        <v>87.91</v>
      </c>
      <c r="X1938" s="3">
        <v>83.25</v>
      </c>
      <c r="Y1938" s="3">
        <v>35.68</v>
      </c>
    </row>
    <row r="1939" spans="1:25" ht="60.75" x14ac:dyDescent="0.25">
      <c r="A1939" s="3" t="s">
        <v>26</v>
      </c>
      <c r="B1939" s="3" t="s">
        <v>27</v>
      </c>
      <c r="C1939" s="3" t="s">
        <v>28</v>
      </c>
      <c r="D1939" s="3" t="s">
        <v>50</v>
      </c>
      <c r="E1939" s="3" t="s">
        <v>252</v>
      </c>
      <c r="F1939" s="3" t="s">
        <v>52</v>
      </c>
      <c r="G1939" s="3" t="s">
        <v>252</v>
      </c>
      <c r="H1939" s="3" t="s">
        <v>45</v>
      </c>
      <c r="I1939" s="3">
        <v>2025</v>
      </c>
      <c r="J1939" s="3" t="str">
        <f>CONCATENATE("54820189915")</f>
        <v>54820189915</v>
      </c>
      <c r="K1939" s="3" t="s">
        <v>33</v>
      </c>
      <c r="L1939" s="3"/>
      <c r="M1939" s="3" t="s">
        <v>131</v>
      </c>
      <c r="N1939" s="3" t="str">
        <f>CONCATENATE("SPELNS54L14D749F")</f>
        <v>SPELNS54L14D749F</v>
      </c>
      <c r="O1939" s="3" t="s">
        <v>2070</v>
      </c>
      <c r="P1939" s="3" t="s">
        <v>36</v>
      </c>
      <c r="Q1939" s="3"/>
      <c r="R1939" s="4">
        <v>45996</v>
      </c>
      <c r="S1939" s="3" t="s">
        <v>37</v>
      </c>
      <c r="T1939" s="3" t="s">
        <v>38</v>
      </c>
      <c r="U1939" s="3" t="s">
        <v>39</v>
      </c>
      <c r="V1939" s="3">
        <v>67.69</v>
      </c>
      <c r="W1939" s="3">
        <v>28.77</v>
      </c>
      <c r="X1939" s="3">
        <v>27.25</v>
      </c>
      <c r="Y1939" s="3">
        <v>11.67</v>
      </c>
    </row>
    <row r="1940" spans="1:25" ht="60.75" x14ac:dyDescent="0.25">
      <c r="A1940" s="3" t="s">
        <v>26</v>
      </c>
      <c r="B1940" s="3" t="s">
        <v>27</v>
      </c>
      <c r="C1940" s="3" t="s">
        <v>28</v>
      </c>
      <c r="D1940" s="3" t="s">
        <v>29</v>
      </c>
      <c r="E1940" s="3" t="s">
        <v>182</v>
      </c>
      <c r="F1940" s="3" t="s">
        <v>31</v>
      </c>
      <c r="G1940" s="3" t="s">
        <v>182</v>
      </c>
      <c r="H1940" s="3" t="s">
        <v>45</v>
      </c>
      <c r="I1940" s="3">
        <v>2025</v>
      </c>
      <c r="J1940" s="3" t="str">
        <f>CONCATENATE("54820103221")</f>
        <v>54820103221</v>
      </c>
      <c r="K1940" s="3" t="s">
        <v>33</v>
      </c>
      <c r="L1940" s="3"/>
      <c r="M1940" s="3" t="s">
        <v>131</v>
      </c>
      <c r="N1940" s="3" t="str">
        <f>CONCATENATE("CLNLVN48B24L500T")</f>
        <v>CLNLVN48B24L500T</v>
      </c>
      <c r="O1940" s="3" t="s">
        <v>2071</v>
      </c>
      <c r="P1940" s="3" t="s">
        <v>36</v>
      </c>
      <c r="Q1940" s="3"/>
      <c r="R1940" s="4">
        <v>45996</v>
      </c>
      <c r="S1940" s="3" t="s">
        <v>37</v>
      </c>
      <c r="T1940" s="3" t="s">
        <v>38</v>
      </c>
      <c r="U1940" s="3" t="s">
        <v>39</v>
      </c>
      <c r="V1940" s="3">
        <v>185.01</v>
      </c>
      <c r="W1940" s="3">
        <v>78.63</v>
      </c>
      <c r="X1940" s="3">
        <v>74.47</v>
      </c>
      <c r="Y1940" s="3">
        <v>31.91</v>
      </c>
    </row>
    <row r="1941" spans="1:25" ht="36.75" x14ac:dyDescent="0.25">
      <c r="A1941" s="3" t="s">
        <v>26</v>
      </c>
      <c r="B1941" s="3" t="s">
        <v>27</v>
      </c>
      <c r="C1941" s="3" t="s">
        <v>28</v>
      </c>
      <c r="D1941" s="3" t="s">
        <v>29</v>
      </c>
      <c r="E1941" s="3" t="s">
        <v>341</v>
      </c>
      <c r="F1941" s="3" t="s">
        <v>31</v>
      </c>
      <c r="G1941" s="3" t="s">
        <v>341</v>
      </c>
      <c r="H1941" s="3" t="s">
        <v>45</v>
      </c>
      <c r="I1941" s="3">
        <v>2025</v>
      </c>
      <c r="J1941" s="3" t="str">
        <f>CONCATENATE("54820104237")</f>
        <v>54820104237</v>
      </c>
      <c r="K1941" s="3" t="s">
        <v>33</v>
      </c>
      <c r="L1941" s="3"/>
      <c r="M1941" s="3" t="s">
        <v>131</v>
      </c>
      <c r="N1941" s="3" t="str">
        <f>CONCATENATE("01455910412")</f>
        <v>01455910412</v>
      </c>
      <c r="O1941" s="3" t="s">
        <v>2072</v>
      </c>
      <c r="P1941" s="3" t="s">
        <v>36</v>
      </c>
      <c r="Q1941" s="3"/>
      <c r="R1941" s="4">
        <v>45996</v>
      </c>
      <c r="S1941" s="3" t="s">
        <v>37</v>
      </c>
      <c r="T1941" s="3" t="s">
        <v>38</v>
      </c>
      <c r="U1941" s="3" t="s">
        <v>39</v>
      </c>
      <c r="V1941" s="3">
        <v>143.94999999999999</v>
      </c>
      <c r="W1941" s="3">
        <v>61.18</v>
      </c>
      <c r="X1941" s="3">
        <v>57.94</v>
      </c>
      <c r="Y1941" s="3">
        <v>24.83</v>
      </c>
    </row>
    <row r="1942" spans="1:25" ht="60.75" x14ac:dyDescent="0.25">
      <c r="A1942" s="3" t="s">
        <v>26</v>
      </c>
      <c r="B1942" s="3" t="s">
        <v>27</v>
      </c>
      <c r="C1942" s="3" t="s">
        <v>28</v>
      </c>
      <c r="D1942" s="3" t="s">
        <v>29</v>
      </c>
      <c r="E1942" s="3" t="s">
        <v>182</v>
      </c>
      <c r="F1942" s="3" t="s">
        <v>31</v>
      </c>
      <c r="G1942" s="3" t="s">
        <v>182</v>
      </c>
      <c r="H1942" s="3" t="s">
        <v>45</v>
      </c>
      <c r="I1942" s="3">
        <v>2025</v>
      </c>
      <c r="J1942" s="3" t="str">
        <f>CONCATENATE("54820160171")</f>
        <v>54820160171</v>
      </c>
      <c r="K1942" s="3" t="s">
        <v>33</v>
      </c>
      <c r="L1942" s="3"/>
      <c r="M1942" s="3" t="s">
        <v>131</v>
      </c>
      <c r="N1942" s="3" t="str">
        <f>CONCATENATE("SLVDNL64A04L500R")</f>
        <v>SLVDNL64A04L500R</v>
      </c>
      <c r="O1942" s="3" t="s">
        <v>2073</v>
      </c>
      <c r="P1942" s="3" t="s">
        <v>36</v>
      </c>
      <c r="Q1942" s="3"/>
      <c r="R1942" s="4">
        <v>45996</v>
      </c>
      <c r="S1942" s="3" t="s">
        <v>37</v>
      </c>
      <c r="T1942" s="3" t="s">
        <v>38</v>
      </c>
      <c r="U1942" s="3" t="s">
        <v>39</v>
      </c>
      <c r="V1942" s="3">
        <v>369.14</v>
      </c>
      <c r="W1942" s="3">
        <v>156.88</v>
      </c>
      <c r="X1942" s="3">
        <v>148.58000000000001</v>
      </c>
      <c r="Y1942" s="3">
        <v>63.68</v>
      </c>
    </row>
    <row r="1943" spans="1:25" ht="60.75" x14ac:dyDescent="0.25">
      <c r="A1943" s="3" t="s">
        <v>26</v>
      </c>
      <c r="B1943" s="3" t="s">
        <v>27</v>
      </c>
      <c r="C1943" s="3" t="s">
        <v>28</v>
      </c>
      <c r="D1943" s="3" t="s">
        <v>29</v>
      </c>
      <c r="E1943" s="3" t="s">
        <v>47</v>
      </c>
      <c r="F1943" s="3" t="s">
        <v>31</v>
      </c>
      <c r="G1943" s="3" t="s">
        <v>47</v>
      </c>
      <c r="H1943" s="3" t="s">
        <v>48</v>
      </c>
      <c r="I1943" s="3">
        <v>2025</v>
      </c>
      <c r="J1943" s="3" t="str">
        <f>CONCATENATE("54820132212")</f>
        <v>54820132212</v>
      </c>
      <c r="K1943" s="3" t="s">
        <v>33</v>
      </c>
      <c r="L1943" s="3"/>
      <c r="M1943" s="3" t="s">
        <v>131</v>
      </c>
      <c r="N1943" s="3" t="str">
        <f>CONCATENATE("VNNGZL70L57Z103C")</f>
        <v>VNNGZL70L57Z103C</v>
      </c>
      <c r="O1943" s="3" t="s">
        <v>2074</v>
      </c>
      <c r="P1943" s="3" t="s">
        <v>36</v>
      </c>
      <c r="Q1943" s="3"/>
      <c r="R1943" s="4">
        <v>45996</v>
      </c>
      <c r="S1943" s="3" t="s">
        <v>37</v>
      </c>
      <c r="T1943" s="3" t="s">
        <v>38</v>
      </c>
      <c r="U1943" s="3" t="s">
        <v>39</v>
      </c>
      <c r="V1943" s="3">
        <v>62.18</v>
      </c>
      <c r="W1943" s="3">
        <v>26.43</v>
      </c>
      <c r="X1943" s="3">
        <v>25.03</v>
      </c>
      <c r="Y1943" s="3">
        <v>10.72</v>
      </c>
    </row>
    <row r="1944" spans="1:25" ht="60.75" x14ac:dyDescent="0.25">
      <c r="A1944" s="3" t="s">
        <v>26</v>
      </c>
      <c r="B1944" s="3" t="s">
        <v>27</v>
      </c>
      <c r="C1944" s="3" t="s">
        <v>28</v>
      </c>
      <c r="D1944" s="3" t="s">
        <v>50</v>
      </c>
      <c r="E1944" s="3" t="s">
        <v>252</v>
      </c>
      <c r="F1944" s="3" t="s">
        <v>52</v>
      </c>
      <c r="G1944" s="3" t="s">
        <v>252</v>
      </c>
      <c r="H1944" s="3" t="s">
        <v>45</v>
      </c>
      <c r="I1944" s="3">
        <v>2025</v>
      </c>
      <c r="J1944" s="3" t="str">
        <f>CONCATENATE("54820187984")</f>
        <v>54820187984</v>
      </c>
      <c r="K1944" s="3" t="s">
        <v>33</v>
      </c>
      <c r="L1944" s="3"/>
      <c r="M1944" s="3" t="s">
        <v>131</v>
      </c>
      <c r="N1944" s="3" t="str">
        <f>CONCATENATE("PGNGCM98P07A271J")</f>
        <v>PGNGCM98P07A271J</v>
      </c>
      <c r="O1944" s="3" t="s">
        <v>2075</v>
      </c>
      <c r="P1944" s="3" t="s">
        <v>36</v>
      </c>
      <c r="Q1944" s="3"/>
      <c r="R1944" s="4">
        <v>45996</v>
      </c>
      <c r="S1944" s="3" t="s">
        <v>37</v>
      </c>
      <c r="T1944" s="3" t="s">
        <v>38</v>
      </c>
      <c r="U1944" s="3" t="s">
        <v>39</v>
      </c>
      <c r="V1944" s="3">
        <v>133.59</v>
      </c>
      <c r="W1944" s="3">
        <v>56.78</v>
      </c>
      <c r="X1944" s="3">
        <v>53.77</v>
      </c>
      <c r="Y1944" s="3">
        <v>23.04</v>
      </c>
    </row>
    <row r="1945" spans="1:25" ht="60.75" x14ac:dyDescent="0.25">
      <c r="A1945" s="3" t="s">
        <v>26</v>
      </c>
      <c r="B1945" s="3" t="s">
        <v>27</v>
      </c>
      <c r="C1945" s="3" t="s">
        <v>28</v>
      </c>
      <c r="D1945" s="3" t="s">
        <v>50</v>
      </c>
      <c r="E1945" s="3" t="s">
        <v>290</v>
      </c>
      <c r="F1945" s="3" t="s">
        <v>52</v>
      </c>
      <c r="G1945" s="3" t="s">
        <v>290</v>
      </c>
      <c r="H1945" s="3" t="s">
        <v>96</v>
      </c>
      <c r="I1945" s="3">
        <v>2025</v>
      </c>
      <c r="J1945" s="3" t="str">
        <f>CONCATENATE("54820371943")</f>
        <v>54820371943</v>
      </c>
      <c r="K1945" s="3" t="s">
        <v>33</v>
      </c>
      <c r="L1945" s="3"/>
      <c r="M1945" s="3" t="s">
        <v>131</v>
      </c>
      <c r="N1945" s="3" t="str">
        <f>CONCATENATE("MRLRRE77C12G516I")</f>
        <v>MRLRRE77C12G516I</v>
      </c>
      <c r="O1945" s="3" t="s">
        <v>2076</v>
      </c>
      <c r="P1945" s="3" t="s">
        <v>36</v>
      </c>
      <c r="Q1945" s="3"/>
      <c r="R1945" s="4">
        <v>45996</v>
      </c>
      <c r="S1945" s="3" t="s">
        <v>37</v>
      </c>
      <c r="T1945" s="3" t="s">
        <v>38</v>
      </c>
      <c r="U1945" s="3" t="s">
        <v>39</v>
      </c>
      <c r="V1945" s="3">
        <v>93.76</v>
      </c>
      <c r="W1945" s="3">
        <v>39.85</v>
      </c>
      <c r="X1945" s="3">
        <v>37.74</v>
      </c>
      <c r="Y1945" s="3">
        <v>16.170000000000002</v>
      </c>
    </row>
    <row r="1946" spans="1:25" ht="60.75" x14ac:dyDescent="0.25">
      <c r="A1946" s="3" t="s">
        <v>26</v>
      </c>
      <c r="B1946" s="3" t="s">
        <v>27</v>
      </c>
      <c r="C1946" s="3" t="s">
        <v>28</v>
      </c>
      <c r="D1946" s="3" t="s">
        <v>40</v>
      </c>
      <c r="E1946" s="3" t="s">
        <v>99</v>
      </c>
      <c r="F1946" s="3" t="s">
        <v>42</v>
      </c>
      <c r="G1946" s="3" t="s">
        <v>99</v>
      </c>
      <c r="H1946" s="3" t="s">
        <v>32</v>
      </c>
      <c r="I1946" s="3">
        <v>2025</v>
      </c>
      <c r="J1946" s="3" t="str">
        <f>CONCATENATE("54820414222")</f>
        <v>54820414222</v>
      </c>
      <c r="K1946" s="3" t="s">
        <v>33</v>
      </c>
      <c r="L1946" s="3"/>
      <c r="M1946" s="3" t="s">
        <v>131</v>
      </c>
      <c r="N1946" s="3" t="str">
        <f>CONCATENATE("CCCLRI98R53I156M")</f>
        <v>CCCLRI98R53I156M</v>
      </c>
      <c r="O1946" s="3" t="s">
        <v>2077</v>
      </c>
      <c r="P1946" s="3" t="s">
        <v>36</v>
      </c>
      <c r="Q1946" s="3"/>
      <c r="R1946" s="4">
        <v>45996</v>
      </c>
      <c r="S1946" s="3" t="s">
        <v>37</v>
      </c>
      <c r="T1946" s="3" t="s">
        <v>38</v>
      </c>
      <c r="U1946" s="3" t="s">
        <v>39</v>
      </c>
      <c r="V1946" s="3">
        <v>81.739999999999995</v>
      </c>
      <c r="W1946" s="3">
        <v>34.74</v>
      </c>
      <c r="X1946" s="3">
        <v>32.9</v>
      </c>
      <c r="Y1946" s="3">
        <v>14.1</v>
      </c>
    </row>
    <row r="1947" spans="1:25" ht="60.75" x14ac:dyDescent="0.25">
      <c r="A1947" s="3" t="s">
        <v>26</v>
      </c>
      <c r="B1947" s="3" t="s">
        <v>27</v>
      </c>
      <c r="C1947" s="3" t="s">
        <v>28</v>
      </c>
      <c r="D1947" s="3" t="s">
        <v>29</v>
      </c>
      <c r="E1947" s="3" t="s">
        <v>125</v>
      </c>
      <c r="F1947" s="3" t="s">
        <v>31</v>
      </c>
      <c r="G1947" s="3" t="s">
        <v>125</v>
      </c>
      <c r="H1947" s="3" t="s">
        <v>32</v>
      </c>
      <c r="I1947" s="3">
        <v>2025</v>
      </c>
      <c r="J1947" s="3" t="str">
        <f>CONCATENATE("54820264726")</f>
        <v>54820264726</v>
      </c>
      <c r="K1947" s="3" t="s">
        <v>33</v>
      </c>
      <c r="L1947" s="3"/>
      <c r="M1947" s="3" t="s">
        <v>131</v>
      </c>
      <c r="N1947" s="3" t="str">
        <f>CONCATENATE("PRGGNN34A27I436K")</f>
        <v>PRGGNN34A27I436K</v>
      </c>
      <c r="O1947" s="3" t="s">
        <v>2078</v>
      </c>
      <c r="P1947" s="3" t="s">
        <v>36</v>
      </c>
      <c r="Q1947" s="3"/>
      <c r="R1947" s="4">
        <v>45996</v>
      </c>
      <c r="S1947" s="3" t="s">
        <v>37</v>
      </c>
      <c r="T1947" s="3" t="s">
        <v>38</v>
      </c>
      <c r="U1947" s="3" t="s">
        <v>39</v>
      </c>
      <c r="V1947" s="3">
        <v>274.49</v>
      </c>
      <c r="W1947" s="3">
        <v>116.66</v>
      </c>
      <c r="X1947" s="3">
        <v>110.48</v>
      </c>
      <c r="Y1947" s="3">
        <v>47.35</v>
      </c>
    </row>
    <row r="1948" spans="1:25" ht="60.75" x14ac:dyDescent="0.25">
      <c r="A1948" s="3" t="s">
        <v>26</v>
      </c>
      <c r="B1948" s="3" t="s">
        <v>27</v>
      </c>
      <c r="C1948" s="3" t="s">
        <v>28</v>
      </c>
      <c r="D1948" s="3" t="s">
        <v>50</v>
      </c>
      <c r="E1948" s="3" t="s">
        <v>147</v>
      </c>
      <c r="F1948" s="3" t="s">
        <v>52</v>
      </c>
      <c r="G1948" s="3" t="s">
        <v>147</v>
      </c>
      <c r="H1948" s="3" t="s">
        <v>45</v>
      </c>
      <c r="I1948" s="3">
        <v>2025</v>
      </c>
      <c r="J1948" s="3" t="str">
        <f>CONCATENATE("54820191937")</f>
        <v>54820191937</v>
      </c>
      <c r="K1948" s="3" t="s">
        <v>33</v>
      </c>
      <c r="L1948" s="3"/>
      <c r="M1948" s="3" t="s">
        <v>131</v>
      </c>
      <c r="N1948" s="3" t="str">
        <f>CONCATENATE("SCPLCN56D68L500S")</f>
        <v>SCPLCN56D68L500S</v>
      </c>
      <c r="O1948" s="3" t="s">
        <v>2079</v>
      </c>
      <c r="P1948" s="3" t="s">
        <v>36</v>
      </c>
      <c r="Q1948" s="3"/>
      <c r="R1948" s="4">
        <v>45996</v>
      </c>
      <c r="S1948" s="3" t="s">
        <v>37</v>
      </c>
      <c r="T1948" s="3" t="s">
        <v>38</v>
      </c>
      <c r="U1948" s="3" t="s">
        <v>39</v>
      </c>
      <c r="V1948" s="3">
        <v>68.83</v>
      </c>
      <c r="W1948" s="3">
        <v>29.25</v>
      </c>
      <c r="X1948" s="3">
        <v>27.7</v>
      </c>
      <c r="Y1948" s="3">
        <v>11.88</v>
      </c>
    </row>
    <row r="1949" spans="1:25" ht="72.75" x14ac:dyDescent="0.25">
      <c r="A1949" s="3" t="s">
        <v>26</v>
      </c>
      <c r="B1949" s="3" t="s">
        <v>27</v>
      </c>
      <c r="C1949" s="3" t="s">
        <v>28</v>
      </c>
      <c r="D1949" s="3" t="s">
        <v>104</v>
      </c>
      <c r="E1949" s="3" t="s">
        <v>141</v>
      </c>
      <c r="F1949" s="3" t="s">
        <v>104</v>
      </c>
      <c r="G1949" s="3" t="s">
        <v>141</v>
      </c>
      <c r="H1949" s="3" t="s">
        <v>96</v>
      </c>
      <c r="I1949" s="3">
        <v>2025</v>
      </c>
      <c r="J1949" s="3" t="str">
        <f>CONCATENATE("54820282058")</f>
        <v>54820282058</v>
      </c>
      <c r="K1949" s="3" t="s">
        <v>33</v>
      </c>
      <c r="L1949" s="3"/>
      <c r="M1949" s="3" t="s">
        <v>131</v>
      </c>
      <c r="N1949" s="3" t="str">
        <f>CONCATENATE("RCCMRM91M67D542F")</f>
        <v>RCCMRM91M67D542F</v>
      </c>
      <c r="O1949" s="3" t="s">
        <v>2080</v>
      </c>
      <c r="P1949" s="3" t="s">
        <v>36</v>
      </c>
      <c r="Q1949" s="3"/>
      <c r="R1949" s="4">
        <v>45996</v>
      </c>
      <c r="S1949" s="3" t="s">
        <v>37</v>
      </c>
      <c r="T1949" s="3" t="s">
        <v>38</v>
      </c>
      <c r="U1949" s="3" t="s">
        <v>39</v>
      </c>
      <c r="V1949" s="3">
        <v>132.31</v>
      </c>
      <c r="W1949" s="3">
        <v>56.23</v>
      </c>
      <c r="X1949" s="3">
        <v>53.25</v>
      </c>
      <c r="Y1949" s="3">
        <v>22.83</v>
      </c>
    </row>
    <row r="1950" spans="1:25" ht="36.75" x14ac:dyDescent="0.25">
      <c r="A1950" s="3" t="s">
        <v>26</v>
      </c>
      <c r="B1950" s="3" t="s">
        <v>27</v>
      </c>
      <c r="C1950" s="3" t="s">
        <v>28</v>
      </c>
      <c r="D1950" s="3" t="s">
        <v>29</v>
      </c>
      <c r="E1950" s="3" t="s">
        <v>80</v>
      </c>
      <c r="F1950" s="3" t="s">
        <v>31</v>
      </c>
      <c r="G1950" s="3" t="s">
        <v>80</v>
      </c>
      <c r="H1950" s="3" t="s">
        <v>45</v>
      </c>
      <c r="I1950" s="3">
        <v>2025</v>
      </c>
      <c r="J1950" s="3" t="str">
        <f>CONCATENATE("54820366265")</f>
        <v>54820366265</v>
      </c>
      <c r="K1950" s="3" t="s">
        <v>33</v>
      </c>
      <c r="L1950" s="3"/>
      <c r="M1950" s="3" t="s">
        <v>131</v>
      </c>
      <c r="N1950" s="3" t="str">
        <f>CONCATENATE("02249060415")</f>
        <v>02249060415</v>
      </c>
      <c r="O1950" s="3" t="s">
        <v>2081</v>
      </c>
      <c r="P1950" s="3" t="s">
        <v>36</v>
      </c>
      <c r="Q1950" s="3"/>
      <c r="R1950" s="4">
        <v>45996</v>
      </c>
      <c r="S1950" s="3" t="s">
        <v>37</v>
      </c>
      <c r="T1950" s="3" t="s">
        <v>38</v>
      </c>
      <c r="U1950" s="3" t="s">
        <v>39</v>
      </c>
      <c r="V1950" s="3">
        <v>111.7</v>
      </c>
      <c r="W1950" s="3">
        <v>47.47</v>
      </c>
      <c r="X1950" s="3">
        <v>44.96</v>
      </c>
      <c r="Y1950" s="3">
        <v>19.27</v>
      </c>
    </row>
    <row r="1951" spans="1:25" ht="60.75" x14ac:dyDescent="0.25">
      <c r="A1951" s="3" t="s">
        <v>26</v>
      </c>
      <c r="B1951" s="3" t="s">
        <v>27</v>
      </c>
      <c r="C1951" s="3" t="s">
        <v>28</v>
      </c>
      <c r="D1951" s="3" t="s">
        <v>50</v>
      </c>
      <c r="E1951" s="3" t="s">
        <v>147</v>
      </c>
      <c r="F1951" s="3" t="s">
        <v>52</v>
      </c>
      <c r="G1951" s="3" t="s">
        <v>147</v>
      </c>
      <c r="H1951" s="3" t="s">
        <v>45</v>
      </c>
      <c r="I1951" s="3">
        <v>2025</v>
      </c>
      <c r="J1951" s="3" t="str">
        <f>CONCATENATE("54820188149")</f>
        <v>54820188149</v>
      </c>
      <c r="K1951" s="3" t="s">
        <v>33</v>
      </c>
      <c r="L1951" s="3"/>
      <c r="M1951" s="3" t="s">
        <v>131</v>
      </c>
      <c r="N1951" s="3" t="str">
        <f>CONCATENATE("PGNSDR62C10L500Q")</f>
        <v>PGNSDR62C10L500Q</v>
      </c>
      <c r="O1951" s="3" t="s">
        <v>2082</v>
      </c>
      <c r="P1951" s="3" t="s">
        <v>36</v>
      </c>
      <c r="Q1951" s="3"/>
      <c r="R1951" s="4">
        <v>45996</v>
      </c>
      <c r="S1951" s="3" t="s">
        <v>37</v>
      </c>
      <c r="T1951" s="3" t="s">
        <v>38</v>
      </c>
      <c r="U1951" s="3" t="s">
        <v>39</v>
      </c>
      <c r="V1951" s="3">
        <v>112.51</v>
      </c>
      <c r="W1951" s="3">
        <v>47.82</v>
      </c>
      <c r="X1951" s="3">
        <v>45.29</v>
      </c>
      <c r="Y1951" s="3">
        <v>19.399999999999999</v>
      </c>
    </row>
    <row r="1952" spans="1:25" ht="60.75" x14ac:dyDescent="0.25">
      <c r="A1952" s="3" t="s">
        <v>26</v>
      </c>
      <c r="B1952" s="3" t="s">
        <v>27</v>
      </c>
      <c r="C1952" s="3" t="s">
        <v>28</v>
      </c>
      <c r="D1952" s="3" t="s">
        <v>29</v>
      </c>
      <c r="E1952" s="3" t="s">
        <v>47</v>
      </c>
      <c r="F1952" s="3" t="s">
        <v>31</v>
      </c>
      <c r="G1952" s="3" t="s">
        <v>47</v>
      </c>
      <c r="H1952" s="3" t="s">
        <v>48</v>
      </c>
      <c r="I1952" s="3">
        <v>2025</v>
      </c>
      <c r="J1952" s="3" t="str">
        <f>CONCATENATE("54820200274")</f>
        <v>54820200274</v>
      </c>
      <c r="K1952" s="3" t="s">
        <v>33</v>
      </c>
      <c r="L1952" s="3"/>
      <c r="M1952" s="3" t="s">
        <v>131</v>
      </c>
      <c r="N1952" s="3" t="str">
        <f>CONCATENATE("MNCPLG75M18D451I")</f>
        <v>MNCPLG75M18D451I</v>
      </c>
      <c r="O1952" s="3" t="s">
        <v>2083</v>
      </c>
      <c r="P1952" s="3" t="s">
        <v>36</v>
      </c>
      <c r="Q1952" s="3"/>
      <c r="R1952" s="4">
        <v>45996</v>
      </c>
      <c r="S1952" s="3" t="s">
        <v>37</v>
      </c>
      <c r="T1952" s="3" t="s">
        <v>38</v>
      </c>
      <c r="U1952" s="3" t="s">
        <v>39</v>
      </c>
      <c r="V1952" s="3">
        <v>53.29</v>
      </c>
      <c r="W1952" s="3">
        <v>22.65</v>
      </c>
      <c r="X1952" s="3">
        <v>21.45</v>
      </c>
      <c r="Y1952" s="3">
        <v>9.19</v>
      </c>
    </row>
    <row r="1953" spans="1:25" ht="36.75" x14ac:dyDescent="0.25">
      <c r="A1953" s="3" t="s">
        <v>26</v>
      </c>
      <c r="B1953" s="3" t="s">
        <v>27</v>
      </c>
      <c r="C1953" s="3" t="s">
        <v>28</v>
      </c>
      <c r="D1953" s="3" t="s">
        <v>264</v>
      </c>
      <c r="E1953" s="3" t="s">
        <v>265</v>
      </c>
      <c r="F1953" s="3" t="s">
        <v>266</v>
      </c>
      <c r="G1953" s="3" t="s">
        <v>265</v>
      </c>
      <c r="H1953" s="3" t="s">
        <v>45</v>
      </c>
      <c r="I1953" s="3">
        <v>2025</v>
      </c>
      <c r="J1953" s="3" t="str">
        <f>CONCATENATE("54820274295")</f>
        <v>54820274295</v>
      </c>
      <c r="K1953" s="3" t="s">
        <v>33</v>
      </c>
      <c r="L1953" s="3"/>
      <c r="M1953" s="3" t="s">
        <v>131</v>
      </c>
      <c r="N1953" s="3" t="str">
        <f>CONCATENATE("02790390427")</f>
        <v>02790390427</v>
      </c>
      <c r="O1953" s="3" t="s">
        <v>2084</v>
      </c>
      <c r="P1953" s="3" t="s">
        <v>36</v>
      </c>
      <c r="Q1953" s="3"/>
      <c r="R1953" s="4">
        <v>45996</v>
      </c>
      <c r="S1953" s="3" t="s">
        <v>37</v>
      </c>
      <c r="T1953" s="3" t="s">
        <v>38</v>
      </c>
      <c r="U1953" s="3" t="s">
        <v>39</v>
      </c>
      <c r="V1953" s="3">
        <v>246.81</v>
      </c>
      <c r="W1953" s="3">
        <v>104.89</v>
      </c>
      <c r="X1953" s="3">
        <v>99.34</v>
      </c>
      <c r="Y1953" s="3">
        <v>42.58</v>
      </c>
    </row>
    <row r="1954" spans="1:25" ht="60.75" x14ac:dyDescent="0.25">
      <c r="A1954" s="3" t="s">
        <v>26</v>
      </c>
      <c r="B1954" s="3" t="s">
        <v>27</v>
      </c>
      <c r="C1954" s="3" t="s">
        <v>28</v>
      </c>
      <c r="D1954" s="3" t="s">
        <v>29</v>
      </c>
      <c r="E1954" s="3" t="s">
        <v>47</v>
      </c>
      <c r="F1954" s="3" t="s">
        <v>31</v>
      </c>
      <c r="G1954" s="3" t="s">
        <v>47</v>
      </c>
      <c r="H1954" s="3" t="s">
        <v>48</v>
      </c>
      <c r="I1954" s="3">
        <v>2025</v>
      </c>
      <c r="J1954" s="3" t="str">
        <f>CONCATENATE("54820364856")</f>
        <v>54820364856</v>
      </c>
      <c r="K1954" s="3" t="s">
        <v>33</v>
      </c>
      <c r="L1954" s="3"/>
      <c r="M1954" s="3" t="s">
        <v>131</v>
      </c>
      <c r="N1954" s="3" t="str">
        <f>CONCATENATE("RTLGPR57A21F205Z")</f>
        <v>RTLGPR57A21F205Z</v>
      </c>
      <c r="O1954" s="3" t="s">
        <v>2085</v>
      </c>
      <c r="P1954" s="3" t="s">
        <v>36</v>
      </c>
      <c r="Q1954" s="3"/>
      <c r="R1954" s="4">
        <v>45996</v>
      </c>
      <c r="S1954" s="3" t="s">
        <v>37</v>
      </c>
      <c r="T1954" s="3" t="s">
        <v>38</v>
      </c>
      <c r="U1954" s="3" t="s">
        <v>39</v>
      </c>
      <c r="V1954" s="3">
        <v>210.65</v>
      </c>
      <c r="W1954" s="3">
        <v>89.53</v>
      </c>
      <c r="X1954" s="3">
        <v>84.79</v>
      </c>
      <c r="Y1954" s="3">
        <v>36.33</v>
      </c>
    </row>
    <row r="1955" spans="1:25" ht="60.75" x14ac:dyDescent="0.25">
      <c r="A1955" s="3" t="s">
        <v>26</v>
      </c>
      <c r="B1955" s="3" t="s">
        <v>27</v>
      </c>
      <c r="C1955" s="3" t="s">
        <v>28</v>
      </c>
      <c r="D1955" s="3" t="s">
        <v>29</v>
      </c>
      <c r="E1955" s="3" t="s">
        <v>136</v>
      </c>
      <c r="F1955" s="3" t="s">
        <v>31</v>
      </c>
      <c r="G1955" s="3" t="s">
        <v>136</v>
      </c>
      <c r="H1955" s="3" t="s">
        <v>48</v>
      </c>
      <c r="I1955" s="3">
        <v>2025</v>
      </c>
      <c r="J1955" s="3" t="str">
        <f>CONCATENATE("54820152772")</f>
        <v>54820152772</v>
      </c>
      <c r="K1955" s="3" t="s">
        <v>33</v>
      </c>
      <c r="L1955" s="3"/>
      <c r="M1955" s="3" t="s">
        <v>131</v>
      </c>
      <c r="N1955" s="3" t="str">
        <f>CONCATENATE("MNTRLD47D16I461B")</f>
        <v>MNTRLD47D16I461B</v>
      </c>
      <c r="O1955" s="3" t="s">
        <v>2086</v>
      </c>
      <c r="P1955" s="3" t="s">
        <v>36</v>
      </c>
      <c r="Q1955" s="3"/>
      <c r="R1955" s="4">
        <v>45996</v>
      </c>
      <c r="S1955" s="3" t="s">
        <v>37</v>
      </c>
      <c r="T1955" s="3" t="s">
        <v>38</v>
      </c>
      <c r="U1955" s="3" t="s">
        <v>39</v>
      </c>
      <c r="V1955" s="3">
        <v>217.95</v>
      </c>
      <c r="W1955" s="3">
        <v>92.63</v>
      </c>
      <c r="X1955" s="3">
        <v>87.72</v>
      </c>
      <c r="Y1955" s="3">
        <v>37.6</v>
      </c>
    </row>
    <row r="1956" spans="1:25" ht="60.75" x14ac:dyDescent="0.25">
      <c r="A1956" s="3" t="s">
        <v>26</v>
      </c>
      <c r="B1956" s="3" t="s">
        <v>27</v>
      </c>
      <c r="C1956" s="3" t="s">
        <v>28</v>
      </c>
      <c r="D1956" s="3" t="s">
        <v>50</v>
      </c>
      <c r="E1956" s="3" t="s">
        <v>252</v>
      </c>
      <c r="F1956" s="3" t="s">
        <v>52</v>
      </c>
      <c r="G1956" s="3" t="s">
        <v>252</v>
      </c>
      <c r="H1956" s="3" t="s">
        <v>45</v>
      </c>
      <c r="I1956" s="3">
        <v>2025</v>
      </c>
      <c r="J1956" s="3" t="str">
        <f>CONCATENATE("54820162011")</f>
        <v>54820162011</v>
      </c>
      <c r="K1956" s="3" t="s">
        <v>33</v>
      </c>
      <c r="L1956" s="3"/>
      <c r="M1956" s="3" t="s">
        <v>131</v>
      </c>
      <c r="N1956" s="3" t="str">
        <f>CONCATENATE("BRTPLG69P10D749A")</f>
        <v>BRTPLG69P10D749A</v>
      </c>
      <c r="O1956" s="3" t="s">
        <v>2087</v>
      </c>
      <c r="P1956" s="3" t="s">
        <v>36</v>
      </c>
      <c r="Q1956" s="3"/>
      <c r="R1956" s="4">
        <v>45996</v>
      </c>
      <c r="S1956" s="3" t="s">
        <v>37</v>
      </c>
      <c r="T1956" s="3" t="s">
        <v>38</v>
      </c>
      <c r="U1956" s="3" t="s">
        <v>39</v>
      </c>
      <c r="V1956" s="3">
        <v>469.16</v>
      </c>
      <c r="W1956" s="3">
        <v>199.39</v>
      </c>
      <c r="X1956" s="3">
        <v>188.84</v>
      </c>
      <c r="Y1956" s="3">
        <v>80.930000000000007</v>
      </c>
    </row>
    <row r="1957" spans="1:25" ht="60.75" x14ac:dyDescent="0.25">
      <c r="A1957" s="3" t="s">
        <v>26</v>
      </c>
      <c r="B1957" s="3" t="s">
        <v>27</v>
      </c>
      <c r="C1957" s="3" t="s">
        <v>28</v>
      </c>
      <c r="D1957" s="3" t="s">
        <v>29</v>
      </c>
      <c r="E1957" s="3" t="s">
        <v>47</v>
      </c>
      <c r="F1957" s="3" t="s">
        <v>31</v>
      </c>
      <c r="G1957" s="3" t="s">
        <v>47</v>
      </c>
      <c r="H1957" s="3" t="s">
        <v>48</v>
      </c>
      <c r="I1957" s="3">
        <v>2025</v>
      </c>
      <c r="J1957" s="3" t="str">
        <f>CONCATENATE("54820197942")</f>
        <v>54820197942</v>
      </c>
      <c r="K1957" s="3" t="s">
        <v>33</v>
      </c>
      <c r="L1957" s="3"/>
      <c r="M1957" s="3" t="s">
        <v>131</v>
      </c>
      <c r="N1957" s="3" t="str">
        <f>CONCATENATE("GBNBRN45T61D429X")</f>
        <v>GBNBRN45T61D429X</v>
      </c>
      <c r="O1957" s="3" t="s">
        <v>2088</v>
      </c>
      <c r="P1957" s="3" t="s">
        <v>36</v>
      </c>
      <c r="Q1957" s="3"/>
      <c r="R1957" s="4">
        <v>45996</v>
      </c>
      <c r="S1957" s="3" t="s">
        <v>37</v>
      </c>
      <c r="T1957" s="3" t="s">
        <v>38</v>
      </c>
      <c r="U1957" s="3" t="s">
        <v>39</v>
      </c>
      <c r="V1957" s="3">
        <v>119.09</v>
      </c>
      <c r="W1957" s="3">
        <v>50.61</v>
      </c>
      <c r="X1957" s="3">
        <v>47.93</v>
      </c>
      <c r="Y1957" s="3">
        <v>20.55</v>
      </c>
    </row>
    <row r="1958" spans="1:25" ht="72.75" x14ac:dyDescent="0.25">
      <c r="A1958" s="3" t="s">
        <v>26</v>
      </c>
      <c r="B1958" s="3" t="s">
        <v>27</v>
      </c>
      <c r="C1958" s="3" t="s">
        <v>28</v>
      </c>
      <c r="D1958" s="3" t="s">
        <v>50</v>
      </c>
      <c r="E1958" s="3" t="s">
        <v>252</v>
      </c>
      <c r="F1958" s="3" t="s">
        <v>52</v>
      </c>
      <c r="G1958" s="3" t="s">
        <v>252</v>
      </c>
      <c r="H1958" s="3" t="s">
        <v>45</v>
      </c>
      <c r="I1958" s="3">
        <v>2025</v>
      </c>
      <c r="J1958" s="3" t="str">
        <f>CONCATENATE("54820159306")</f>
        <v>54820159306</v>
      </c>
      <c r="K1958" s="3" t="s">
        <v>33</v>
      </c>
      <c r="L1958" s="3"/>
      <c r="M1958" s="3" t="s">
        <v>131</v>
      </c>
      <c r="N1958" s="3" t="str">
        <f>CONCATENATE("DAIMHL82D15D488R")</f>
        <v>DAIMHL82D15D488R</v>
      </c>
      <c r="O1958" s="3" t="s">
        <v>2089</v>
      </c>
      <c r="P1958" s="3" t="s">
        <v>36</v>
      </c>
      <c r="Q1958" s="3"/>
      <c r="R1958" s="4">
        <v>45996</v>
      </c>
      <c r="S1958" s="3" t="s">
        <v>37</v>
      </c>
      <c r="T1958" s="3" t="s">
        <v>38</v>
      </c>
      <c r="U1958" s="3" t="s">
        <v>39</v>
      </c>
      <c r="V1958" s="3">
        <v>178.86</v>
      </c>
      <c r="W1958" s="3">
        <v>76.02</v>
      </c>
      <c r="X1958" s="3">
        <v>71.989999999999995</v>
      </c>
      <c r="Y1958" s="3">
        <v>30.85</v>
      </c>
    </row>
    <row r="1959" spans="1:25" ht="60.75" x14ac:dyDescent="0.25">
      <c r="A1959" s="3" t="s">
        <v>26</v>
      </c>
      <c r="B1959" s="3" t="s">
        <v>27</v>
      </c>
      <c r="C1959" s="3" t="s">
        <v>28</v>
      </c>
      <c r="D1959" s="3" t="s">
        <v>50</v>
      </c>
      <c r="E1959" s="3" t="s">
        <v>60</v>
      </c>
      <c r="F1959" s="3" t="s">
        <v>52</v>
      </c>
      <c r="G1959" s="3" t="s">
        <v>60</v>
      </c>
      <c r="H1959" s="3" t="s">
        <v>45</v>
      </c>
      <c r="I1959" s="3">
        <v>2025</v>
      </c>
      <c r="J1959" s="3" t="str">
        <f>CONCATENATE("54820216544")</f>
        <v>54820216544</v>
      </c>
      <c r="K1959" s="3" t="s">
        <v>33</v>
      </c>
      <c r="L1959" s="3"/>
      <c r="M1959" s="3" t="s">
        <v>131</v>
      </c>
      <c r="N1959" s="3" t="str">
        <f>CONCATENATE("CHRTMS03T02D451L")</f>
        <v>CHRTMS03T02D451L</v>
      </c>
      <c r="O1959" s="3" t="s">
        <v>2090</v>
      </c>
      <c r="P1959" s="3" t="s">
        <v>36</v>
      </c>
      <c r="Q1959" s="3"/>
      <c r="R1959" s="4">
        <v>45996</v>
      </c>
      <c r="S1959" s="3" t="s">
        <v>37</v>
      </c>
      <c r="T1959" s="3" t="s">
        <v>38</v>
      </c>
      <c r="U1959" s="3" t="s">
        <v>39</v>
      </c>
      <c r="V1959" s="3">
        <v>154.06</v>
      </c>
      <c r="W1959" s="3">
        <v>65.48</v>
      </c>
      <c r="X1959" s="3">
        <v>62.01</v>
      </c>
      <c r="Y1959" s="3">
        <v>26.57</v>
      </c>
    </row>
    <row r="1960" spans="1:25" ht="60.75" x14ac:dyDescent="0.25">
      <c r="A1960" s="3" t="s">
        <v>26</v>
      </c>
      <c r="B1960" s="3" t="s">
        <v>27</v>
      </c>
      <c r="C1960" s="3" t="s">
        <v>28</v>
      </c>
      <c r="D1960" s="3" t="s">
        <v>50</v>
      </c>
      <c r="E1960" s="3" t="s">
        <v>252</v>
      </c>
      <c r="F1960" s="3" t="s">
        <v>52</v>
      </c>
      <c r="G1960" s="3" t="s">
        <v>252</v>
      </c>
      <c r="H1960" s="3" t="s">
        <v>45</v>
      </c>
      <c r="I1960" s="3">
        <v>2025</v>
      </c>
      <c r="J1960" s="3" t="str">
        <f>CONCATENATE("54820213384")</f>
        <v>54820213384</v>
      </c>
      <c r="K1960" s="3" t="s">
        <v>33</v>
      </c>
      <c r="L1960" s="3"/>
      <c r="M1960" s="3" t="s">
        <v>131</v>
      </c>
      <c r="N1960" s="3" t="str">
        <f>CONCATENATE("SSNSRA69S53G224Q")</f>
        <v>SSNSRA69S53G224Q</v>
      </c>
      <c r="O1960" s="3" t="s">
        <v>2091</v>
      </c>
      <c r="P1960" s="3" t="s">
        <v>36</v>
      </c>
      <c r="Q1960" s="3"/>
      <c r="R1960" s="4">
        <v>45996</v>
      </c>
      <c r="S1960" s="3" t="s">
        <v>37</v>
      </c>
      <c r="T1960" s="3" t="s">
        <v>38</v>
      </c>
      <c r="U1960" s="3" t="s">
        <v>39</v>
      </c>
      <c r="V1960" s="3">
        <v>56.68</v>
      </c>
      <c r="W1960" s="3">
        <v>24.09</v>
      </c>
      <c r="X1960" s="3">
        <v>22.81</v>
      </c>
      <c r="Y1960" s="3">
        <v>9.7799999999999994</v>
      </c>
    </row>
    <row r="1961" spans="1:25" ht="36.75" x14ac:dyDescent="0.25">
      <c r="A1961" s="3" t="s">
        <v>26</v>
      </c>
      <c r="B1961" s="3" t="s">
        <v>27</v>
      </c>
      <c r="C1961" s="3" t="s">
        <v>28</v>
      </c>
      <c r="D1961" s="3" t="s">
        <v>40</v>
      </c>
      <c r="E1961" s="3" t="s">
        <v>122</v>
      </c>
      <c r="F1961" s="3" t="s">
        <v>42</v>
      </c>
      <c r="G1961" s="3" t="s">
        <v>122</v>
      </c>
      <c r="H1961" s="3" t="s">
        <v>32</v>
      </c>
      <c r="I1961" s="3">
        <v>2025</v>
      </c>
      <c r="J1961" s="3" t="str">
        <f>CONCATENATE("54820149158")</f>
        <v>54820149158</v>
      </c>
      <c r="K1961" s="3" t="s">
        <v>33</v>
      </c>
      <c r="L1961" s="3"/>
      <c r="M1961" s="3" t="s">
        <v>131</v>
      </c>
      <c r="N1961" s="3" t="str">
        <f>CONCATENATE("01331500437")</f>
        <v>01331500437</v>
      </c>
      <c r="O1961" s="3" t="s">
        <v>2092</v>
      </c>
      <c r="P1961" s="3" t="s">
        <v>36</v>
      </c>
      <c r="Q1961" s="3"/>
      <c r="R1961" s="4">
        <v>45996</v>
      </c>
      <c r="S1961" s="3" t="s">
        <v>37</v>
      </c>
      <c r="T1961" s="3" t="s">
        <v>38</v>
      </c>
      <c r="U1961" s="3" t="s">
        <v>39</v>
      </c>
      <c r="V1961" s="3">
        <v>120.28</v>
      </c>
      <c r="W1961" s="3">
        <v>51.12</v>
      </c>
      <c r="X1961" s="3">
        <v>48.41</v>
      </c>
      <c r="Y1961" s="3">
        <v>20.75</v>
      </c>
    </row>
    <row r="1962" spans="1:25" ht="72.75" x14ac:dyDescent="0.25">
      <c r="A1962" s="3" t="s">
        <v>26</v>
      </c>
      <c r="B1962" s="3" t="s">
        <v>27</v>
      </c>
      <c r="C1962" s="3" t="s">
        <v>28</v>
      </c>
      <c r="D1962" s="3" t="s">
        <v>50</v>
      </c>
      <c r="E1962" s="3" t="s">
        <v>252</v>
      </c>
      <c r="F1962" s="3" t="s">
        <v>52</v>
      </c>
      <c r="G1962" s="3" t="s">
        <v>252</v>
      </c>
      <c r="H1962" s="3" t="s">
        <v>45</v>
      </c>
      <c r="I1962" s="3">
        <v>2025</v>
      </c>
      <c r="J1962" s="3" t="str">
        <f>CONCATENATE("54820239389")</f>
        <v>54820239389</v>
      </c>
      <c r="K1962" s="3" t="s">
        <v>33</v>
      </c>
      <c r="L1962" s="3"/>
      <c r="M1962" s="3" t="s">
        <v>131</v>
      </c>
      <c r="N1962" s="3" t="str">
        <f>CONCATENATE("PRLGPP53B03D749M")</f>
        <v>PRLGPP53B03D749M</v>
      </c>
      <c r="O1962" s="3" t="s">
        <v>2093</v>
      </c>
      <c r="P1962" s="3" t="s">
        <v>36</v>
      </c>
      <c r="Q1962" s="3"/>
      <c r="R1962" s="4">
        <v>45996</v>
      </c>
      <c r="S1962" s="3" t="s">
        <v>37</v>
      </c>
      <c r="T1962" s="3" t="s">
        <v>38</v>
      </c>
      <c r="U1962" s="3" t="s">
        <v>39</v>
      </c>
      <c r="V1962" s="3">
        <v>61.76</v>
      </c>
      <c r="W1962" s="3">
        <v>26.25</v>
      </c>
      <c r="X1962" s="3">
        <v>24.86</v>
      </c>
      <c r="Y1962" s="3">
        <v>10.65</v>
      </c>
    </row>
    <row r="1963" spans="1:25" ht="60.75" x14ac:dyDescent="0.25">
      <c r="A1963" s="3" t="s">
        <v>26</v>
      </c>
      <c r="B1963" s="3" t="s">
        <v>27</v>
      </c>
      <c r="C1963" s="3" t="s">
        <v>28</v>
      </c>
      <c r="D1963" s="3" t="s">
        <v>29</v>
      </c>
      <c r="E1963" s="3" t="s">
        <v>68</v>
      </c>
      <c r="F1963" s="3" t="s">
        <v>31</v>
      </c>
      <c r="G1963" s="3" t="s">
        <v>68</v>
      </c>
      <c r="H1963" s="3" t="s">
        <v>32</v>
      </c>
      <c r="I1963" s="3">
        <v>2025</v>
      </c>
      <c r="J1963" s="3" t="str">
        <f>CONCATENATE("54820184866")</f>
        <v>54820184866</v>
      </c>
      <c r="K1963" s="3" t="s">
        <v>33</v>
      </c>
      <c r="L1963" s="3"/>
      <c r="M1963" s="3" t="s">
        <v>131</v>
      </c>
      <c r="N1963" s="3" t="str">
        <f>CONCATENATE("FRTFBA66T16I436F")</f>
        <v>FRTFBA66T16I436F</v>
      </c>
      <c r="O1963" s="3" t="s">
        <v>2094</v>
      </c>
      <c r="P1963" s="3" t="s">
        <v>36</v>
      </c>
      <c r="Q1963" s="3"/>
      <c r="R1963" s="4">
        <v>45996</v>
      </c>
      <c r="S1963" s="3" t="s">
        <v>37</v>
      </c>
      <c r="T1963" s="3" t="s">
        <v>38</v>
      </c>
      <c r="U1963" s="3" t="s">
        <v>39</v>
      </c>
      <c r="V1963" s="5">
        <v>1003.49</v>
      </c>
      <c r="W1963" s="3">
        <v>426.48</v>
      </c>
      <c r="X1963" s="3">
        <v>403.9</v>
      </c>
      <c r="Y1963" s="3">
        <v>173.11</v>
      </c>
    </row>
    <row r="1964" spans="1:25" ht="60.75" x14ac:dyDescent="0.25">
      <c r="A1964" s="3" t="s">
        <v>26</v>
      </c>
      <c r="B1964" s="3" t="s">
        <v>27</v>
      </c>
      <c r="C1964" s="3" t="s">
        <v>28</v>
      </c>
      <c r="D1964" s="3" t="s">
        <v>29</v>
      </c>
      <c r="E1964" s="3" t="s">
        <v>47</v>
      </c>
      <c r="F1964" s="3" t="s">
        <v>31</v>
      </c>
      <c r="G1964" s="3" t="s">
        <v>47</v>
      </c>
      <c r="H1964" s="3" t="s">
        <v>48</v>
      </c>
      <c r="I1964" s="3">
        <v>2025</v>
      </c>
      <c r="J1964" s="3" t="str">
        <f>CONCATENATE("54820153218")</f>
        <v>54820153218</v>
      </c>
      <c r="K1964" s="3" t="s">
        <v>33</v>
      </c>
      <c r="L1964" s="3"/>
      <c r="M1964" s="3" t="s">
        <v>131</v>
      </c>
      <c r="N1964" s="3" t="str">
        <f>CONCATENATE("FRNCLL40B07D451G")</f>
        <v>FRNCLL40B07D451G</v>
      </c>
      <c r="O1964" s="3" t="s">
        <v>2095</v>
      </c>
      <c r="P1964" s="3" t="s">
        <v>36</v>
      </c>
      <c r="Q1964" s="3"/>
      <c r="R1964" s="4">
        <v>45996</v>
      </c>
      <c r="S1964" s="3" t="s">
        <v>37</v>
      </c>
      <c r="T1964" s="3" t="s">
        <v>38</v>
      </c>
      <c r="U1964" s="3" t="s">
        <v>39</v>
      </c>
      <c r="V1964" s="3">
        <v>71.03</v>
      </c>
      <c r="W1964" s="3">
        <v>30.19</v>
      </c>
      <c r="X1964" s="3">
        <v>28.59</v>
      </c>
      <c r="Y1964" s="3">
        <v>12.25</v>
      </c>
    </row>
    <row r="1965" spans="1:25" ht="60.75" x14ac:dyDescent="0.25">
      <c r="A1965" s="3" t="s">
        <v>26</v>
      </c>
      <c r="B1965" s="3" t="s">
        <v>27</v>
      </c>
      <c r="C1965" s="3" t="s">
        <v>28</v>
      </c>
      <c r="D1965" s="3" t="s">
        <v>50</v>
      </c>
      <c r="E1965" s="3" t="s">
        <v>147</v>
      </c>
      <c r="F1965" s="3" t="s">
        <v>52</v>
      </c>
      <c r="G1965" s="3" t="s">
        <v>147</v>
      </c>
      <c r="H1965" s="3" t="s">
        <v>45</v>
      </c>
      <c r="I1965" s="3">
        <v>2025</v>
      </c>
      <c r="J1965" s="3" t="str">
        <f>CONCATENATE("54820237078")</f>
        <v>54820237078</v>
      </c>
      <c r="K1965" s="3" t="s">
        <v>33</v>
      </c>
      <c r="L1965" s="3"/>
      <c r="M1965" s="3" t="s">
        <v>131</v>
      </c>
      <c r="N1965" s="3" t="str">
        <f>CONCATENATE("RCSGNN58D02M025S")</f>
        <v>RCSGNN58D02M025S</v>
      </c>
      <c r="O1965" s="3" t="s">
        <v>2096</v>
      </c>
      <c r="P1965" s="3" t="s">
        <v>36</v>
      </c>
      <c r="Q1965" s="3"/>
      <c r="R1965" s="4">
        <v>45996</v>
      </c>
      <c r="S1965" s="3" t="s">
        <v>37</v>
      </c>
      <c r="T1965" s="3" t="s">
        <v>38</v>
      </c>
      <c r="U1965" s="3" t="s">
        <v>39</v>
      </c>
      <c r="V1965" s="3">
        <v>195.16</v>
      </c>
      <c r="W1965" s="3">
        <v>82.94</v>
      </c>
      <c r="X1965" s="3">
        <v>78.55</v>
      </c>
      <c r="Y1965" s="3">
        <v>33.67</v>
      </c>
    </row>
    <row r="1966" spans="1:25" ht="72.75" x14ac:dyDescent="0.25">
      <c r="A1966" s="3" t="s">
        <v>26</v>
      </c>
      <c r="B1966" s="3" t="s">
        <v>27</v>
      </c>
      <c r="C1966" s="3" t="s">
        <v>28</v>
      </c>
      <c r="D1966" s="3" t="s">
        <v>50</v>
      </c>
      <c r="E1966" s="3" t="s">
        <v>252</v>
      </c>
      <c r="F1966" s="3" t="s">
        <v>52</v>
      </c>
      <c r="G1966" s="3" t="s">
        <v>252</v>
      </c>
      <c r="H1966" s="3" t="s">
        <v>45</v>
      </c>
      <c r="I1966" s="3">
        <v>2025</v>
      </c>
      <c r="J1966" s="3" t="str">
        <f>CONCATENATE("54820176805")</f>
        <v>54820176805</v>
      </c>
      <c r="K1966" s="3" t="s">
        <v>33</v>
      </c>
      <c r="L1966" s="3"/>
      <c r="M1966" s="3" t="s">
        <v>131</v>
      </c>
      <c r="N1966" s="3" t="str">
        <f>CONCATENATE("FRNFNC81A20D749Q")</f>
        <v>FRNFNC81A20D749Q</v>
      </c>
      <c r="O1966" s="3" t="s">
        <v>2097</v>
      </c>
      <c r="P1966" s="3" t="s">
        <v>36</v>
      </c>
      <c r="Q1966" s="3"/>
      <c r="R1966" s="4">
        <v>45996</v>
      </c>
      <c r="S1966" s="3" t="s">
        <v>37</v>
      </c>
      <c r="T1966" s="3" t="s">
        <v>38</v>
      </c>
      <c r="U1966" s="3" t="s">
        <v>39</v>
      </c>
      <c r="V1966" s="3">
        <v>126.78</v>
      </c>
      <c r="W1966" s="3">
        <v>53.88</v>
      </c>
      <c r="X1966" s="3">
        <v>51.03</v>
      </c>
      <c r="Y1966" s="3">
        <v>21.87</v>
      </c>
    </row>
    <row r="1967" spans="1:25" ht="60.75" x14ac:dyDescent="0.25">
      <c r="A1967" s="3" t="s">
        <v>26</v>
      </c>
      <c r="B1967" s="3" t="s">
        <v>27</v>
      </c>
      <c r="C1967" s="3" t="s">
        <v>28</v>
      </c>
      <c r="D1967" s="3" t="s">
        <v>50</v>
      </c>
      <c r="E1967" s="3" t="s">
        <v>252</v>
      </c>
      <c r="F1967" s="3" t="s">
        <v>52</v>
      </c>
      <c r="G1967" s="3" t="s">
        <v>252</v>
      </c>
      <c r="H1967" s="3" t="s">
        <v>45</v>
      </c>
      <c r="I1967" s="3">
        <v>2025</v>
      </c>
      <c r="J1967" s="3" t="str">
        <f>CONCATENATE("54820176979")</f>
        <v>54820176979</v>
      </c>
      <c r="K1967" s="3" t="s">
        <v>33</v>
      </c>
      <c r="L1967" s="3"/>
      <c r="M1967" s="3" t="s">
        <v>131</v>
      </c>
      <c r="N1967" s="3" t="str">
        <f>CONCATENATE("FRRRRT50E13D749B")</f>
        <v>FRRRRT50E13D749B</v>
      </c>
      <c r="O1967" s="3" t="s">
        <v>2098</v>
      </c>
      <c r="P1967" s="3" t="s">
        <v>36</v>
      </c>
      <c r="Q1967" s="3"/>
      <c r="R1967" s="4">
        <v>45996</v>
      </c>
      <c r="S1967" s="3" t="s">
        <v>37</v>
      </c>
      <c r="T1967" s="3" t="s">
        <v>38</v>
      </c>
      <c r="U1967" s="3" t="s">
        <v>39</v>
      </c>
      <c r="V1967" s="3">
        <v>105.79</v>
      </c>
      <c r="W1967" s="3">
        <v>44.96</v>
      </c>
      <c r="X1967" s="3">
        <v>42.58</v>
      </c>
      <c r="Y1967" s="3">
        <v>18.25</v>
      </c>
    </row>
    <row r="1968" spans="1:25" ht="36.75" x14ac:dyDescent="0.25">
      <c r="A1968" s="3" t="s">
        <v>26</v>
      </c>
      <c r="B1968" s="3" t="s">
        <v>27</v>
      </c>
      <c r="C1968" s="3" t="s">
        <v>28</v>
      </c>
      <c r="D1968" s="3" t="s">
        <v>29</v>
      </c>
      <c r="E1968" s="3" t="s">
        <v>56</v>
      </c>
      <c r="F1968" s="3" t="s">
        <v>31</v>
      </c>
      <c r="G1968" s="3" t="s">
        <v>56</v>
      </c>
      <c r="H1968" s="3" t="s">
        <v>32</v>
      </c>
      <c r="I1968" s="3">
        <v>2025</v>
      </c>
      <c r="J1968" s="3" t="str">
        <f>CONCATENATE("54820273081")</f>
        <v>54820273081</v>
      </c>
      <c r="K1968" s="3" t="s">
        <v>33</v>
      </c>
      <c r="L1968" s="3"/>
      <c r="M1968" s="3" t="s">
        <v>131</v>
      </c>
      <c r="N1968" s="3" t="str">
        <f>CONCATENATE("01945810438")</f>
        <v>01945810438</v>
      </c>
      <c r="O1968" s="3" t="s">
        <v>2099</v>
      </c>
      <c r="P1968" s="3" t="s">
        <v>36</v>
      </c>
      <c r="Q1968" s="3"/>
      <c r="R1968" s="4">
        <v>45996</v>
      </c>
      <c r="S1968" s="3" t="s">
        <v>37</v>
      </c>
      <c r="T1968" s="3" t="s">
        <v>38</v>
      </c>
      <c r="U1968" s="3" t="s">
        <v>39</v>
      </c>
      <c r="V1968" s="5">
        <v>1378.15</v>
      </c>
      <c r="W1968" s="3">
        <v>585.71</v>
      </c>
      <c r="X1968" s="3">
        <v>554.71</v>
      </c>
      <c r="Y1968" s="3">
        <v>237.73</v>
      </c>
    </row>
    <row r="1969" spans="1:25" ht="60.75" x14ac:dyDescent="0.25">
      <c r="A1969" s="3" t="s">
        <v>26</v>
      </c>
      <c r="B1969" s="3" t="s">
        <v>27</v>
      </c>
      <c r="C1969" s="3" t="s">
        <v>28</v>
      </c>
      <c r="D1969" s="3" t="s">
        <v>29</v>
      </c>
      <c r="E1969" s="3" t="s">
        <v>111</v>
      </c>
      <c r="F1969" s="3" t="s">
        <v>31</v>
      </c>
      <c r="G1969" s="3" t="s">
        <v>111</v>
      </c>
      <c r="H1969" s="3" t="s">
        <v>96</v>
      </c>
      <c r="I1969" s="3">
        <v>2025</v>
      </c>
      <c r="J1969" s="3" t="str">
        <f>CONCATENATE("54820240890")</f>
        <v>54820240890</v>
      </c>
      <c r="K1969" s="3" t="s">
        <v>33</v>
      </c>
      <c r="L1969" s="3"/>
      <c r="M1969" s="3" t="s">
        <v>131</v>
      </c>
      <c r="N1969" s="3" t="str">
        <f>CONCATENATE("CCCSRN67S64E783G")</f>
        <v>CCCSRN67S64E783G</v>
      </c>
      <c r="O1969" s="3" t="s">
        <v>2100</v>
      </c>
      <c r="P1969" s="3" t="s">
        <v>36</v>
      </c>
      <c r="Q1969" s="3"/>
      <c r="R1969" s="4">
        <v>45996</v>
      </c>
      <c r="S1969" s="3" t="s">
        <v>37</v>
      </c>
      <c r="T1969" s="3" t="s">
        <v>38</v>
      </c>
      <c r="U1969" s="3" t="s">
        <v>39</v>
      </c>
      <c r="V1969" s="3">
        <v>398.21</v>
      </c>
      <c r="W1969" s="3">
        <v>169.24</v>
      </c>
      <c r="X1969" s="3">
        <v>160.28</v>
      </c>
      <c r="Y1969" s="3">
        <v>68.69</v>
      </c>
    </row>
    <row r="1970" spans="1:25" ht="60.75" x14ac:dyDescent="0.25">
      <c r="A1970" s="3" t="s">
        <v>26</v>
      </c>
      <c r="B1970" s="3" t="s">
        <v>27</v>
      </c>
      <c r="C1970" s="3" t="s">
        <v>28</v>
      </c>
      <c r="D1970" s="3" t="s">
        <v>50</v>
      </c>
      <c r="E1970" s="3" t="s">
        <v>252</v>
      </c>
      <c r="F1970" s="3" t="s">
        <v>52</v>
      </c>
      <c r="G1970" s="3" t="s">
        <v>252</v>
      </c>
      <c r="H1970" s="3" t="s">
        <v>45</v>
      </c>
      <c r="I1970" s="3">
        <v>2025</v>
      </c>
      <c r="J1970" s="3" t="str">
        <f>CONCATENATE("54820213012")</f>
        <v>54820213012</v>
      </c>
      <c r="K1970" s="3" t="s">
        <v>33</v>
      </c>
      <c r="L1970" s="3"/>
      <c r="M1970" s="3" t="s">
        <v>131</v>
      </c>
      <c r="N1970" s="3" t="str">
        <f>CONCATENATE("PLNCHR87M70D488F")</f>
        <v>PLNCHR87M70D488F</v>
      </c>
      <c r="O1970" s="3" t="s">
        <v>2101</v>
      </c>
      <c r="P1970" s="3" t="s">
        <v>36</v>
      </c>
      <c r="Q1970" s="3"/>
      <c r="R1970" s="4">
        <v>45996</v>
      </c>
      <c r="S1970" s="3" t="s">
        <v>37</v>
      </c>
      <c r="T1970" s="3" t="s">
        <v>38</v>
      </c>
      <c r="U1970" s="3" t="s">
        <v>39</v>
      </c>
      <c r="V1970" s="3">
        <v>55.61</v>
      </c>
      <c r="W1970" s="3">
        <v>23.63</v>
      </c>
      <c r="X1970" s="3">
        <v>22.38</v>
      </c>
      <c r="Y1970" s="3">
        <v>9.6</v>
      </c>
    </row>
    <row r="1971" spans="1:25" ht="60.75" x14ac:dyDescent="0.25">
      <c r="A1971" s="3" t="s">
        <v>26</v>
      </c>
      <c r="B1971" s="3" t="s">
        <v>27</v>
      </c>
      <c r="C1971" s="3" t="s">
        <v>28</v>
      </c>
      <c r="D1971" s="3" t="s">
        <v>50</v>
      </c>
      <c r="E1971" s="3" t="s">
        <v>60</v>
      </c>
      <c r="F1971" s="3" t="s">
        <v>52</v>
      </c>
      <c r="G1971" s="3" t="s">
        <v>60</v>
      </c>
      <c r="H1971" s="3" t="s">
        <v>45</v>
      </c>
      <c r="I1971" s="3">
        <v>2025</v>
      </c>
      <c r="J1971" s="3" t="str">
        <f>CONCATENATE("54820163472")</f>
        <v>54820163472</v>
      </c>
      <c r="K1971" s="3" t="s">
        <v>33</v>
      </c>
      <c r="L1971" s="3"/>
      <c r="M1971" s="3" t="s">
        <v>131</v>
      </c>
      <c r="N1971" s="3" t="str">
        <f>CONCATENATE("RCCLSU32A48G453O")</f>
        <v>RCCLSU32A48G453O</v>
      </c>
      <c r="O1971" s="3" t="s">
        <v>2102</v>
      </c>
      <c r="P1971" s="3" t="s">
        <v>36</v>
      </c>
      <c r="Q1971" s="3"/>
      <c r="R1971" s="4">
        <v>45996</v>
      </c>
      <c r="S1971" s="3" t="s">
        <v>37</v>
      </c>
      <c r="T1971" s="3" t="s">
        <v>38</v>
      </c>
      <c r="U1971" s="3" t="s">
        <v>39</v>
      </c>
      <c r="V1971" s="3">
        <v>115.81</v>
      </c>
      <c r="W1971" s="3">
        <v>49.22</v>
      </c>
      <c r="X1971" s="3">
        <v>46.61</v>
      </c>
      <c r="Y1971" s="3">
        <v>19.98</v>
      </c>
    </row>
    <row r="1972" spans="1:25" ht="60.75" x14ac:dyDescent="0.25">
      <c r="A1972" s="3" t="s">
        <v>26</v>
      </c>
      <c r="B1972" s="3" t="s">
        <v>27</v>
      </c>
      <c r="C1972" s="3" t="s">
        <v>28</v>
      </c>
      <c r="D1972" s="3" t="s">
        <v>29</v>
      </c>
      <c r="E1972" s="3" t="s">
        <v>182</v>
      </c>
      <c r="F1972" s="3" t="s">
        <v>31</v>
      </c>
      <c r="G1972" s="3" t="s">
        <v>182</v>
      </c>
      <c r="H1972" s="3" t="s">
        <v>45</v>
      </c>
      <c r="I1972" s="3">
        <v>2025</v>
      </c>
      <c r="J1972" s="3" t="str">
        <f>CONCATENATE("54820153556")</f>
        <v>54820153556</v>
      </c>
      <c r="K1972" s="3" t="s">
        <v>33</v>
      </c>
      <c r="L1972" s="3"/>
      <c r="M1972" s="3" t="s">
        <v>131</v>
      </c>
      <c r="N1972" s="3" t="str">
        <f>CONCATENATE("SRRPQL45H01G147X")</f>
        <v>SRRPQL45H01G147X</v>
      </c>
      <c r="O1972" s="3" t="s">
        <v>2103</v>
      </c>
      <c r="P1972" s="3" t="s">
        <v>36</v>
      </c>
      <c r="Q1972" s="3"/>
      <c r="R1972" s="4">
        <v>45996</v>
      </c>
      <c r="S1972" s="3" t="s">
        <v>37</v>
      </c>
      <c r="T1972" s="3" t="s">
        <v>38</v>
      </c>
      <c r="U1972" s="3" t="s">
        <v>39</v>
      </c>
      <c r="V1972" s="3">
        <v>706.71</v>
      </c>
      <c r="W1972" s="3">
        <v>300.35000000000002</v>
      </c>
      <c r="X1972" s="3">
        <v>284.45</v>
      </c>
      <c r="Y1972" s="3">
        <v>121.91</v>
      </c>
    </row>
    <row r="1973" spans="1:25" ht="60.75" x14ac:dyDescent="0.25">
      <c r="A1973" s="3" t="s">
        <v>26</v>
      </c>
      <c r="B1973" s="3" t="s">
        <v>27</v>
      </c>
      <c r="C1973" s="3" t="s">
        <v>28</v>
      </c>
      <c r="D1973" s="3" t="s">
        <v>29</v>
      </c>
      <c r="E1973" s="3" t="s">
        <v>119</v>
      </c>
      <c r="F1973" s="3" t="s">
        <v>31</v>
      </c>
      <c r="G1973" s="3" t="s">
        <v>119</v>
      </c>
      <c r="H1973" s="3" t="s">
        <v>96</v>
      </c>
      <c r="I1973" s="3">
        <v>2025</v>
      </c>
      <c r="J1973" s="3" t="str">
        <f>CONCATENATE("54820049184")</f>
        <v>54820049184</v>
      </c>
      <c r="K1973" s="3" t="s">
        <v>33</v>
      </c>
      <c r="L1973" s="3"/>
      <c r="M1973" s="3" t="s">
        <v>131</v>
      </c>
      <c r="N1973" s="3" t="str">
        <f>CONCATENATE("SCCGLI58A22A252D")</f>
        <v>SCCGLI58A22A252D</v>
      </c>
      <c r="O1973" s="3" t="s">
        <v>2104</v>
      </c>
      <c r="P1973" s="3" t="s">
        <v>36</v>
      </c>
      <c r="Q1973" s="3"/>
      <c r="R1973" s="4">
        <v>45996</v>
      </c>
      <c r="S1973" s="3" t="s">
        <v>37</v>
      </c>
      <c r="T1973" s="3" t="s">
        <v>38</v>
      </c>
      <c r="U1973" s="3" t="s">
        <v>39</v>
      </c>
      <c r="V1973" s="3">
        <v>673.71</v>
      </c>
      <c r="W1973" s="3">
        <v>286.33</v>
      </c>
      <c r="X1973" s="3">
        <v>271.17</v>
      </c>
      <c r="Y1973" s="3">
        <v>116.21</v>
      </c>
    </row>
    <row r="1974" spans="1:25" ht="60.75" x14ac:dyDescent="0.25">
      <c r="A1974" s="3" t="s">
        <v>26</v>
      </c>
      <c r="B1974" s="3" t="s">
        <v>27</v>
      </c>
      <c r="C1974" s="3" t="s">
        <v>28</v>
      </c>
      <c r="D1974" s="3" t="s">
        <v>50</v>
      </c>
      <c r="E1974" s="3" t="s">
        <v>60</v>
      </c>
      <c r="F1974" s="3" t="s">
        <v>52</v>
      </c>
      <c r="G1974" s="3" t="s">
        <v>60</v>
      </c>
      <c r="H1974" s="3" t="s">
        <v>45</v>
      </c>
      <c r="I1974" s="3">
        <v>2025</v>
      </c>
      <c r="J1974" s="3" t="str">
        <f>CONCATENATE("54820214531")</f>
        <v>54820214531</v>
      </c>
      <c r="K1974" s="3" t="s">
        <v>33</v>
      </c>
      <c r="L1974" s="3"/>
      <c r="M1974" s="3" t="s">
        <v>131</v>
      </c>
      <c r="N1974" s="3" t="str">
        <f>CONCATENATE("MSSPRM39S08G453B")</f>
        <v>MSSPRM39S08G453B</v>
      </c>
      <c r="O1974" s="3" t="s">
        <v>2105</v>
      </c>
      <c r="P1974" s="3" t="s">
        <v>36</v>
      </c>
      <c r="Q1974" s="3"/>
      <c r="R1974" s="4">
        <v>45996</v>
      </c>
      <c r="S1974" s="3" t="s">
        <v>37</v>
      </c>
      <c r="T1974" s="3" t="s">
        <v>38</v>
      </c>
      <c r="U1974" s="3" t="s">
        <v>39</v>
      </c>
      <c r="V1974" s="3">
        <v>49.64</v>
      </c>
      <c r="W1974" s="3">
        <v>21.1</v>
      </c>
      <c r="X1974" s="3">
        <v>19.98</v>
      </c>
      <c r="Y1974" s="3">
        <v>8.56</v>
      </c>
    </row>
    <row r="1975" spans="1:25" ht="72.75" x14ac:dyDescent="0.25">
      <c r="A1975" s="3" t="s">
        <v>26</v>
      </c>
      <c r="B1975" s="3" t="s">
        <v>27</v>
      </c>
      <c r="C1975" s="3" t="s">
        <v>28</v>
      </c>
      <c r="D1975" s="3" t="s">
        <v>29</v>
      </c>
      <c r="E1975" s="3" t="s">
        <v>47</v>
      </c>
      <c r="F1975" s="3" t="s">
        <v>31</v>
      </c>
      <c r="G1975" s="3" t="s">
        <v>47</v>
      </c>
      <c r="H1975" s="3" t="s">
        <v>48</v>
      </c>
      <c r="I1975" s="3">
        <v>2025</v>
      </c>
      <c r="J1975" s="3" t="str">
        <f>CONCATENATE("54820053004")</f>
        <v>54820053004</v>
      </c>
      <c r="K1975" s="3" t="s">
        <v>33</v>
      </c>
      <c r="L1975" s="3"/>
      <c r="M1975" s="3" t="s">
        <v>131</v>
      </c>
      <c r="N1975" s="3" t="str">
        <f>CONCATENATE("RMOBRN52B21D451J")</f>
        <v>RMOBRN52B21D451J</v>
      </c>
      <c r="O1975" s="3" t="s">
        <v>2106</v>
      </c>
      <c r="P1975" s="3" t="s">
        <v>36</v>
      </c>
      <c r="Q1975" s="3"/>
      <c r="R1975" s="4">
        <v>45996</v>
      </c>
      <c r="S1975" s="3" t="s">
        <v>37</v>
      </c>
      <c r="T1975" s="3" t="s">
        <v>38</v>
      </c>
      <c r="U1975" s="3" t="s">
        <v>39</v>
      </c>
      <c r="V1975" s="3">
        <v>110.67</v>
      </c>
      <c r="W1975" s="3">
        <v>47.03</v>
      </c>
      <c r="X1975" s="3">
        <v>44.54</v>
      </c>
      <c r="Y1975" s="3">
        <v>19.100000000000001</v>
      </c>
    </row>
    <row r="1976" spans="1:25" ht="36.75" x14ac:dyDescent="0.25">
      <c r="A1976" s="3" t="s">
        <v>26</v>
      </c>
      <c r="B1976" s="3" t="s">
        <v>27</v>
      </c>
      <c r="C1976" s="3" t="s">
        <v>28</v>
      </c>
      <c r="D1976" s="3" t="s">
        <v>50</v>
      </c>
      <c r="E1976" s="3" t="s">
        <v>60</v>
      </c>
      <c r="F1976" s="3" t="s">
        <v>52</v>
      </c>
      <c r="G1976" s="3" t="s">
        <v>60</v>
      </c>
      <c r="H1976" s="3" t="s">
        <v>45</v>
      </c>
      <c r="I1976" s="3">
        <v>2025</v>
      </c>
      <c r="J1976" s="3" t="str">
        <f>CONCATENATE("54820143169")</f>
        <v>54820143169</v>
      </c>
      <c r="K1976" s="3" t="s">
        <v>33</v>
      </c>
      <c r="L1976" s="3"/>
      <c r="M1976" s="3" t="s">
        <v>131</v>
      </c>
      <c r="N1976" s="3" t="str">
        <f>CONCATENATE("02766490417")</f>
        <v>02766490417</v>
      </c>
      <c r="O1976" s="3" t="s">
        <v>2107</v>
      </c>
      <c r="P1976" s="3" t="s">
        <v>36</v>
      </c>
      <c r="Q1976" s="3"/>
      <c r="R1976" s="4">
        <v>45996</v>
      </c>
      <c r="S1976" s="3" t="s">
        <v>37</v>
      </c>
      <c r="T1976" s="3" t="s">
        <v>38</v>
      </c>
      <c r="U1976" s="3" t="s">
        <v>39</v>
      </c>
      <c r="V1976" s="3">
        <v>390.24</v>
      </c>
      <c r="W1976" s="3">
        <v>165.85</v>
      </c>
      <c r="X1976" s="3">
        <v>157.07</v>
      </c>
      <c r="Y1976" s="3">
        <v>67.319999999999993</v>
      </c>
    </row>
    <row r="1977" spans="1:25" ht="60.75" x14ac:dyDescent="0.25">
      <c r="A1977" s="3" t="s">
        <v>26</v>
      </c>
      <c r="B1977" s="3" t="s">
        <v>27</v>
      </c>
      <c r="C1977" s="3" t="s">
        <v>28</v>
      </c>
      <c r="D1977" s="3" t="s">
        <v>29</v>
      </c>
      <c r="E1977" s="3" t="s">
        <v>136</v>
      </c>
      <c r="F1977" s="3" t="s">
        <v>31</v>
      </c>
      <c r="G1977" s="3" t="s">
        <v>136</v>
      </c>
      <c r="H1977" s="3" t="s">
        <v>48</v>
      </c>
      <c r="I1977" s="3">
        <v>2025</v>
      </c>
      <c r="J1977" s="3" t="str">
        <f>CONCATENATE("54820171160")</f>
        <v>54820171160</v>
      </c>
      <c r="K1977" s="3" t="s">
        <v>33</v>
      </c>
      <c r="L1977" s="3"/>
      <c r="M1977" s="3" t="s">
        <v>131</v>
      </c>
      <c r="N1977" s="3" t="str">
        <f>CONCATENATE("TTVMRC84S07D451E")</f>
        <v>TTVMRC84S07D451E</v>
      </c>
      <c r="O1977" s="3" t="s">
        <v>2108</v>
      </c>
      <c r="P1977" s="3" t="s">
        <v>36</v>
      </c>
      <c r="Q1977" s="3"/>
      <c r="R1977" s="4">
        <v>45996</v>
      </c>
      <c r="S1977" s="3" t="s">
        <v>37</v>
      </c>
      <c r="T1977" s="3" t="s">
        <v>38</v>
      </c>
      <c r="U1977" s="3" t="s">
        <v>39</v>
      </c>
      <c r="V1977" s="3">
        <v>378.65</v>
      </c>
      <c r="W1977" s="3">
        <v>160.93</v>
      </c>
      <c r="X1977" s="3">
        <v>152.41</v>
      </c>
      <c r="Y1977" s="3">
        <v>65.31</v>
      </c>
    </row>
    <row r="1978" spans="1:25" ht="60.75" x14ac:dyDescent="0.25">
      <c r="A1978" s="3" t="s">
        <v>26</v>
      </c>
      <c r="B1978" s="3" t="s">
        <v>27</v>
      </c>
      <c r="C1978" s="3" t="s">
        <v>28</v>
      </c>
      <c r="D1978" s="3" t="s">
        <v>50</v>
      </c>
      <c r="E1978" s="3" t="s">
        <v>147</v>
      </c>
      <c r="F1978" s="3" t="s">
        <v>52</v>
      </c>
      <c r="G1978" s="3" t="s">
        <v>147</v>
      </c>
      <c r="H1978" s="3" t="s">
        <v>45</v>
      </c>
      <c r="I1978" s="3">
        <v>2025</v>
      </c>
      <c r="J1978" s="3" t="str">
        <f>CONCATENATE("54820106240")</f>
        <v>54820106240</v>
      </c>
      <c r="K1978" s="3" t="s">
        <v>33</v>
      </c>
      <c r="L1978" s="3"/>
      <c r="M1978" s="3" t="s">
        <v>131</v>
      </c>
      <c r="N1978" s="3" t="str">
        <f>CONCATENATE("SLVFNC57L03L500M")</f>
        <v>SLVFNC57L03L500M</v>
      </c>
      <c r="O1978" s="3" t="s">
        <v>2109</v>
      </c>
      <c r="P1978" s="3" t="s">
        <v>36</v>
      </c>
      <c r="Q1978" s="3"/>
      <c r="R1978" s="4">
        <v>45996</v>
      </c>
      <c r="S1978" s="3" t="s">
        <v>37</v>
      </c>
      <c r="T1978" s="3" t="s">
        <v>38</v>
      </c>
      <c r="U1978" s="3" t="s">
        <v>39</v>
      </c>
      <c r="V1978" s="3">
        <v>616.26</v>
      </c>
      <c r="W1978" s="3">
        <v>261.91000000000003</v>
      </c>
      <c r="X1978" s="3">
        <v>248.04</v>
      </c>
      <c r="Y1978" s="3">
        <v>106.31</v>
      </c>
    </row>
    <row r="1979" spans="1:25" ht="60.75" x14ac:dyDescent="0.25">
      <c r="A1979" s="3" t="s">
        <v>26</v>
      </c>
      <c r="B1979" s="3" t="s">
        <v>27</v>
      </c>
      <c r="C1979" s="3" t="s">
        <v>28</v>
      </c>
      <c r="D1979" s="3" t="s">
        <v>29</v>
      </c>
      <c r="E1979" s="3" t="s">
        <v>47</v>
      </c>
      <c r="F1979" s="3" t="s">
        <v>31</v>
      </c>
      <c r="G1979" s="3" t="s">
        <v>47</v>
      </c>
      <c r="H1979" s="3" t="s">
        <v>48</v>
      </c>
      <c r="I1979" s="3">
        <v>2025</v>
      </c>
      <c r="J1979" s="3" t="str">
        <f>CONCATENATE("54820134150")</f>
        <v>54820134150</v>
      </c>
      <c r="K1979" s="3" t="s">
        <v>33</v>
      </c>
      <c r="L1979" s="3"/>
      <c r="M1979" s="3" t="s">
        <v>131</v>
      </c>
      <c r="N1979" s="3" t="str">
        <f>CONCATENATE("PRRRLD60D19C524S")</f>
        <v>PRRRLD60D19C524S</v>
      </c>
      <c r="O1979" s="3" t="s">
        <v>2110</v>
      </c>
      <c r="P1979" s="3" t="s">
        <v>36</v>
      </c>
      <c r="Q1979" s="3"/>
      <c r="R1979" s="4">
        <v>45996</v>
      </c>
      <c r="S1979" s="3" t="s">
        <v>37</v>
      </c>
      <c r="T1979" s="3" t="s">
        <v>38</v>
      </c>
      <c r="U1979" s="3" t="s">
        <v>39</v>
      </c>
      <c r="V1979" s="3">
        <v>356.12</v>
      </c>
      <c r="W1979" s="3">
        <v>151.35</v>
      </c>
      <c r="X1979" s="3">
        <v>143.34</v>
      </c>
      <c r="Y1979" s="3">
        <v>61.43</v>
      </c>
    </row>
    <row r="1980" spans="1:25" ht="60.75" x14ac:dyDescent="0.25">
      <c r="A1980" s="3" t="s">
        <v>26</v>
      </c>
      <c r="B1980" s="3" t="s">
        <v>27</v>
      </c>
      <c r="C1980" s="3" t="s">
        <v>28</v>
      </c>
      <c r="D1980" s="3" t="s">
        <v>29</v>
      </c>
      <c r="E1980" s="3" t="s">
        <v>228</v>
      </c>
      <c r="F1980" s="3" t="s">
        <v>31</v>
      </c>
      <c r="G1980" s="3" t="s">
        <v>228</v>
      </c>
      <c r="H1980" s="3" t="s">
        <v>45</v>
      </c>
      <c r="I1980" s="3">
        <v>2025</v>
      </c>
      <c r="J1980" s="3" t="str">
        <f>CONCATENATE("54820170923")</f>
        <v>54820170923</v>
      </c>
      <c r="K1980" s="3" t="s">
        <v>33</v>
      </c>
      <c r="L1980" s="3"/>
      <c r="M1980" s="3" t="s">
        <v>131</v>
      </c>
      <c r="N1980" s="3" t="str">
        <f>CONCATENATE("KLNSNS66B60Z112S")</f>
        <v>KLNSNS66B60Z112S</v>
      </c>
      <c r="O1980" s="3" t="s">
        <v>2111</v>
      </c>
      <c r="P1980" s="3" t="s">
        <v>36</v>
      </c>
      <c r="Q1980" s="3"/>
      <c r="R1980" s="4">
        <v>45996</v>
      </c>
      <c r="S1980" s="3" t="s">
        <v>37</v>
      </c>
      <c r="T1980" s="3" t="s">
        <v>38</v>
      </c>
      <c r="U1980" s="3" t="s">
        <v>39</v>
      </c>
      <c r="V1980" s="3">
        <v>471.1</v>
      </c>
      <c r="W1980" s="3">
        <v>200.22</v>
      </c>
      <c r="X1980" s="3">
        <v>189.62</v>
      </c>
      <c r="Y1980" s="3">
        <v>81.260000000000005</v>
      </c>
    </row>
    <row r="1981" spans="1:25" ht="60.75" x14ac:dyDescent="0.25">
      <c r="A1981" s="3" t="s">
        <v>26</v>
      </c>
      <c r="B1981" s="3" t="s">
        <v>27</v>
      </c>
      <c r="C1981" s="3" t="s">
        <v>28</v>
      </c>
      <c r="D1981" s="3" t="s">
        <v>40</v>
      </c>
      <c r="E1981" s="3" t="s">
        <v>287</v>
      </c>
      <c r="F1981" s="3" t="s">
        <v>42</v>
      </c>
      <c r="G1981" s="3" t="s">
        <v>287</v>
      </c>
      <c r="H1981" s="3" t="s">
        <v>32</v>
      </c>
      <c r="I1981" s="3">
        <v>2025</v>
      </c>
      <c r="J1981" s="3" t="str">
        <f>CONCATENATE("54820061650")</f>
        <v>54820061650</v>
      </c>
      <c r="K1981" s="3" t="s">
        <v>33</v>
      </c>
      <c r="L1981" s="3"/>
      <c r="M1981" s="3" t="s">
        <v>131</v>
      </c>
      <c r="N1981" s="3" t="str">
        <f>CONCATENATE("MRZPQL53C12L517D")</f>
        <v>MRZPQL53C12L517D</v>
      </c>
      <c r="O1981" s="3" t="s">
        <v>2112</v>
      </c>
      <c r="P1981" s="3" t="s">
        <v>36</v>
      </c>
      <c r="Q1981" s="3"/>
      <c r="R1981" s="4">
        <v>45996</v>
      </c>
      <c r="S1981" s="3" t="s">
        <v>37</v>
      </c>
      <c r="T1981" s="3" t="s">
        <v>38</v>
      </c>
      <c r="U1981" s="3" t="s">
        <v>39</v>
      </c>
      <c r="V1981" s="3">
        <v>666.1</v>
      </c>
      <c r="W1981" s="3">
        <v>283.08999999999997</v>
      </c>
      <c r="X1981" s="3">
        <v>268.11</v>
      </c>
      <c r="Y1981" s="3">
        <v>114.9</v>
      </c>
    </row>
    <row r="1982" spans="1:25" ht="60.75" x14ac:dyDescent="0.25">
      <c r="A1982" s="3" t="s">
        <v>26</v>
      </c>
      <c r="B1982" s="3" t="s">
        <v>27</v>
      </c>
      <c r="C1982" s="3" t="s">
        <v>28</v>
      </c>
      <c r="D1982" s="3" t="s">
        <v>50</v>
      </c>
      <c r="E1982" s="3" t="s">
        <v>60</v>
      </c>
      <c r="F1982" s="3" t="s">
        <v>52</v>
      </c>
      <c r="G1982" s="3" t="s">
        <v>60</v>
      </c>
      <c r="H1982" s="3" t="s">
        <v>45</v>
      </c>
      <c r="I1982" s="3">
        <v>2025</v>
      </c>
      <c r="J1982" s="3" t="str">
        <f>CONCATENATE("54820110820")</f>
        <v>54820110820</v>
      </c>
      <c r="K1982" s="3" t="s">
        <v>33</v>
      </c>
      <c r="L1982" s="3"/>
      <c r="M1982" s="3" t="s">
        <v>131</v>
      </c>
      <c r="N1982" s="3" t="str">
        <f>CONCATENATE("MRTRTI54A61B636Q")</f>
        <v>MRTRTI54A61B636Q</v>
      </c>
      <c r="O1982" s="3" t="s">
        <v>2113</v>
      </c>
      <c r="P1982" s="3" t="s">
        <v>36</v>
      </c>
      <c r="Q1982" s="3"/>
      <c r="R1982" s="4">
        <v>45996</v>
      </c>
      <c r="S1982" s="3" t="s">
        <v>37</v>
      </c>
      <c r="T1982" s="3" t="s">
        <v>38</v>
      </c>
      <c r="U1982" s="3" t="s">
        <v>39</v>
      </c>
      <c r="V1982" s="3">
        <v>548.80999999999995</v>
      </c>
      <c r="W1982" s="3">
        <v>233.24</v>
      </c>
      <c r="X1982" s="3">
        <v>220.9</v>
      </c>
      <c r="Y1982" s="3">
        <v>94.67</v>
      </c>
    </row>
    <row r="1983" spans="1:25" ht="60.75" x14ac:dyDescent="0.25">
      <c r="A1983" s="3" t="s">
        <v>26</v>
      </c>
      <c r="B1983" s="3" t="s">
        <v>27</v>
      </c>
      <c r="C1983" s="3" t="s">
        <v>28</v>
      </c>
      <c r="D1983" s="3" t="s">
        <v>50</v>
      </c>
      <c r="E1983" s="3" t="s">
        <v>147</v>
      </c>
      <c r="F1983" s="3" t="s">
        <v>52</v>
      </c>
      <c r="G1983" s="3" t="s">
        <v>147</v>
      </c>
      <c r="H1983" s="3" t="s">
        <v>45</v>
      </c>
      <c r="I1983" s="3">
        <v>2025</v>
      </c>
      <c r="J1983" s="3" t="str">
        <f>CONCATENATE("54820113972")</f>
        <v>54820113972</v>
      </c>
      <c r="K1983" s="3" t="s">
        <v>33</v>
      </c>
      <c r="L1983" s="3"/>
      <c r="M1983" s="3" t="s">
        <v>131</v>
      </c>
      <c r="N1983" s="3" t="str">
        <f>CONCATENATE("DMNDNI47D16F567U")</f>
        <v>DMNDNI47D16F567U</v>
      </c>
      <c r="O1983" s="3" t="s">
        <v>2114</v>
      </c>
      <c r="P1983" s="3" t="s">
        <v>36</v>
      </c>
      <c r="Q1983" s="3"/>
      <c r="R1983" s="4">
        <v>45996</v>
      </c>
      <c r="S1983" s="3" t="s">
        <v>37</v>
      </c>
      <c r="T1983" s="3" t="s">
        <v>38</v>
      </c>
      <c r="U1983" s="3" t="s">
        <v>39</v>
      </c>
      <c r="V1983" s="3">
        <v>773.28</v>
      </c>
      <c r="W1983" s="3">
        <v>328.64</v>
      </c>
      <c r="X1983" s="3">
        <v>311.25</v>
      </c>
      <c r="Y1983" s="3">
        <v>133.38999999999999</v>
      </c>
    </row>
    <row r="1984" spans="1:25" ht="36.75" x14ac:dyDescent="0.25">
      <c r="A1984" s="3" t="s">
        <v>26</v>
      </c>
      <c r="B1984" s="3" t="s">
        <v>27</v>
      </c>
      <c r="C1984" s="3" t="s">
        <v>28</v>
      </c>
      <c r="D1984" s="3" t="s">
        <v>91</v>
      </c>
      <c r="E1984" s="3" t="s">
        <v>522</v>
      </c>
      <c r="F1984" s="3" t="s">
        <v>93</v>
      </c>
      <c r="G1984" s="3" t="s">
        <v>522</v>
      </c>
      <c r="H1984" s="3" t="s">
        <v>32</v>
      </c>
      <c r="I1984" s="3">
        <v>2025</v>
      </c>
      <c r="J1984" s="3" t="str">
        <f>CONCATENATE("54820117346")</f>
        <v>54820117346</v>
      </c>
      <c r="K1984" s="3" t="s">
        <v>33</v>
      </c>
      <c r="L1984" s="3"/>
      <c r="M1984" s="3" t="s">
        <v>131</v>
      </c>
      <c r="N1984" s="3" t="str">
        <f>CONCATENATE("01340420437")</f>
        <v>01340420437</v>
      </c>
      <c r="O1984" s="3" t="s">
        <v>2115</v>
      </c>
      <c r="P1984" s="3" t="s">
        <v>36</v>
      </c>
      <c r="Q1984" s="3"/>
      <c r="R1984" s="4">
        <v>45996</v>
      </c>
      <c r="S1984" s="3" t="s">
        <v>37</v>
      </c>
      <c r="T1984" s="3" t="s">
        <v>38</v>
      </c>
      <c r="U1984" s="3" t="s">
        <v>39</v>
      </c>
      <c r="V1984" s="5">
        <v>1054.68</v>
      </c>
      <c r="W1984" s="3">
        <v>448.24</v>
      </c>
      <c r="X1984" s="3">
        <v>424.51</v>
      </c>
      <c r="Y1984" s="3">
        <v>181.93</v>
      </c>
    </row>
    <row r="1985" spans="1:25" ht="60.75" x14ac:dyDescent="0.25">
      <c r="A1985" s="3" t="s">
        <v>26</v>
      </c>
      <c r="B1985" s="3" t="s">
        <v>27</v>
      </c>
      <c r="C1985" s="3" t="s">
        <v>28</v>
      </c>
      <c r="D1985" s="3" t="s">
        <v>50</v>
      </c>
      <c r="E1985" s="3" t="s">
        <v>60</v>
      </c>
      <c r="F1985" s="3" t="s">
        <v>52</v>
      </c>
      <c r="G1985" s="3" t="s">
        <v>60</v>
      </c>
      <c r="H1985" s="3" t="s">
        <v>45</v>
      </c>
      <c r="I1985" s="3">
        <v>2025</v>
      </c>
      <c r="J1985" s="3" t="str">
        <f>CONCATENATE("54820168323")</f>
        <v>54820168323</v>
      </c>
      <c r="K1985" s="3" t="s">
        <v>33</v>
      </c>
      <c r="L1985" s="3"/>
      <c r="M1985" s="3" t="s">
        <v>131</v>
      </c>
      <c r="N1985" s="3" t="str">
        <f>CONCATENATE("RBNRRT70L29C745X")</f>
        <v>RBNRRT70L29C745X</v>
      </c>
      <c r="O1985" s="3" t="s">
        <v>2116</v>
      </c>
      <c r="P1985" s="3" t="s">
        <v>36</v>
      </c>
      <c r="Q1985" s="3"/>
      <c r="R1985" s="4">
        <v>45996</v>
      </c>
      <c r="S1985" s="3" t="s">
        <v>37</v>
      </c>
      <c r="T1985" s="3" t="s">
        <v>38</v>
      </c>
      <c r="U1985" s="3" t="s">
        <v>39</v>
      </c>
      <c r="V1985" s="3">
        <v>155.59</v>
      </c>
      <c r="W1985" s="3">
        <v>66.13</v>
      </c>
      <c r="X1985" s="3">
        <v>62.62</v>
      </c>
      <c r="Y1985" s="3">
        <v>26.84</v>
      </c>
    </row>
    <row r="1986" spans="1:25" ht="60.75" x14ac:dyDescent="0.25">
      <c r="A1986" s="3" t="s">
        <v>26</v>
      </c>
      <c r="B1986" s="3" t="s">
        <v>27</v>
      </c>
      <c r="C1986" s="3" t="s">
        <v>28</v>
      </c>
      <c r="D1986" s="3" t="s">
        <v>50</v>
      </c>
      <c r="E1986" s="3" t="s">
        <v>173</v>
      </c>
      <c r="F1986" s="3" t="s">
        <v>52</v>
      </c>
      <c r="G1986" s="3" t="s">
        <v>173</v>
      </c>
      <c r="H1986" s="3" t="s">
        <v>45</v>
      </c>
      <c r="I1986" s="3">
        <v>2025</v>
      </c>
      <c r="J1986" s="3" t="str">
        <f>CONCATENATE("54820104427")</f>
        <v>54820104427</v>
      </c>
      <c r="K1986" s="3" t="s">
        <v>33</v>
      </c>
      <c r="L1986" s="3"/>
      <c r="M1986" s="3" t="s">
        <v>131</v>
      </c>
      <c r="N1986" s="3" t="str">
        <f>CONCATENATE("LVNGBR66B04I459L")</f>
        <v>LVNGBR66B04I459L</v>
      </c>
      <c r="O1986" s="3" t="s">
        <v>2117</v>
      </c>
      <c r="P1986" s="3" t="s">
        <v>36</v>
      </c>
      <c r="Q1986" s="3"/>
      <c r="R1986" s="4">
        <v>45996</v>
      </c>
      <c r="S1986" s="3" t="s">
        <v>37</v>
      </c>
      <c r="T1986" s="3" t="s">
        <v>38</v>
      </c>
      <c r="U1986" s="3" t="s">
        <v>39</v>
      </c>
      <c r="V1986" s="3">
        <v>200.82</v>
      </c>
      <c r="W1986" s="3">
        <v>85.35</v>
      </c>
      <c r="X1986" s="3">
        <v>80.83</v>
      </c>
      <c r="Y1986" s="3">
        <v>34.64</v>
      </c>
    </row>
    <row r="1987" spans="1:25" ht="36.75" x14ac:dyDescent="0.25">
      <c r="A1987" s="3" t="s">
        <v>26</v>
      </c>
      <c r="B1987" s="3" t="s">
        <v>27</v>
      </c>
      <c r="C1987" s="3" t="s">
        <v>28</v>
      </c>
      <c r="D1987" s="3" t="s">
        <v>50</v>
      </c>
      <c r="E1987" s="3" t="s">
        <v>290</v>
      </c>
      <c r="F1987" s="3" t="s">
        <v>52</v>
      </c>
      <c r="G1987" s="3" t="s">
        <v>290</v>
      </c>
      <c r="H1987" s="3" t="s">
        <v>96</v>
      </c>
      <c r="I1987" s="3">
        <v>2025</v>
      </c>
      <c r="J1987" s="3" t="str">
        <f>CONCATENATE("54820231469")</f>
        <v>54820231469</v>
      </c>
      <c r="K1987" s="3" t="s">
        <v>33</v>
      </c>
      <c r="L1987" s="3"/>
      <c r="M1987" s="3" t="s">
        <v>131</v>
      </c>
      <c r="N1987" s="3" t="str">
        <f>CONCATENATE("02312910447")</f>
        <v>02312910447</v>
      </c>
      <c r="O1987" s="3" t="s">
        <v>2118</v>
      </c>
      <c r="P1987" s="3" t="s">
        <v>36</v>
      </c>
      <c r="Q1987" s="3"/>
      <c r="R1987" s="4">
        <v>45996</v>
      </c>
      <c r="S1987" s="3" t="s">
        <v>37</v>
      </c>
      <c r="T1987" s="3" t="s">
        <v>38</v>
      </c>
      <c r="U1987" s="3" t="s">
        <v>39</v>
      </c>
      <c r="V1987" s="3">
        <v>547.1</v>
      </c>
      <c r="W1987" s="3">
        <v>232.52</v>
      </c>
      <c r="X1987" s="3">
        <v>220.21</v>
      </c>
      <c r="Y1987" s="3">
        <v>94.37</v>
      </c>
    </row>
    <row r="1988" spans="1:25" ht="60.75" x14ac:dyDescent="0.25">
      <c r="A1988" s="3" t="s">
        <v>26</v>
      </c>
      <c r="B1988" s="3" t="s">
        <v>27</v>
      </c>
      <c r="C1988" s="3" t="s">
        <v>28</v>
      </c>
      <c r="D1988" s="3" t="s">
        <v>29</v>
      </c>
      <c r="E1988" s="3" t="s">
        <v>101</v>
      </c>
      <c r="F1988" s="3" t="s">
        <v>31</v>
      </c>
      <c r="G1988" s="3" t="s">
        <v>101</v>
      </c>
      <c r="H1988" s="3" t="s">
        <v>32</v>
      </c>
      <c r="I1988" s="3">
        <v>2025</v>
      </c>
      <c r="J1988" s="3" t="str">
        <f>CONCATENATE("54820175898")</f>
        <v>54820175898</v>
      </c>
      <c r="K1988" s="3" t="s">
        <v>33</v>
      </c>
      <c r="L1988" s="3"/>
      <c r="M1988" s="3" t="s">
        <v>131</v>
      </c>
      <c r="N1988" s="3" t="str">
        <f>CONCATENATE("MRCSVN52P68B562T")</f>
        <v>MRCSVN52P68B562T</v>
      </c>
      <c r="O1988" s="3" t="s">
        <v>2119</v>
      </c>
      <c r="P1988" s="3" t="s">
        <v>36</v>
      </c>
      <c r="Q1988" s="3"/>
      <c r="R1988" s="4">
        <v>45996</v>
      </c>
      <c r="S1988" s="3" t="s">
        <v>37</v>
      </c>
      <c r="T1988" s="3" t="s">
        <v>38</v>
      </c>
      <c r="U1988" s="3" t="s">
        <v>39</v>
      </c>
      <c r="V1988" s="3">
        <v>55.08</v>
      </c>
      <c r="W1988" s="3">
        <v>23.41</v>
      </c>
      <c r="X1988" s="3">
        <v>22.17</v>
      </c>
      <c r="Y1988" s="3">
        <v>9.5</v>
      </c>
    </row>
    <row r="1989" spans="1:25" ht="60.75" x14ac:dyDescent="0.25">
      <c r="A1989" s="3" t="s">
        <v>26</v>
      </c>
      <c r="B1989" s="3" t="s">
        <v>27</v>
      </c>
      <c r="C1989" s="3" t="s">
        <v>28</v>
      </c>
      <c r="D1989" s="3" t="s">
        <v>50</v>
      </c>
      <c r="E1989" s="3" t="s">
        <v>51</v>
      </c>
      <c r="F1989" s="3" t="s">
        <v>52</v>
      </c>
      <c r="G1989" s="3" t="s">
        <v>51</v>
      </c>
      <c r="H1989" s="3" t="s">
        <v>48</v>
      </c>
      <c r="I1989" s="3">
        <v>2025</v>
      </c>
      <c r="J1989" s="3" t="str">
        <f>CONCATENATE("54820237821")</f>
        <v>54820237821</v>
      </c>
      <c r="K1989" s="3" t="s">
        <v>33</v>
      </c>
      <c r="L1989" s="3"/>
      <c r="M1989" s="3" t="s">
        <v>131</v>
      </c>
      <c r="N1989" s="3" t="str">
        <f>CONCATENATE("FMSFPP92P08A475E")</f>
        <v>FMSFPP92P08A475E</v>
      </c>
      <c r="O1989" s="3" t="s">
        <v>2120</v>
      </c>
      <c r="P1989" s="3" t="s">
        <v>36</v>
      </c>
      <c r="Q1989" s="3"/>
      <c r="R1989" s="4">
        <v>45996</v>
      </c>
      <c r="S1989" s="3" t="s">
        <v>37</v>
      </c>
      <c r="T1989" s="3" t="s">
        <v>38</v>
      </c>
      <c r="U1989" s="3" t="s">
        <v>39</v>
      </c>
      <c r="V1989" s="3">
        <v>969.49</v>
      </c>
      <c r="W1989" s="3">
        <v>412.03</v>
      </c>
      <c r="X1989" s="3">
        <v>390.22</v>
      </c>
      <c r="Y1989" s="3">
        <v>167.24</v>
      </c>
    </row>
    <row r="1990" spans="1:25" ht="60.75" x14ac:dyDescent="0.25">
      <c r="A1990" s="3" t="s">
        <v>26</v>
      </c>
      <c r="B1990" s="3" t="s">
        <v>27</v>
      </c>
      <c r="C1990" s="3" t="s">
        <v>28</v>
      </c>
      <c r="D1990" s="3" t="s">
        <v>50</v>
      </c>
      <c r="E1990" s="3" t="s">
        <v>60</v>
      </c>
      <c r="F1990" s="3" t="s">
        <v>52</v>
      </c>
      <c r="G1990" s="3" t="s">
        <v>60</v>
      </c>
      <c r="H1990" s="3" t="s">
        <v>45</v>
      </c>
      <c r="I1990" s="3">
        <v>2025</v>
      </c>
      <c r="J1990" s="3" t="str">
        <f>CONCATENATE("54820094636")</f>
        <v>54820094636</v>
      </c>
      <c r="K1990" s="3" t="s">
        <v>33</v>
      </c>
      <c r="L1990" s="3"/>
      <c r="M1990" s="3" t="s">
        <v>131</v>
      </c>
      <c r="N1990" s="3" t="str">
        <f>CONCATENATE("BRLRTI51E62I654B")</f>
        <v>BRLRTI51E62I654B</v>
      </c>
      <c r="O1990" s="3" t="s">
        <v>2121</v>
      </c>
      <c r="P1990" s="3" t="s">
        <v>36</v>
      </c>
      <c r="Q1990" s="3"/>
      <c r="R1990" s="4">
        <v>45996</v>
      </c>
      <c r="S1990" s="3" t="s">
        <v>37</v>
      </c>
      <c r="T1990" s="3" t="s">
        <v>38</v>
      </c>
      <c r="U1990" s="3" t="s">
        <v>39</v>
      </c>
      <c r="V1990" s="3">
        <v>92.09</v>
      </c>
      <c r="W1990" s="3">
        <v>39.14</v>
      </c>
      <c r="X1990" s="3">
        <v>37.07</v>
      </c>
      <c r="Y1990" s="3">
        <v>15.88</v>
      </c>
    </row>
    <row r="1991" spans="1:25" ht="60.75" x14ac:dyDescent="0.25">
      <c r="A1991" s="3" t="s">
        <v>26</v>
      </c>
      <c r="B1991" s="3" t="s">
        <v>27</v>
      </c>
      <c r="C1991" s="3" t="s">
        <v>28</v>
      </c>
      <c r="D1991" s="3" t="s">
        <v>29</v>
      </c>
      <c r="E1991" s="3" t="s">
        <v>136</v>
      </c>
      <c r="F1991" s="3" t="s">
        <v>31</v>
      </c>
      <c r="G1991" s="3" t="s">
        <v>136</v>
      </c>
      <c r="H1991" s="3" t="s">
        <v>48</v>
      </c>
      <c r="I1991" s="3">
        <v>2025</v>
      </c>
      <c r="J1991" s="3" t="str">
        <f>CONCATENATE("54820176136")</f>
        <v>54820176136</v>
      </c>
      <c r="K1991" s="3" t="s">
        <v>33</v>
      </c>
      <c r="L1991" s="3"/>
      <c r="M1991" s="3" t="s">
        <v>131</v>
      </c>
      <c r="N1991" s="3" t="str">
        <f>CONCATENATE("SMRLCN70D07I461V")</f>
        <v>SMRLCN70D07I461V</v>
      </c>
      <c r="O1991" s="3" t="s">
        <v>2122</v>
      </c>
      <c r="P1991" s="3" t="s">
        <v>36</v>
      </c>
      <c r="Q1991" s="3"/>
      <c r="R1991" s="4">
        <v>45996</v>
      </c>
      <c r="S1991" s="3" t="s">
        <v>37</v>
      </c>
      <c r="T1991" s="3" t="s">
        <v>38</v>
      </c>
      <c r="U1991" s="3" t="s">
        <v>39</v>
      </c>
      <c r="V1991" s="3">
        <v>233.67</v>
      </c>
      <c r="W1991" s="3">
        <v>99.31</v>
      </c>
      <c r="X1991" s="3">
        <v>94.05</v>
      </c>
      <c r="Y1991" s="3">
        <v>40.31</v>
      </c>
    </row>
    <row r="1992" spans="1:25" ht="60.75" x14ac:dyDescent="0.25">
      <c r="A1992" s="3" t="s">
        <v>26</v>
      </c>
      <c r="B1992" s="3" t="s">
        <v>27</v>
      </c>
      <c r="C1992" s="3" t="s">
        <v>28</v>
      </c>
      <c r="D1992" s="3" t="s">
        <v>29</v>
      </c>
      <c r="E1992" s="3" t="s">
        <v>119</v>
      </c>
      <c r="F1992" s="3" t="s">
        <v>31</v>
      </c>
      <c r="G1992" s="3" t="s">
        <v>119</v>
      </c>
      <c r="H1992" s="3" t="s">
        <v>96</v>
      </c>
      <c r="I1992" s="3">
        <v>2025</v>
      </c>
      <c r="J1992" s="3" t="str">
        <f>CONCATENATE("54820021720")</f>
        <v>54820021720</v>
      </c>
      <c r="K1992" s="3" t="s">
        <v>33</v>
      </c>
      <c r="L1992" s="3"/>
      <c r="M1992" s="3" t="s">
        <v>131</v>
      </c>
      <c r="N1992" s="3" t="str">
        <f>CONCATENATE("PCTCRD66C11E783R")</f>
        <v>PCTCRD66C11E783R</v>
      </c>
      <c r="O1992" s="3" t="s">
        <v>2123</v>
      </c>
      <c r="P1992" s="3" t="s">
        <v>36</v>
      </c>
      <c r="Q1992" s="3"/>
      <c r="R1992" s="4">
        <v>45996</v>
      </c>
      <c r="S1992" s="3" t="s">
        <v>37</v>
      </c>
      <c r="T1992" s="3" t="s">
        <v>38</v>
      </c>
      <c r="U1992" s="3" t="s">
        <v>39</v>
      </c>
      <c r="V1992" s="3">
        <v>190.58</v>
      </c>
      <c r="W1992" s="3">
        <v>81</v>
      </c>
      <c r="X1992" s="3">
        <v>76.709999999999994</v>
      </c>
      <c r="Y1992" s="3">
        <v>32.869999999999997</v>
      </c>
    </row>
    <row r="1993" spans="1:25" ht="60.75" x14ac:dyDescent="0.25">
      <c r="A1993" s="3" t="s">
        <v>26</v>
      </c>
      <c r="B1993" s="3" t="s">
        <v>27</v>
      </c>
      <c r="C1993" s="3" t="s">
        <v>28</v>
      </c>
      <c r="D1993" s="3" t="s">
        <v>29</v>
      </c>
      <c r="E1993" s="3" t="s">
        <v>101</v>
      </c>
      <c r="F1993" s="3" t="s">
        <v>31</v>
      </c>
      <c r="G1993" s="3" t="s">
        <v>101</v>
      </c>
      <c r="H1993" s="3" t="s">
        <v>32</v>
      </c>
      <c r="I1993" s="3">
        <v>2025</v>
      </c>
      <c r="J1993" s="3" t="str">
        <f>CONCATENATE("54820208731")</f>
        <v>54820208731</v>
      </c>
      <c r="K1993" s="3" t="s">
        <v>33</v>
      </c>
      <c r="L1993" s="3"/>
      <c r="M1993" s="3" t="s">
        <v>131</v>
      </c>
      <c r="N1993" s="3" t="str">
        <f>CONCATENATE("MRCGNN54C11B562X")</f>
        <v>MRCGNN54C11B562X</v>
      </c>
      <c r="O1993" s="3" t="s">
        <v>2124</v>
      </c>
      <c r="P1993" s="3" t="s">
        <v>36</v>
      </c>
      <c r="Q1993" s="3"/>
      <c r="R1993" s="4">
        <v>45996</v>
      </c>
      <c r="S1993" s="3" t="s">
        <v>37</v>
      </c>
      <c r="T1993" s="3" t="s">
        <v>38</v>
      </c>
      <c r="U1993" s="3" t="s">
        <v>39</v>
      </c>
      <c r="V1993" s="3">
        <v>177.93</v>
      </c>
      <c r="W1993" s="3">
        <v>75.62</v>
      </c>
      <c r="X1993" s="3">
        <v>71.62</v>
      </c>
      <c r="Y1993" s="3">
        <v>30.69</v>
      </c>
    </row>
    <row r="1994" spans="1:25" ht="72.75" x14ac:dyDescent="0.25">
      <c r="A1994" s="3" t="s">
        <v>26</v>
      </c>
      <c r="B1994" s="3" t="s">
        <v>27</v>
      </c>
      <c r="C1994" s="3" t="s">
        <v>28</v>
      </c>
      <c r="D1994" s="3" t="s">
        <v>29</v>
      </c>
      <c r="E1994" s="3" t="s">
        <v>72</v>
      </c>
      <c r="F1994" s="3" t="s">
        <v>31</v>
      </c>
      <c r="G1994" s="3" t="s">
        <v>72</v>
      </c>
      <c r="H1994" s="3" t="s">
        <v>45</v>
      </c>
      <c r="I1994" s="3">
        <v>2025</v>
      </c>
      <c r="J1994" s="3" t="str">
        <f>CONCATENATE("54820028741")</f>
        <v>54820028741</v>
      </c>
      <c r="K1994" s="3" t="s">
        <v>33</v>
      </c>
      <c r="L1994" s="3"/>
      <c r="M1994" s="3" t="s">
        <v>131</v>
      </c>
      <c r="N1994" s="3" t="str">
        <f>CONCATENATE("PRFBLD57H28B352N")</f>
        <v>PRFBLD57H28B352N</v>
      </c>
      <c r="O1994" s="3" t="s">
        <v>2125</v>
      </c>
      <c r="P1994" s="3" t="s">
        <v>36</v>
      </c>
      <c r="Q1994" s="3"/>
      <c r="R1994" s="4">
        <v>45996</v>
      </c>
      <c r="S1994" s="3" t="s">
        <v>37</v>
      </c>
      <c r="T1994" s="3" t="s">
        <v>38</v>
      </c>
      <c r="U1994" s="3" t="s">
        <v>39</v>
      </c>
      <c r="V1994" s="3">
        <v>70.209999999999994</v>
      </c>
      <c r="W1994" s="3">
        <v>29.84</v>
      </c>
      <c r="X1994" s="3">
        <v>28.26</v>
      </c>
      <c r="Y1994" s="3">
        <v>12.11</v>
      </c>
    </row>
    <row r="1995" spans="1:25" ht="60.75" x14ac:dyDescent="0.25">
      <c r="A1995" s="3" t="s">
        <v>26</v>
      </c>
      <c r="B1995" s="3" t="s">
        <v>27</v>
      </c>
      <c r="C1995" s="3" t="s">
        <v>28</v>
      </c>
      <c r="D1995" s="3" t="s">
        <v>50</v>
      </c>
      <c r="E1995" s="3" t="s">
        <v>147</v>
      </c>
      <c r="F1995" s="3" t="s">
        <v>52</v>
      </c>
      <c r="G1995" s="3" t="s">
        <v>147</v>
      </c>
      <c r="H1995" s="3" t="s">
        <v>45</v>
      </c>
      <c r="I1995" s="3">
        <v>2025</v>
      </c>
      <c r="J1995" s="3" t="str">
        <f>CONCATENATE("54820142864")</f>
        <v>54820142864</v>
      </c>
      <c r="K1995" s="3" t="s">
        <v>33</v>
      </c>
      <c r="L1995" s="3"/>
      <c r="M1995" s="3" t="s">
        <v>131</v>
      </c>
      <c r="N1995" s="3" t="str">
        <f>CONCATENATE("MNZPLA57B56F704O")</f>
        <v>MNZPLA57B56F704O</v>
      </c>
      <c r="O1995" s="3" t="s">
        <v>2126</v>
      </c>
      <c r="P1995" s="3" t="s">
        <v>36</v>
      </c>
      <c r="Q1995" s="3"/>
      <c r="R1995" s="4">
        <v>45996</v>
      </c>
      <c r="S1995" s="3" t="s">
        <v>37</v>
      </c>
      <c r="T1995" s="3" t="s">
        <v>38</v>
      </c>
      <c r="U1995" s="3" t="s">
        <v>39</v>
      </c>
      <c r="V1995" s="3">
        <v>88.37</v>
      </c>
      <c r="W1995" s="3">
        <v>37.56</v>
      </c>
      <c r="X1995" s="3">
        <v>35.57</v>
      </c>
      <c r="Y1995" s="3">
        <v>15.24</v>
      </c>
    </row>
    <row r="1996" spans="1:25" ht="60.75" x14ac:dyDescent="0.25">
      <c r="A1996" s="3" t="s">
        <v>26</v>
      </c>
      <c r="B1996" s="3" t="s">
        <v>27</v>
      </c>
      <c r="C1996" s="3" t="s">
        <v>28</v>
      </c>
      <c r="D1996" s="3" t="s">
        <v>29</v>
      </c>
      <c r="E1996" s="3" t="s">
        <v>119</v>
      </c>
      <c r="F1996" s="3" t="s">
        <v>31</v>
      </c>
      <c r="G1996" s="3" t="s">
        <v>119</v>
      </c>
      <c r="H1996" s="3" t="s">
        <v>96</v>
      </c>
      <c r="I1996" s="3">
        <v>2025</v>
      </c>
      <c r="J1996" s="3" t="str">
        <f>CONCATENATE("54820008834")</f>
        <v>54820008834</v>
      </c>
      <c r="K1996" s="3" t="s">
        <v>33</v>
      </c>
      <c r="L1996" s="3"/>
      <c r="M1996" s="3" t="s">
        <v>131</v>
      </c>
      <c r="N1996" s="3" t="str">
        <f>CONCATENATE("PRGRFL55T02C935W")</f>
        <v>PRGRFL55T02C935W</v>
      </c>
      <c r="O1996" s="3" t="s">
        <v>2127</v>
      </c>
      <c r="P1996" s="3" t="s">
        <v>36</v>
      </c>
      <c r="Q1996" s="3"/>
      <c r="R1996" s="4">
        <v>45996</v>
      </c>
      <c r="S1996" s="3" t="s">
        <v>37</v>
      </c>
      <c r="T1996" s="3" t="s">
        <v>38</v>
      </c>
      <c r="U1996" s="3" t="s">
        <v>39</v>
      </c>
      <c r="V1996" s="3">
        <v>174.61</v>
      </c>
      <c r="W1996" s="3">
        <v>74.209999999999994</v>
      </c>
      <c r="X1996" s="3">
        <v>70.28</v>
      </c>
      <c r="Y1996" s="3">
        <v>30.12</v>
      </c>
    </row>
    <row r="1997" spans="1:25" ht="60.75" x14ac:dyDescent="0.25">
      <c r="A1997" s="3" t="s">
        <v>26</v>
      </c>
      <c r="B1997" s="3" t="s">
        <v>27</v>
      </c>
      <c r="C1997" s="3" t="s">
        <v>28</v>
      </c>
      <c r="D1997" s="3" t="s">
        <v>50</v>
      </c>
      <c r="E1997" s="3" t="s">
        <v>147</v>
      </c>
      <c r="F1997" s="3" t="s">
        <v>52</v>
      </c>
      <c r="G1997" s="3" t="s">
        <v>147</v>
      </c>
      <c r="H1997" s="3" t="s">
        <v>45</v>
      </c>
      <c r="I1997" s="3">
        <v>2025</v>
      </c>
      <c r="J1997" s="3" t="str">
        <f>CONCATENATE("54820168745")</f>
        <v>54820168745</v>
      </c>
      <c r="K1997" s="3" t="s">
        <v>33</v>
      </c>
      <c r="L1997" s="3"/>
      <c r="M1997" s="3" t="s">
        <v>131</v>
      </c>
      <c r="N1997" s="3" t="str">
        <f>CONCATENATE("BDRFLV86B58L500L")</f>
        <v>BDRFLV86B58L500L</v>
      </c>
      <c r="O1997" s="3" t="s">
        <v>2128</v>
      </c>
      <c r="P1997" s="3" t="s">
        <v>36</v>
      </c>
      <c r="Q1997" s="3"/>
      <c r="R1997" s="4">
        <v>45996</v>
      </c>
      <c r="S1997" s="3" t="s">
        <v>37</v>
      </c>
      <c r="T1997" s="3" t="s">
        <v>38</v>
      </c>
      <c r="U1997" s="3" t="s">
        <v>39</v>
      </c>
      <c r="V1997" s="3">
        <v>144.51</v>
      </c>
      <c r="W1997" s="3">
        <v>61.42</v>
      </c>
      <c r="X1997" s="3">
        <v>58.17</v>
      </c>
      <c r="Y1997" s="3">
        <v>24.92</v>
      </c>
    </row>
    <row r="1998" spans="1:25" ht="36.75" x14ac:dyDescent="0.25">
      <c r="A1998" s="3" t="s">
        <v>26</v>
      </c>
      <c r="B1998" s="3" t="s">
        <v>27</v>
      </c>
      <c r="C1998" s="3" t="s">
        <v>28</v>
      </c>
      <c r="D1998" s="3" t="s">
        <v>40</v>
      </c>
      <c r="E1998" s="3" t="s">
        <v>44</v>
      </c>
      <c r="F1998" s="3" t="s">
        <v>42</v>
      </c>
      <c r="G1998" s="3" t="s">
        <v>44</v>
      </c>
      <c r="H1998" s="3" t="s">
        <v>32</v>
      </c>
      <c r="I1998" s="3">
        <v>2025</v>
      </c>
      <c r="J1998" s="3" t="str">
        <f>CONCATENATE("54820016712")</f>
        <v>54820016712</v>
      </c>
      <c r="K1998" s="3" t="s">
        <v>33</v>
      </c>
      <c r="L1998" s="3"/>
      <c r="M1998" s="3" t="s">
        <v>131</v>
      </c>
      <c r="N1998" s="3" t="str">
        <f>CONCATENATE("02005140435")</f>
        <v>02005140435</v>
      </c>
      <c r="O1998" s="3" t="s">
        <v>2129</v>
      </c>
      <c r="P1998" s="3" t="s">
        <v>36</v>
      </c>
      <c r="Q1998" s="3"/>
      <c r="R1998" s="4">
        <v>45996</v>
      </c>
      <c r="S1998" s="3" t="s">
        <v>37</v>
      </c>
      <c r="T1998" s="3" t="s">
        <v>38</v>
      </c>
      <c r="U1998" s="3" t="s">
        <v>39</v>
      </c>
      <c r="V1998" s="3">
        <v>77.45</v>
      </c>
      <c r="W1998" s="3">
        <v>32.92</v>
      </c>
      <c r="X1998" s="3">
        <v>31.17</v>
      </c>
      <c r="Y1998" s="3">
        <v>13.36</v>
      </c>
    </row>
    <row r="1999" spans="1:25" ht="60.75" x14ac:dyDescent="0.25">
      <c r="A1999" s="3" t="s">
        <v>26</v>
      </c>
      <c r="B1999" s="3" t="s">
        <v>27</v>
      </c>
      <c r="C1999" s="3" t="s">
        <v>28</v>
      </c>
      <c r="D1999" s="3" t="s">
        <v>29</v>
      </c>
      <c r="E1999" s="3" t="s">
        <v>228</v>
      </c>
      <c r="F1999" s="3" t="s">
        <v>31</v>
      </c>
      <c r="G1999" s="3" t="s">
        <v>228</v>
      </c>
      <c r="H1999" s="3" t="s">
        <v>45</v>
      </c>
      <c r="I1999" s="3">
        <v>2025</v>
      </c>
      <c r="J1999" s="3" t="str">
        <f>CONCATENATE("54820020342")</f>
        <v>54820020342</v>
      </c>
      <c r="K1999" s="3" t="s">
        <v>33</v>
      </c>
      <c r="L1999" s="3"/>
      <c r="M1999" s="3" t="s">
        <v>131</v>
      </c>
      <c r="N1999" s="3" t="str">
        <f>CONCATENATE("BRTMDL62R56G479T")</f>
        <v>BRTMDL62R56G479T</v>
      </c>
      <c r="O1999" s="3" t="s">
        <v>2130</v>
      </c>
      <c r="P1999" s="3" t="s">
        <v>36</v>
      </c>
      <c r="Q1999" s="3"/>
      <c r="R1999" s="4">
        <v>45996</v>
      </c>
      <c r="S1999" s="3" t="s">
        <v>37</v>
      </c>
      <c r="T1999" s="3" t="s">
        <v>38</v>
      </c>
      <c r="U1999" s="3" t="s">
        <v>39</v>
      </c>
      <c r="V1999" s="3">
        <v>750.62</v>
      </c>
      <c r="W1999" s="3">
        <v>319.01</v>
      </c>
      <c r="X1999" s="3">
        <v>302.12</v>
      </c>
      <c r="Y1999" s="3">
        <v>129.49</v>
      </c>
    </row>
    <row r="2000" spans="1:25" ht="36.75" x14ac:dyDescent="0.25">
      <c r="A2000" s="3" t="s">
        <v>26</v>
      </c>
      <c r="B2000" s="3" t="s">
        <v>27</v>
      </c>
      <c r="C2000" s="3" t="s">
        <v>28</v>
      </c>
      <c r="D2000" s="3" t="s">
        <v>40</v>
      </c>
      <c r="E2000" s="3" t="s">
        <v>54</v>
      </c>
      <c r="F2000" s="3" t="s">
        <v>42</v>
      </c>
      <c r="G2000" s="3" t="s">
        <v>54</v>
      </c>
      <c r="H2000" s="3" t="s">
        <v>45</v>
      </c>
      <c r="I2000" s="3">
        <v>2025</v>
      </c>
      <c r="J2000" s="3" t="str">
        <f>CONCATENATE("54820070891")</f>
        <v>54820070891</v>
      </c>
      <c r="K2000" s="3" t="s">
        <v>33</v>
      </c>
      <c r="L2000" s="3"/>
      <c r="M2000" s="3" t="s">
        <v>131</v>
      </c>
      <c r="N2000" s="3" t="str">
        <f>CONCATENATE("02750380418")</f>
        <v>02750380418</v>
      </c>
      <c r="O2000" s="3" t="s">
        <v>2131</v>
      </c>
      <c r="P2000" s="3" t="s">
        <v>36</v>
      </c>
      <c r="Q2000" s="3"/>
      <c r="R2000" s="4">
        <v>45996</v>
      </c>
      <c r="S2000" s="3" t="s">
        <v>37</v>
      </c>
      <c r="T2000" s="3" t="s">
        <v>38</v>
      </c>
      <c r="U2000" s="3" t="s">
        <v>39</v>
      </c>
      <c r="V2000" s="3">
        <v>335.95</v>
      </c>
      <c r="W2000" s="3">
        <v>142.78</v>
      </c>
      <c r="X2000" s="3">
        <v>135.22</v>
      </c>
      <c r="Y2000" s="3">
        <v>57.95</v>
      </c>
    </row>
    <row r="2001" spans="1:25" ht="60.75" x14ac:dyDescent="0.25">
      <c r="A2001" s="3" t="s">
        <v>26</v>
      </c>
      <c r="B2001" s="3" t="s">
        <v>27</v>
      </c>
      <c r="C2001" s="3" t="s">
        <v>28</v>
      </c>
      <c r="D2001" s="3" t="s">
        <v>50</v>
      </c>
      <c r="E2001" s="3" t="s">
        <v>212</v>
      </c>
      <c r="F2001" s="3" t="s">
        <v>52</v>
      </c>
      <c r="G2001" s="3" t="s">
        <v>212</v>
      </c>
      <c r="H2001" s="3" t="s">
        <v>32</v>
      </c>
      <c r="I2001" s="3">
        <v>2025</v>
      </c>
      <c r="J2001" s="3" t="str">
        <f>CONCATENATE("54820085311")</f>
        <v>54820085311</v>
      </c>
      <c r="K2001" s="3" t="s">
        <v>33</v>
      </c>
      <c r="L2001" s="3"/>
      <c r="M2001" s="3" t="s">
        <v>131</v>
      </c>
      <c r="N2001" s="3" t="str">
        <f>CONCATENATE("PNCFRC78S20B474Y")</f>
        <v>PNCFRC78S20B474Y</v>
      </c>
      <c r="O2001" s="3" t="s">
        <v>2132</v>
      </c>
      <c r="P2001" s="3" t="s">
        <v>36</v>
      </c>
      <c r="Q2001" s="3"/>
      <c r="R2001" s="4">
        <v>45996</v>
      </c>
      <c r="S2001" s="3" t="s">
        <v>37</v>
      </c>
      <c r="T2001" s="3" t="s">
        <v>38</v>
      </c>
      <c r="U2001" s="3" t="s">
        <v>39</v>
      </c>
      <c r="V2001" s="3">
        <v>92</v>
      </c>
      <c r="W2001" s="3">
        <v>39.1</v>
      </c>
      <c r="X2001" s="3">
        <v>37.03</v>
      </c>
      <c r="Y2001" s="3">
        <v>15.87</v>
      </c>
    </row>
    <row r="2002" spans="1:25" ht="60.75" x14ac:dyDescent="0.25">
      <c r="A2002" s="3" t="s">
        <v>26</v>
      </c>
      <c r="B2002" s="3" t="s">
        <v>27</v>
      </c>
      <c r="C2002" s="3" t="s">
        <v>28</v>
      </c>
      <c r="D2002" s="3" t="s">
        <v>29</v>
      </c>
      <c r="E2002" s="3" t="s">
        <v>341</v>
      </c>
      <c r="F2002" s="3" t="s">
        <v>31</v>
      </c>
      <c r="G2002" s="3" t="s">
        <v>341</v>
      </c>
      <c r="H2002" s="3" t="s">
        <v>45</v>
      </c>
      <c r="I2002" s="3">
        <v>2025</v>
      </c>
      <c r="J2002" s="3" t="str">
        <f>CONCATENATE("54820271457")</f>
        <v>54820271457</v>
      </c>
      <c r="K2002" s="3" t="s">
        <v>33</v>
      </c>
      <c r="L2002" s="3"/>
      <c r="M2002" s="3" t="s">
        <v>131</v>
      </c>
      <c r="N2002" s="3" t="str">
        <f>CONCATENATE("MRCGPL76A02G479C")</f>
        <v>MRCGPL76A02G479C</v>
      </c>
      <c r="O2002" s="3" t="s">
        <v>2133</v>
      </c>
      <c r="P2002" s="3" t="s">
        <v>36</v>
      </c>
      <c r="Q2002" s="3"/>
      <c r="R2002" s="4">
        <v>45996</v>
      </c>
      <c r="S2002" s="3" t="s">
        <v>37</v>
      </c>
      <c r="T2002" s="3" t="s">
        <v>38</v>
      </c>
      <c r="U2002" s="3" t="s">
        <v>39</v>
      </c>
      <c r="V2002" s="3">
        <v>303.05</v>
      </c>
      <c r="W2002" s="3">
        <v>128.80000000000001</v>
      </c>
      <c r="X2002" s="3">
        <v>121.98</v>
      </c>
      <c r="Y2002" s="3">
        <v>52.27</v>
      </c>
    </row>
    <row r="2003" spans="1:25" ht="60.75" x14ac:dyDescent="0.25">
      <c r="A2003" s="3" t="s">
        <v>26</v>
      </c>
      <c r="B2003" s="3" t="s">
        <v>27</v>
      </c>
      <c r="C2003" s="3" t="s">
        <v>28</v>
      </c>
      <c r="D2003" s="3" t="s">
        <v>50</v>
      </c>
      <c r="E2003" s="3" t="s">
        <v>147</v>
      </c>
      <c r="F2003" s="3" t="s">
        <v>52</v>
      </c>
      <c r="G2003" s="3" t="s">
        <v>147</v>
      </c>
      <c r="H2003" s="3" t="s">
        <v>45</v>
      </c>
      <c r="I2003" s="3">
        <v>2025</v>
      </c>
      <c r="J2003" s="3" t="str">
        <f>CONCATENATE("54820085592")</f>
        <v>54820085592</v>
      </c>
      <c r="K2003" s="3" t="s">
        <v>33</v>
      </c>
      <c r="L2003" s="3"/>
      <c r="M2003" s="3" t="s">
        <v>131</v>
      </c>
      <c r="N2003" s="3" t="str">
        <f>CONCATENATE("FSCNTN55C23L498A")</f>
        <v>FSCNTN55C23L498A</v>
      </c>
      <c r="O2003" s="3" t="s">
        <v>2134</v>
      </c>
      <c r="P2003" s="3" t="s">
        <v>36</v>
      </c>
      <c r="Q2003" s="3"/>
      <c r="R2003" s="4">
        <v>45996</v>
      </c>
      <c r="S2003" s="3" t="s">
        <v>37</v>
      </c>
      <c r="T2003" s="3" t="s">
        <v>38</v>
      </c>
      <c r="U2003" s="3" t="s">
        <v>39</v>
      </c>
      <c r="V2003" s="3">
        <v>132.76</v>
      </c>
      <c r="W2003" s="3">
        <v>56.42</v>
      </c>
      <c r="X2003" s="3">
        <v>53.44</v>
      </c>
      <c r="Y2003" s="3">
        <v>22.9</v>
      </c>
    </row>
    <row r="2004" spans="1:25" ht="60.75" x14ac:dyDescent="0.25">
      <c r="A2004" s="3" t="s">
        <v>26</v>
      </c>
      <c r="B2004" s="3" t="s">
        <v>27</v>
      </c>
      <c r="C2004" s="3" t="s">
        <v>28</v>
      </c>
      <c r="D2004" s="3" t="s">
        <v>29</v>
      </c>
      <c r="E2004" s="3" t="s">
        <v>68</v>
      </c>
      <c r="F2004" s="3" t="s">
        <v>31</v>
      </c>
      <c r="G2004" s="3" t="s">
        <v>68</v>
      </c>
      <c r="H2004" s="3" t="s">
        <v>32</v>
      </c>
      <c r="I2004" s="3">
        <v>2025</v>
      </c>
      <c r="J2004" s="3" t="str">
        <f>CONCATENATE("54820077391")</f>
        <v>54820077391</v>
      </c>
      <c r="K2004" s="3" t="s">
        <v>33</v>
      </c>
      <c r="L2004" s="3"/>
      <c r="M2004" s="3" t="s">
        <v>131</v>
      </c>
      <c r="N2004" s="3" t="str">
        <f>CONCATENATE("GVNSRG59L31C582P")</f>
        <v>GVNSRG59L31C582P</v>
      </c>
      <c r="O2004" s="3" t="s">
        <v>2135</v>
      </c>
      <c r="P2004" s="3" t="s">
        <v>36</v>
      </c>
      <c r="Q2004" s="3"/>
      <c r="R2004" s="4">
        <v>45996</v>
      </c>
      <c r="S2004" s="3" t="s">
        <v>37</v>
      </c>
      <c r="T2004" s="3" t="s">
        <v>38</v>
      </c>
      <c r="U2004" s="3" t="s">
        <v>39</v>
      </c>
      <c r="V2004" s="3">
        <v>125.56</v>
      </c>
      <c r="W2004" s="3">
        <v>53.36</v>
      </c>
      <c r="X2004" s="3">
        <v>50.54</v>
      </c>
      <c r="Y2004" s="3">
        <v>21.66</v>
      </c>
    </row>
    <row r="2005" spans="1:25" ht="60.75" x14ac:dyDescent="0.25">
      <c r="A2005" s="3" t="s">
        <v>26</v>
      </c>
      <c r="B2005" s="3" t="s">
        <v>27</v>
      </c>
      <c r="C2005" s="3" t="s">
        <v>28</v>
      </c>
      <c r="D2005" s="3" t="s">
        <v>29</v>
      </c>
      <c r="E2005" s="3" t="s">
        <v>72</v>
      </c>
      <c r="F2005" s="3" t="s">
        <v>31</v>
      </c>
      <c r="G2005" s="3" t="s">
        <v>72</v>
      </c>
      <c r="H2005" s="3" t="s">
        <v>45</v>
      </c>
      <c r="I2005" s="3">
        <v>2025</v>
      </c>
      <c r="J2005" s="3" t="str">
        <f>CONCATENATE("54820043971")</f>
        <v>54820043971</v>
      </c>
      <c r="K2005" s="3" t="s">
        <v>33</v>
      </c>
      <c r="L2005" s="3"/>
      <c r="M2005" s="3" t="s">
        <v>131</v>
      </c>
      <c r="N2005" s="3" t="str">
        <f>CONCATENATE("MRTMRC79P64L500K")</f>
        <v>MRTMRC79P64L500K</v>
      </c>
      <c r="O2005" s="3" t="s">
        <v>2136</v>
      </c>
      <c r="P2005" s="3" t="s">
        <v>36</v>
      </c>
      <c r="Q2005" s="3"/>
      <c r="R2005" s="4">
        <v>45996</v>
      </c>
      <c r="S2005" s="3" t="s">
        <v>37</v>
      </c>
      <c r="T2005" s="3" t="s">
        <v>38</v>
      </c>
      <c r="U2005" s="3" t="s">
        <v>39</v>
      </c>
      <c r="V2005" s="3">
        <v>444.13</v>
      </c>
      <c r="W2005" s="3">
        <v>188.76</v>
      </c>
      <c r="X2005" s="3">
        <v>178.76</v>
      </c>
      <c r="Y2005" s="3">
        <v>76.61</v>
      </c>
    </row>
    <row r="2006" spans="1:25" ht="60.75" x14ac:dyDescent="0.25">
      <c r="A2006" s="3" t="s">
        <v>26</v>
      </c>
      <c r="B2006" s="3" t="s">
        <v>27</v>
      </c>
      <c r="C2006" s="3" t="s">
        <v>28</v>
      </c>
      <c r="D2006" s="3" t="s">
        <v>29</v>
      </c>
      <c r="E2006" s="3" t="s">
        <v>72</v>
      </c>
      <c r="F2006" s="3" t="s">
        <v>31</v>
      </c>
      <c r="G2006" s="3" t="s">
        <v>72</v>
      </c>
      <c r="H2006" s="3" t="s">
        <v>45</v>
      </c>
      <c r="I2006" s="3">
        <v>2025</v>
      </c>
      <c r="J2006" s="3" t="str">
        <f>CONCATENATE("54820029152")</f>
        <v>54820029152</v>
      </c>
      <c r="K2006" s="3" t="s">
        <v>33</v>
      </c>
      <c r="L2006" s="3"/>
      <c r="M2006" s="3" t="s">
        <v>131</v>
      </c>
      <c r="N2006" s="3" t="str">
        <f>CONCATENATE("MGLNNT55S69F623K")</f>
        <v>MGLNNT55S69F623K</v>
      </c>
      <c r="O2006" s="3" t="s">
        <v>2137</v>
      </c>
      <c r="P2006" s="3" t="s">
        <v>36</v>
      </c>
      <c r="Q2006" s="3"/>
      <c r="R2006" s="4">
        <v>45996</v>
      </c>
      <c r="S2006" s="3" t="s">
        <v>37</v>
      </c>
      <c r="T2006" s="3" t="s">
        <v>38</v>
      </c>
      <c r="U2006" s="3" t="s">
        <v>39</v>
      </c>
      <c r="V2006" s="3">
        <v>762.36</v>
      </c>
      <c r="W2006" s="3">
        <v>324</v>
      </c>
      <c r="X2006" s="3">
        <v>306.85000000000002</v>
      </c>
      <c r="Y2006" s="3">
        <v>131.51</v>
      </c>
    </row>
    <row r="2007" spans="1:25" ht="60.75" x14ac:dyDescent="0.25">
      <c r="A2007" s="3" t="s">
        <v>26</v>
      </c>
      <c r="B2007" s="3" t="s">
        <v>27</v>
      </c>
      <c r="C2007" s="3" t="s">
        <v>28</v>
      </c>
      <c r="D2007" s="3" t="s">
        <v>29</v>
      </c>
      <c r="E2007" s="3" t="s">
        <v>101</v>
      </c>
      <c r="F2007" s="3" t="s">
        <v>31</v>
      </c>
      <c r="G2007" s="3" t="s">
        <v>101</v>
      </c>
      <c r="H2007" s="3" t="s">
        <v>32</v>
      </c>
      <c r="I2007" s="3">
        <v>2025</v>
      </c>
      <c r="J2007" s="3" t="str">
        <f>CONCATENATE("54820262829")</f>
        <v>54820262829</v>
      </c>
      <c r="K2007" s="3" t="s">
        <v>33</v>
      </c>
      <c r="L2007" s="3"/>
      <c r="M2007" s="3" t="s">
        <v>131</v>
      </c>
      <c r="N2007" s="3" t="str">
        <f>CONCATENATE("TRTGPT65S21E783N")</f>
        <v>TRTGPT65S21E783N</v>
      </c>
      <c r="O2007" s="3" t="s">
        <v>2138</v>
      </c>
      <c r="P2007" s="3" t="s">
        <v>36</v>
      </c>
      <c r="Q2007" s="3"/>
      <c r="R2007" s="4">
        <v>45996</v>
      </c>
      <c r="S2007" s="3" t="s">
        <v>37</v>
      </c>
      <c r="T2007" s="3" t="s">
        <v>38</v>
      </c>
      <c r="U2007" s="3" t="s">
        <v>39</v>
      </c>
      <c r="V2007" s="3">
        <v>70.09</v>
      </c>
      <c r="W2007" s="3">
        <v>29.79</v>
      </c>
      <c r="X2007" s="3">
        <v>28.21</v>
      </c>
      <c r="Y2007" s="3">
        <v>12.09</v>
      </c>
    </row>
    <row r="2008" spans="1:25" ht="60.75" x14ac:dyDescent="0.25">
      <c r="A2008" s="3" t="s">
        <v>26</v>
      </c>
      <c r="B2008" s="3" t="s">
        <v>27</v>
      </c>
      <c r="C2008" s="3" t="s">
        <v>28</v>
      </c>
      <c r="D2008" s="3" t="s">
        <v>91</v>
      </c>
      <c r="E2008" s="3" t="s">
        <v>522</v>
      </c>
      <c r="F2008" s="3" t="s">
        <v>93</v>
      </c>
      <c r="G2008" s="3" t="s">
        <v>522</v>
      </c>
      <c r="H2008" s="3" t="s">
        <v>32</v>
      </c>
      <c r="I2008" s="3">
        <v>2025</v>
      </c>
      <c r="J2008" s="3" t="str">
        <f>CONCATENATE("54820009188")</f>
        <v>54820009188</v>
      </c>
      <c r="K2008" s="3" t="s">
        <v>33</v>
      </c>
      <c r="L2008" s="3"/>
      <c r="M2008" s="3" t="s">
        <v>131</v>
      </c>
      <c r="N2008" s="3" t="str">
        <f>CONCATENATE("ZCCGDU41C25H294T")</f>
        <v>ZCCGDU41C25H294T</v>
      </c>
      <c r="O2008" s="3" t="s">
        <v>2139</v>
      </c>
      <c r="P2008" s="3" t="s">
        <v>36</v>
      </c>
      <c r="Q2008" s="3"/>
      <c r="R2008" s="4">
        <v>45996</v>
      </c>
      <c r="S2008" s="3" t="s">
        <v>37</v>
      </c>
      <c r="T2008" s="3" t="s">
        <v>38</v>
      </c>
      <c r="U2008" s="3" t="s">
        <v>39</v>
      </c>
      <c r="V2008" s="3">
        <v>716.25</v>
      </c>
      <c r="W2008" s="3">
        <v>304.41000000000003</v>
      </c>
      <c r="X2008" s="3">
        <v>288.29000000000002</v>
      </c>
      <c r="Y2008" s="3">
        <v>123.55</v>
      </c>
    </row>
    <row r="2009" spans="1:25" ht="60.75" x14ac:dyDescent="0.25">
      <c r="A2009" s="3" t="s">
        <v>26</v>
      </c>
      <c r="B2009" s="3" t="s">
        <v>27</v>
      </c>
      <c r="C2009" s="3" t="s">
        <v>28</v>
      </c>
      <c r="D2009" s="3" t="s">
        <v>50</v>
      </c>
      <c r="E2009" s="3" t="s">
        <v>60</v>
      </c>
      <c r="F2009" s="3" t="s">
        <v>52</v>
      </c>
      <c r="G2009" s="3" t="s">
        <v>60</v>
      </c>
      <c r="H2009" s="3" t="s">
        <v>45</v>
      </c>
      <c r="I2009" s="3">
        <v>2025</v>
      </c>
      <c r="J2009" s="3" t="str">
        <f>CONCATENATE("54820232707")</f>
        <v>54820232707</v>
      </c>
      <c r="K2009" s="3" t="s">
        <v>33</v>
      </c>
      <c r="L2009" s="3"/>
      <c r="M2009" s="3" t="s">
        <v>131</v>
      </c>
      <c r="N2009" s="3" t="str">
        <f>CONCATENATE("CRMPLA63S27I608U")</f>
        <v>CRMPLA63S27I608U</v>
      </c>
      <c r="O2009" s="3" t="s">
        <v>2140</v>
      </c>
      <c r="P2009" s="3" t="s">
        <v>36</v>
      </c>
      <c r="Q2009" s="3"/>
      <c r="R2009" s="4">
        <v>45996</v>
      </c>
      <c r="S2009" s="3" t="s">
        <v>37</v>
      </c>
      <c r="T2009" s="3" t="s">
        <v>38</v>
      </c>
      <c r="U2009" s="3" t="s">
        <v>39</v>
      </c>
      <c r="V2009" s="3">
        <v>276.67</v>
      </c>
      <c r="W2009" s="3">
        <v>117.58</v>
      </c>
      <c r="X2009" s="3">
        <v>111.36</v>
      </c>
      <c r="Y2009" s="3">
        <v>47.73</v>
      </c>
    </row>
    <row r="2010" spans="1:25" ht="60.75" x14ac:dyDescent="0.25">
      <c r="A2010" s="3" t="s">
        <v>26</v>
      </c>
      <c r="B2010" s="3" t="s">
        <v>27</v>
      </c>
      <c r="C2010" s="3" t="s">
        <v>28</v>
      </c>
      <c r="D2010" s="3" t="s">
        <v>29</v>
      </c>
      <c r="E2010" s="3" t="s">
        <v>233</v>
      </c>
      <c r="F2010" s="3" t="s">
        <v>31</v>
      </c>
      <c r="G2010" s="3" t="s">
        <v>233</v>
      </c>
      <c r="H2010" s="3" t="s">
        <v>96</v>
      </c>
      <c r="I2010" s="3">
        <v>2025</v>
      </c>
      <c r="J2010" s="3" t="str">
        <f>CONCATENATE("54820063797")</f>
        <v>54820063797</v>
      </c>
      <c r="K2010" s="3" t="s">
        <v>33</v>
      </c>
      <c r="L2010" s="3"/>
      <c r="M2010" s="3" t="s">
        <v>131</v>
      </c>
      <c r="N2010" s="3" t="str">
        <f>CONCATENATE("PSCFPP55C17H390K")</f>
        <v>PSCFPP55C17H390K</v>
      </c>
      <c r="O2010" s="3" t="s">
        <v>2141</v>
      </c>
      <c r="P2010" s="3" t="s">
        <v>36</v>
      </c>
      <c r="Q2010" s="3"/>
      <c r="R2010" s="4">
        <v>45996</v>
      </c>
      <c r="S2010" s="3" t="s">
        <v>37</v>
      </c>
      <c r="T2010" s="3" t="s">
        <v>38</v>
      </c>
      <c r="U2010" s="3" t="s">
        <v>39</v>
      </c>
      <c r="V2010" s="3">
        <v>60.14</v>
      </c>
      <c r="W2010" s="3">
        <v>25.56</v>
      </c>
      <c r="X2010" s="3">
        <v>24.21</v>
      </c>
      <c r="Y2010" s="3">
        <v>10.37</v>
      </c>
    </row>
    <row r="2011" spans="1:25" ht="60.75" x14ac:dyDescent="0.25">
      <c r="A2011" s="3" t="s">
        <v>26</v>
      </c>
      <c r="B2011" s="3" t="s">
        <v>27</v>
      </c>
      <c r="C2011" s="3" t="s">
        <v>28</v>
      </c>
      <c r="D2011" s="3" t="s">
        <v>29</v>
      </c>
      <c r="E2011" s="3" t="s">
        <v>80</v>
      </c>
      <c r="F2011" s="3" t="s">
        <v>31</v>
      </c>
      <c r="G2011" s="3" t="s">
        <v>80</v>
      </c>
      <c r="H2011" s="3" t="s">
        <v>45</v>
      </c>
      <c r="I2011" s="3">
        <v>2025</v>
      </c>
      <c r="J2011" s="3" t="str">
        <f>CONCATENATE("54820040159")</f>
        <v>54820040159</v>
      </c>
      <c r="K2011" s="3" t="s">
        <v>33</v>
      </c>
      <c r="L2011" s="3"/>
      <c r="M2011" s="3" t="s">
        <v>131</v>
      </c>
      <c r="N2011" s="3" t="str">
        <f>CONCATENATE("SMNLCU79R03G453S")</f>
        <v>SMNLCU79R03G453S</v>
      </c>
      <c r="O2011" s="3" t="s">
        <v>2142</v>
      </c>
      <c r="P2011" s="3" t="s">
        <v>36</v>
      </c>
      <c r="Q2011" s="3"/>
      <c r="R2011" s="4">
        <v>45996</v>
      </c>
      <c r="S2011" s="3" t="s">
        <v>37</v>
      </c>
      <c r="T2011" s="3" t="s">
        <v>38</v>
      </c>
      <c r="U2011" s="3" t="s">
        <v>39</v>
      </c>
      <c r="V2011" s="3">
        <v>152.33000000000001</v>
      </c>
      <c r="W2011" s="3">
        <v>64.739999999999995</v>
      </c>
      <c r="X2011" s="3">
        <v>61.31</v>
      </c>
      <c r="Y2011" s="3">
        <v>26.28</v>
      </c>
    </row>
    <row r="2012" spans="1:25" ht="36.75" x14ac:dyDescent="0.25">
      <c r="A2012" s="3" t="s">
        <v>26</v>
      </c>
      <c r="B2012" s="3" t="s">
        <v>27</v>
      </c>
      <c r="C2012" s="3" t="s">
        <v>28</v>
      </c>
      <c r="D2012" s="3" t="s">
        <v>157</v>
      </c>
      <c r="E2012" s="3" t="s">
        <v>158</v>
      </c>
      <c r="F2012" s="3" t="s">
        <v>159</v>
      </c>
      <c r="G2012" s="3" t="s">
        <v>158</v>
      </c>
      <c r="H2012" s="3" t="s">
        <v>45</v>
      </c>
      <c r="I2012" s="3">
        <v>2025</v>
      </c>
      <c r="J2012" s="3" t="str">
        <f>CONCATENATE("54820026976")</f>
        <v>54820026976</v>
      </c>
      <c r="K2012" s="3" t="s">
        <v>33</v>
      </c>
      <c r="L2012" s="3"/>
      <c r="M2012" s="3" t="s">
        <v>131</v>
      </c>
      <c r="N2012" s="3" t="str">
        <f>CONCATENATE("02779660410")</f>
        <v>02779660410</v>
      </c>
      <c r="O2012" s="3" t="s">
        <v>2143</v>
      </c>
      <c r="P2012" s="3" t="s">
        <v>36</v>
      </c>
      <c r="Q2012" s="3"/>
      <c r="R2012" s="4">
        <v>45996</v>
      </c>
      <c r="S2012" s="3" t="s">
        <v>37</v>
      </c>
      <c r="T2012" s="3" t="s">
        <v>38</v>
      </c>
      <c r="U2012" s="3" t="s">
        <v>39</v>
      </c>
      <c r="V2012" s="3">
        <v>202.98</v>
      </c>
      <c r="W2012" s="3">
        <v>86.27</v>
      </c>
      <c r="X2012" s="3">
        <v>81.7</v>
      </c>
      <c r="Y2012" s="3">
        <v>35.01</v>
      </c>
    </row>
    <row r="2013" spans="1:25" ht="36.75" x14ac:dyDescent="0.25">
      <c r="A2013" s="3" t="s">
        <v>26</v>
      </c>
      <c r="B2013" s="3" t="s">
        <v>27</v>
      </c>
      <c r="C2013" s="3" t="s">
        <v>28</v>
      </c>
      <c r="D2013" s="3" t="s">
        <v>29</v>
      </c>
      <c r="E2013" s="3" t="s">
        <v>72</v>
      </c>
      <c r="F2013" s="3" t="s">
        <v>31</v>
      </c>
      <c r="G2013" s="3" t="s">
        <v>72</v>
      </c>
      <c r="H2013" s="3" t="s">
        <v>45</v>
      </c>
      <c r="I2013" s="3">
        <v>2025</v>
      </c>
      <c r="J2013" s="3" t="str">
        <f>CONCATENATE("54820074356")</f>
        <v>54820074356</v>
      </c>
      <c r="K2013" s="3" t="s">
        <v>33</v>
      </c>
      <c r="L2013" s="3"/>
      <c r="M2013" s="3" t="s">
        <v>131</v>
      </c>
      <c r="N2013" s="3" t="str">
        <f>CONCATENATE("02824580415")</f>
        <v>02824580415</v>
      </c>
      <c r="O2013" s="3" t="s">
        <v>2144</v>
      </c>
      <c r="P2013" s="3" t="s">
        <v>36</v>
      </c>
      <c r="Q2013" s="3"/>
      <c r="R2013" s="4">
        <v>45996</v>
      </c>
      <c r="S2013" s="3" t="s">
        <v>37</v>
      </c>
      <c r="T2013" s="3" t="s">
        <v>38</v>
      </c>
      <c r="U2013" s="3" t="s">
        <v>39</v>
      </c>
      <c r="V2013" s="3">
        <v>80.48</v>
      </c>
      <c r="W2013" s="3">
        <v>34.200000000000003</v>
      </c>
      <c r="X2013" s="3">
        <v>32.39</v>
      </c>
      <c r="Y2013" s="3">
        <v>13.89</v>
      </c>
    </row>
    <row r="2014" spans="1:25" ht="60.75" x14ac:dyDescent="0.25">
      <c r="A2014" s="3" t="s">
        <v>26</v>
      </c>
      <c r="B2014" s="3" t="s">
        <v>27</v>
      </c>
      <c r="C2014" s="3" t="s">
        <v>28</v>
      </c>
      <c r="D2014" s="3" t="s">
        <v>50</v>
      </c>
      <c r="E2014" s="3" t="s">
        <v>51</v>
      </c>
      <c r="F2014" s="3" t="s">
        <v>52</v>
      </c>
      <c r="G2014" s="3" t="s">
        <v>51</v>
      </c>
      <c r="H2014" s="3" t="s">
        <v>48</v>
      </c>
      <c r="I2014" s="3">
        <v>2025</v>
      </c>
      <c r="J2014" s="3" t="str">
        <f>CONCATENATE("54820152277")</f>
        <v>54820152277</v>
      </c>
      <c r="K2014" s="3" t="s">
        <v>33</v>
      </c>
      <c r="L2014" s="3"/>
      <c r="M2014" s="3" t="s">
        <v>131</v>
      </c>
      <c r="N2014" s="3" t="str">
        <f>CONCATENATE("MGHGRL55T25I577C")</f>
        <v>MGHGRL55T25I577C</v>
      </c>
      <c r="O2014" s="3" t="s">
        <v>2145</v>
      </c>
      <c r="P2014" s="3" t="s">
        <v>36</v>
      </c>
      <c r="Q2014" s="3"/>
      <c r="R2014" s="4">
        <v>45996</v>
      </c>
      <c r="S2014" s="3" t="s">
        <v>37</v>
      </c>
      <c r="T2014" s="3" t="s">
        <v>38</v>
      </c>
      <c r="U2014" s="3" t="s">
        <v>39</v>
      </c>
      <c r="V2014" s="3">
        <v>88.12</v>
      </c>
      <c r="W2014" s="3">
        <v>37.450000000000003</v>
      </c>
      <c r="X2014" s="3">
        <v>35.47</v>
      </c>
      <c r="Y2014" s="3">
        <v>15.2</v>
      </c>
    </row>
    <row r="2015" spans="1:25" ht="60.75" x14ac:dyDescent="0.25">
      <c r="A2015" s="3" t="s">
        <v>26</v>
      </c>
      <c r="B2015" s="3" t="s">
        <v>27</v>
      </c>
      <c r="C2015" s="3" t="s">
        <v>28</v>
      </c>
      <c r="D2015" s="3" t="s">
        <v>29</v>
      </c>
      <c r="E2015" s="3" t="s">
        <v>182</v>
      </c>
      <c r="F2015" s="3" t="s">
        <v>31</v>
      </c>
      <c r="G2015" s="3" t="s">
        <v>182</v>
      </c>
      <c r="H2015" s="3" t="s">
        <v>45</v>
      </c>
      <c r="I2015" s="3">
        <v>2025</v>
      </c>
      <c r="J2015" s="3" t="str">
        <f>CONCATENATE("54820046297")</f>
        <v>54820046297</v>
      </c>
      <c r="K2015" s="3" t="s">
        <v>33</v>
      </c>
      <c r="L2015" s="3"/>
      <c r="M2015" s="3" t="s">
        <v>131</v>
      </c>
      <c r="N2015" s="3" t="str">
        <f>CONCATENATE("NNBMRC73R31Z133R")</f>
        <v>NNBMRC73R31Z133R</v>
      </c>
      <c r="O2015" s="3" t="s">
        <v>2146</v>
      </c>
      <c r="P2015" s="3" t="s">
        <v>36</v>
      </c>
      <c r="Q2015" s="3"/>
      <c r="R2015" s="4">
        <v>45996</v>
      </c>
      <c r="S2015" s="3" t="s">
        <v>37</v>
      </c>
      <c r="T2015" s="3" t="s">
        <v>38</v>
      </c>
      <c r="U2015" s="3" t="s">
        <v>39</v>
      </c>
      <c r="V2015" s="3">
        <v>80.61</v>
      </c>
      <c r="W2015" s="3">
        <v>34.26</v>
      </c>
      <c r="X2015" s="3">
        <v>32.450000000000003</v>
      </c>
      <c r="Y2015" s="3">
        <v>13.9</v>
      </c>
    </row>
    <row r="2016" spans="1:25" ht="60.75" x14ac:dyDescent="0.25">
      <c r="A2016" s="3" t="s">
        <v>26</v>
      </c>
      <c r="B2016" s="3" t="s">
        <v>27</v>
      </c>
      <c r="C2016" s="3" t="s">
        <v>28</v>
      </c>
      <c r="D2016" s="3" t="s">
        <v>50</v>
      </c>
      <c r="E2016" s="3" t="s">
        <v>163</v>
      </c>
      <c r="F2016" s="3" t="s">
        <v>52</v>
      </c>
      <c r="G2016" s="3" t="s">
        <v>163</v>
      </c>
      <c r="H2016" s="3" t="s">
        <v>32</v>
      </c>
      <c r="I2016" s="3">
        <v>2025</v>
      </c>
      <c r="J2016" s="3" t="str">
        <f>CONCATENATE("54820370093")</f>
        <v>54820370093</v>
      </c>
      <c r="K2016" s="3" t="s">
        <v>33</v>
      </c>
      <c r="L2016" s="3"/>
      <c r="M2016" s="3" t="s">
        <v>131</v>
      </c>
      <c r="N2016" s="3" t="str">
        <f>CONCATENATE("MRBMLL71M55G436T")</f>
        <v>MRBMLL71M55G436T</v>
      </c>
      <c r="O2016" s="3" t="s">
        <v>2147</v>
      </c>
      <c r="P2016" s="3" t="s">
        <v>36</v>
      </c>
      <c r="Q2016" s="3"/>
      <c r="R2016" s="4">
        <v>45996</v>
      </c>
      <c r="S2016" s="3" t="s">
        <v>37</v>
      </c>
      <c r="T2016" s="3" t="s">
        <v>38</v>
      </c>
      <c r="U2016" s="3" t="s">
        <v>39</v>
      </c>
      <c r="V2016" s="3">
        <v>173.76</v>
      </c>
      <c r="W2016" s="3">
        <v>73.849999999999994</v>
      </c>
      <c r="X2016" s="3">
        <v>69.94</v>
      </c>
      <c r="Y2016" s="3">
        <v>29.97</v>
      </c>
    </row>
    <row r="2017" spans="1:25" ht="60.75" x14ac:dyDescent="0.25">
      <c r="A2017" s="3" t="s">
        <v>26</v>
      </c>
      <c r="B2017" s="3" t="s">
        <v>27</v>
      </c>
      <c r="C2017" s="3" t="s">
        <v>28</v>
      </c>
      <c r="D2017" s="3" t="s">
        <v>29</v>
      </c>
      <c r="E2017" s="3" t="s">
        <v>182</v>
      </c>
      <c r="F2017" s="3" t="s">
        <v>31</v>
      </c>
      <c r="G2017" s="3" t="s">
        <v>182</v>
      </c>
      <c r="H2017" s="3" t="s">
        <v>45</v>
      </c>
      <c r="I2017" s="3">
        <v>2025</v>
      </c>
      <c r="J2017" s="3" t="str">
        <f>CONCATENATE("54820169867")</f>
        <v>54820169867</v>
      </c>
      <c r="K2017" s="3" t="s">
        <v>33</v>
      </c>
      <c r="L2017" s="3"/>
      <c r="M2017" s="3" t="s">
        <v>131</v>
      </c>
      <c r="N2017" s="3" t="str">
        <f>CONCATENATE("VLNSVN36P25L500I")</f>
        <v>VLNSVN36P25L500I</v>
      </c>
      <c r="O2017" s="3" t="s">
        <v>2148</v>
      </c>
      <c r="P2017" s="3" t="s">
        <v>36</v>
      </c>
      <c r="Q2017" s="3"/>
      <c r="R2017" s="4">
        <v>45996</v>
      </c>
      <c r="S2017" s="3" t="s">
        <v>37</v>
      </c>
      <c r="T2017" s="3" t="s">
        <v>38</v>
      </c>
      <c r="U2017" s="3" t="s">
        <v>39</v>
      </c>
      <c r="V2017" s="3">
        <v>447.44</v>
      </c>
      <c r="W2017" s="3">
        <v>190.16</v>
      </c>
      <c r="X2017" s="3">
        <v>180.09</v>
      </c>
      <c r="Y2017" s="3">
        <v>77.19</v>
      </c>
    </row>
    <row r="2018" spans="1:25" ht="60.75" x14ac:dyDescent="0.25">
      <c r="A2018" s="3" t="s">
        <v>26</v>
      </c>
      <c r="B2018" s="3" t="s">
        <v>27</v>
      </c>
      <c r="C2018" s="3" t="s">
        <v>28</v>
      </c>
      <c r="D2018" s="3" t="s">
        <v>29</v>
      </c>
      <c r="E2018" s="3" t="s">
        <v>56</v>
      </c>
      <c r="F2018" s="3" t="s">
        <v>31</v>
      </c>
      <c r="G2018" s="3" t="s">
        <v>56</v>
      </c>
      <c r="H2018" s="3" t="s">
        <v>48</v>
      </c>
      <c r="I2018" s="3">
        <v>2025</v>
      </c>
      <c r="J2018" s="3" t="str">
        <f>CONCATENATE("54820190228")</f>
        <v>54820190228</v>
      </c>
      <c r="K2018" s="3" t="s">
        <v>33</v>
      </c>
      <c r="L2018" s="3"/>
      <c r="M2018" s="3" t="s">
        <v>131</v>
      </c>
      <c r="N2018" s="3" t="str">
        <f>CONCATENATE("CPPLNZ48L08B474P")</f>
        <v>CPPLNZ48L08B474P</v>
      </c>
      <c r="O2018" s="3" t="s">
        <v>2149</v>
      </c>
      <c r="P2018" s="3" t="s">
        <v>36</v>
      </c>
      <c r="Q2018" s="3"/>
      <c r="R2018" s="4">
        <v>45996</v>
      </c>
      <c r="S2018" s="3" t="s">
        <v>37</v>
      </c>
      <c r="T2018" s="3" t="s">
        <v>38</v>
      </c>
      <c r="U2018" s="3" t="s">
        <v>39</v>
      </c>
      <c r="V2018" s="3">
        <v>115.62</v>
      </c>
      <c r="W2018" s="3">
        <v>49.14</v>
      </c>
      <c r="X2018" s="3">
        <v>46.54</v>
      </c>
      <c r="Y2018" s="3">
        <v>19.940000000000001</v>
      </c>
    </row>
    <row r="2019" spans="1:25" ht="60.75" x14ac:dyDescent="0.25">
      <c r="A2019" s="3" t="s">
        <v>26</v>
      </c>
      <c r="B2019" s="3" t="s">
        <v>27</v>
      </c>
      <c r="C2019" s="3" t="s">
        <v>28</v>
      </c>
      <c r="D2019" s="3" t="s">
        <v>29</v>
      </c>
      <c r="E2019" s="3" t="s">
        <v>119</v>
      </c>
      <c r="F2019" s="3" t="s">
        <v>31</v>
      </c>
      <c r="G2019" s="3" t="s">
        <v>119</v>
      </c>
      <c r="H2019" s="3" t="s">
        <v>96</v>
      </c>
      <c r="I2019" s="3">
        <v>2025</v>
      </c>
      <c r="J2019" s="3" t="str">
        <f>CONCATENATE("54820185582")</f>
        <v>54820185582</v>
      </c>
      <c r="K2019" s="3" t="s">
        <v>33</v>
      </c>
      <c r="L2019" s="3"/>
      <c r="M2019" s="3" t="s">
        <v>131</v>
      </c>
      <c r="N2019" s="3" t="str">
        <f>CONCATENATE("PMPDTL66P50A462S")</f>
        <v>PMPDTL66P50A462S</v>
      </c>
      <c r="O2019" s="3" t="s">
        <v>2150</v>
      </c>
      <c r="P2019" s="3" t="s">
        <v>36</v>
      </c>
      <c r="Q2019" s="3"/>
      <c r="R2019" s="4">
        <v>45996</v>
      </c>
      <c r="S2019" s="3" t="s">
        <v>37</v>
      </c>
      <c r="T2019" s="3" t="s">
        <v>38</v>
      </c>
      <c r="U2019" s="3" t="s">
        <v>39</v>
      </c>
      <c r="V2019" s="3">
        <v>170.59</v>
      </c>
      <c r="W2019" s="3">
        <v>72.5</v>
      </c>
      <c r="X2019" s="3">
        <v>68.66</v>
      </c>
      <c r="Y2019" s="3">
        <v>29.43</v>
      </c>
    </row>
    <row r="2020" spans="1:25" ht="36.75" x14ac:dyDescent="0.25">
      <c r="A2020" s="3" t="s">
        <v>26</v>
      </c>
      <c r="B2020" s="3" t="s">
        <v>27</v>
      </c>
      <c r="C2020" s="3" t="s">
        <v>28</v>
      </c>
      <c r="D2020" s="3" t="s">
        <v>29</v>
      </c>
      <c r="E2020" s="3" t="s">
        <v>119</v>
      </c>
      <c r="F2020" s="3" t="s">
        <v>31</v>
      </c>
      <c r="G2020" s="3" t="s">
        <v>119</v>
      </c>
      <c r="H2020" s="3" t="s">
        <v>96</v>
      </c>
      <c r="I2020" s="3">
        <v>2025</v>
      </c>
      <c r="J2020" s="3" t="str">
        <f>CONCATENATE("54820194832")</f>
        <v>54820194832</v>
      </c>
      <c r="K2020" s="3" t="s">
        <v>33</v>
      </c>
      <c r="L2020" s="3"/>
      <c r="M2020" s="3" t="s">
        <v>131</v>
      </c>
      <c r="N2020" s="3" t="str">
        <f>CONCATENATE("01526080443")</f>
        <v>01526080443</v>
      </c>
      <c r="O2020" s="3" t="s">
        <v>2151</v>
      </c>
      <c r="P2020" s="3" t="s">
        <v>36</v>
      </c>
      <c r="Q2020" s="3"/>
      <c r="R2020" s="4">
        <v>45996</v>
      </c>
      <c r="S2020" s="3" t="s">
        <v>37</v>
      </c>
      <c r="T2020" s="3" t="s">
        <v>38</v>
      </c>
      <c r="U2020" s="3" t="s">
        <v>39</v>
      </c>
      <c r="V2020" s="3">
        <v>446.26</v>
      </c>
      <c r="W2020" s="3">
        <v>189.66</v>
      </c>
      <c r="X2020" s="3">
        <v>179.62</v>
      </c>
      <c r="Y2020" s="3">
        <v>76.98</v>
      </c>
    </row>
    <row r="2021" spans="1:25" ht="60.75" x14ac:dyDescent="0.25">
      <c r="A2021" s="3" t="s">
        <v>26</v>
      </c>
      <c r="B2021" s="3" t="s">
        <v>27</v>
      </c>
      <c r="C2021" s="3" t="s">
        <v>28</v>
      </c>
      <c r="D2021" s="3" t="s">
        <v>50</v>
      </c>
      <c r="E2021" s="3" t="s">
        <v>60</v>
      </c>
      <c r="F2021" s="3" t="s">
        <v>52</v>
      </c>
      <c r="G2021" s="3" t="s">
        <v>60</v>
      </c>
      <c r="H2021" s="3" t="s">
        <v>48</v>
      </c>
      <c r="I2021" s="3">
        <v>2025</v>
      </c>
      <c r="J2021" s="3" t="str">
        <f>CONCATENATE("54820271689")</f>
        <v>54820271689</v>
      </c>
      <c r="K2021" s="3" t="s">
        <v>33</v>
      </c>
      <c r="L2021" s="3"/>
      <c r="M2021" s="3" t="s">
        <v>131</v>
      </c>
      <c r="N2021" s="3" t="str">
        <f>CONCATENATE("BSSGDI83R56E388J")</f>
        <v>BSSGDI83R56E388J</v>
      </c>
      <c r="O2021" s="3" t="s">
        <v>2152</v>
      </c>
      <c r="P2021" s="3" t="s">
        <v>36</v>
      </c>
      <c r="Q2021" s="3"/>
      <c r="R2021" s="4">
        <v>45996</v>
      </c>
      <c r="S2021" s="3" t="s">
        <v>37</v>
      </c>
      <c r="T2021" s="3" t="s">
        <v>38</v>
      </c>
      <c r="U2021" s="3" t="s">
        <v>39</v>
      </c>
      <c r="V2021" s="5">
        <v>1209.48</v>
      </c>
      <c r="W2021" s="3">
        <v>514.03</v>
      </c>
      <c r="X2021" s="3">
        <v>486.82</v>
      </c>
      <c r="Y2021" s="3">
        <v>208.63</v>
      </c>
    </row>
    <row r="2022" spans="1:25" ht="36.75" x14ac:dyDescent="0.25">
      <c r="A2022" s="3" t="s">
        <v>26</v>
      </c>
      <c r="B2022" s="3" t="s">
        <v>27</v>
      </c>
      <c r="C2022" s="3" t="s">
        <v>28</v>
      </c>
      <c r="D2022" s="3" t="s">
        <v>29</v>
      </c>
      <c r="E2022" s="3" t="s">
        <v>119</v>
      </c>
      <c r="F2022" s="3" t="s">
        <v>31</v>
      </c>
      <c r="G2022" s="3" t="s">
        <v>119</v>
      </c>
      <c r="H2022" s="3" t="s">
        <v>96</v>
      </c>
      <c r="I2022" s="3">
        <v>2025</v>
      </c>
      <c r="J2022" s="3" t="str">
        <f>CONCATENATE("54820018080")</f>
        <v>54820018080</v>
      </c>
      <c r="K2022" s="3" t="s">
        <v>33</v>
      </c>
      <c r="L2022" s="3"/>
      <c r="M2022" s="3" t="s">
        <v>131</v>
      </c>
      <c r="N2022" s="3" t="str">
        <f>CONCATENATE("01467020069")</f>
        <v>01467020069</v>
      </c>
      <c r="O2022" s="3" t="s">
        <v>2153</v>
      </c>
      <c r="P2022" s="3" t="s">
        <v>36</v>
      </c>
      <c r="Q2022" s="3"/>
      <c r="R2022" s="4">
        <v>45996</v>
      </c>
      <c r="S2022" s="3" t="s">
        <v>37</v>
      </c>
      <c r="T2022" s="3" t="s">
        <v>38</v>
      </c>
      <c r="U2022" s="3" t="s">
        <v>39</v>
      </c>
      <c r="V2022" s="3">
        <v>763.52</v>
      </c>
      <c r="W2022" s="3">
        <v>324.5</v>
      </c>
      <c r="X2022" s="3">
        <v>307.32</v>
      </c>
      <c r="Y2022" s="3">
        <v>131.69999999999999</v>
      </c>
    </row>
    <row r="2023" spans="1:25" ht="60.75" x14ac:dyDescent="0.25">
      <c r="A2023" s="3" t="s">
        <v>26</v>
      </c>
      <c r="B2023" s="3" t="s">
        <v>27</v>
      </c>
      <c r="C2023" s="3" t="s">
        <v>28</v>
      </c>
      <c r="D2023" s="3" t="s">
        <v>29</v>
      </c>
      <c r="E2023" s="3" t="s">
        <v>136</v>
      </c>
      <c r="F2023" s="3" t="s">
        <v>31</v>
      </c>
      <c r="G2023" s="3" t="s">
        <v>136</v>
      </c>
      <c r="H2023" s="3" t="s">
        <v>48</v>
      </c>
      <c r="I2023" s="3">
        <v>2025</v>
      </c>
      <c r="J2023" s="3" t="str">
        <f>CONCATENATE("54820096375")</f>
        <v>54820096375</v>
      </c>
      <c r="K2023" s="3" t="s">
        <v>33</v>
      </c>
      <c r="L2023" s="3"/>
      <c r="M2023" s="3" t="s">
        <v>131</v>
      </c>
      <c r="N2023" s="3" t="str">
        <f>CONCATENATE("CNCFNC61H09I461X")</f>
        <v>CNCFNC61H09I461X</v>
      </c>
      <c r="O2023" s="3" t="s">
        <v>2154</v>
      </c>
      <c r="P2023" s="3" t="s">
        <v>36</v>
      </c>
      <c r="Q2023" s="3"/>
      <c r="R2023" s="4">
        <v>45996</v>
      </c>
      <c r="S2023" s="3" t="s">
        <v>37</v>
      </c>
      <c r="T2023" s="3" t="s">
        <v>38</v>
      </c>
      <c r="U2023" s="3" t="s">
        <v>39</v>
      </c>
      <c r="V2023" s="3">
        <v>211.38</v>
      </c>
      <c r="W2023" s="3">
        <v>89.84</v>
      </c>
      <c r="X2023" s="3">
        <v>85.08</v>
      </c>
      <c r="Y2023" s="3">
        <v>36.46</v>
      </c>
    </row>
    <row r="2024" spans="1:25" ht="60.75" x14ac:dyDescent="0.25">
      <c r="A2024" s="3" t="s">
        <v>26</v>
      </c>
      <c r="B2024" s="3" t="s">
        <v>27</v>
      </c>
      <c r="C2024" s="3" t="s">
        <v>28</v>
      </c>
      <c r="D2024" s="3" t="s">
        <v>50</v>
      </c>
      <c r="E2024" s="3" t="s">
        <v>252</v>
      </c>
      <c r="F2024" s="3" t="s">
        <v>52</v>
      </c>
      <c r="G2024" s="3" t="s">
        <v>252</v>
      </c>
      <c r="H2024" s="3" t="s">
        <v>45</v>
      </c>
      <c r="I2024" s="3">
        <v>2025</v>
      </c>
      <c r="J2024" s="3" t="str">
        <f>CONCATENATE("54820187885")</f>
        <v>54820187885</v>
      </c>
      <c r="K2024" s="3" t="s">
        <v>33</v>
      </c>
      <c r="L2024" s="3"/>
      <c r="M2024" s="3" t="s">
        <v>131</v>
      </c>
      <c r="N2024" s="3" t="str">
        <f>CONCATENATE("RSSZFR44P07F497K")</f>
        <v>RSSZFR44P07F497K</v>
      </c>
      <c r="O2024" s="3" t="s">
        <v>2155</v>
      </c>
      <c r="P2024" s="3" t="s">
        <v>36</v>
      </c>
      <c r="Q2024" s="3"/>
      <c r="R2024" s="4">
        <v>45996</v>
      </c>
      <c r="S2024" s="3" t="s">
        <v>37</v>
      </c>
      <c r="T2024" s="3" t="s">
        <v>38</v>
      </c>
      <c r="U2024" s="3" t="s">
        <v>39</v>
      </c>
      <c r="V2024" s="3">
        <v>294.02999999999997</v>
      </c>
      <c r="W2024" s="3">
        <v>124.96</v>
      </c>
      <c r="X2024" s="3">
        <v>118.35</v>
      </c>
      <c r="Y2024" s="3">
        <v>50.72</v>
      </c>
    </row>
    <row r="2025" spans="1:25" ht="60.75" x14ac:dyDescent="0.25">
      <c r="A2025" s="3" t="s">
        <v>26</v>
      </c>
      <c r="B2025" s="3" t="s">
        <v>27</v>
      </c>
      <c r="C2025" s="3" t="s">
        <v>28</v>
      </c>
      <c r="D2025" s="3" t="s">
        <v>40</v>
      </c>
      <c r="E2025" s="3" t="s">
        <v>287</v>
      </c>
      <c r="F2025" s="3" t="s">
        <v>42</v>
      </c>
      <c r="G2025" s="3" t="s">
        <v>287</v>
      </c>
      <c r="H2025" s="3" t="s">
        <v>32</v>
      </c>
      <c r="I2025" s="3">
        <v>2025</v>
      </c>
      <c r="J2025" s="3" t="str">
        <f>CONCATENATE("54820016571")</f>
        <v>54820016571</v>
      </c>
      <c r="K2025" s="3" t="s">
        <v>33</v>
      </c>
      <c r="L2025" s="3"/>
      <c r="M2025" s="3" t="s">
        <v>131</v>
      </c>
      <c r="N2025" s="3" t="str">
        <f>CONCATENATE("RSNMRT64E16M078M")</f>
        <v>RSNMRT64E16M078M</v>
      </c>
      <c r="O2025" s="3" t="s">
        <v>2156</v>
      </c>
      <c r="P2025" s="3" t="s">
        <v>36</v>
      </c>
      <c r="Q2025" s="3"/>
      <c r="R2025" s="4">
        <v>45996</v>
      </c>
      <c r="S2025" s="3" t="s">
        <v>37</v>
      </c>
      <c r="T2025" s="3" t="s">
        <v>38</v>
      </c>
      <c r="U2025" s="3" t="s">
        <v>39</v>
      </c>
      <c r="V2025" s="3">
        <v>154.56</v>
      </c>
      <c r="W2025" s="3">
        <v>65.69</v>
      </c>
      <c r="X2025" s="3">
        <v>62.21</v>
      </c>
      <c r="Y2025" s="3">
        <v>26.66</v>
      </c>
    </row>
    <row r="2026" spans="1:25" ht="72.75" x14ac:dyDescent="0.25">
      <c r="A2026" s="3" t="s">
        <v>26</v>
      </c>
      <c r="B2026" s="3" t="s">
        <v>27</v>
      </c>
      <c r="C2026" s="3" t="s">
        <v>28</v>
      </c>
      <c r="D2026" s="3" t="s">
        <v>50</v>
      </c>
      <c r="E2026" s="3" t="s">
        <v>60</v>
      </c>
      <c r="F2026" s="3" t="s">
        <v>52</v>
      </c>
      <c r="G2026" s="3" t="s">
        <v>60</v>
      </c>
      <c r="H2026" s="3" t="s">
        <v>45</v>
      </c>
      <c r="I2026" s="3">
        <v>2025</v>
      </c>
      <c r="J2026" s="3" t="str">
        <f>CONCATENATE("54820195748")</f>
        <v>54820195748</v>
      </c>
      <c r="K2026" s="3" t="s">
        <v>33</v>
      </c>
      <c r="L2026" s="3"/>
      <c r="M2026" s="3" t="s">
        <v>131</v>
      </c>
      <c r="N2026" s="3" t="str">
        <f>CONCATENATE("PRNGFR58B11H958U")</f>
        <v>PRNGFR58B11H958U</v>
      </c>
      <c r="O2026" s="3" t="s">
        <v>2157</v>
      </c>
      <c r="P2026" s="3" t="s">
        <v>36</v>
      </c>
      <c r="Q2026" s="3"/>
      <c r="R2026" s="4">
        <v>45996</v>
      </c>
      <c r="S2026" s="3" t="s">
        <v>37</v>
      </c>
      <c r="T2026" s="3" t="s">
        <v>38</v>
      </c>
      <c r="U2026" s="3" t="s">
        <v>39</v>
      </c>
      <c r="V2026" s="3">
        <v>230.62</v>
      </c>
      <c r="W2026" s="3">
        <v>98.01</v>
      </c>
      <c r="X2026" s="3">
        <v>92.82</v>
      </c>
      <c r="Y2026" s="3">
        <v>39.79</v>
      </c>
    </row>
    <row r="2027" spans="1:25" ht="60.75" x14ac:dyDescent="0.25">
      <c r="A2027" s="3" t="s">
        <v>26</v>
      </c>
      <c r="B2027" s="3" t="s">
        <v>27</v>
      </c>
      <c r="C2027" s="3" t="s">
        <v>28</v>
      </c>
      <c r="D2027" s="3" t="s">
        <v>50</v>
      </c>
      <c r="E2027" s="3" t="s">
        <v>173</v>
      </c>
      <c r="F2027" s="3" t="s">
        <v>52</v>
      </c>
      <c r="G2027" s="3" t="s">
        <v>173</v>
      </c>
      <c r="H2027" s="3" t="s">
        <v>45</v>
      </c>
      <c r="I2027" s="3">
        <v>2025</v>
      </c>
      <c r="J2027" s="3" t="str">
        <f>CONCATENATE("54820050349")</f>
        <v>54820050349</v>
      </c>
      <c r="K2027" s="3" t="s">
        <v>33</v>
      </c>
      <c r="L2027" s="3"/>
      <c r="M2027" s="3" t="s">
        <v>131</v>
      </c>
      <c r="N2027" s="3" t="str">
        <f>CONCATENATE("FRNDNC43T03E785U")</f>
        <v>FRNDNC43T03E785U</v>
      </c>
      <c r="O2027" s="3" t="s">
        <v>2158</v>
      </c>
      <c r="P2027" s="3" t="s">
        <v>36</v>
      </c>
      <c r="Q2027" s="3"/>
      <c r="R2027" s="4">
        <v>45996</v>
      </c>
      <c r="S2027" s="3" t="s">
        <v>37</v>
      </c>
      <c r="T2027" s="3" t="s">
        <v>38</v>
      </c>
      <c r="U2027" s="3" t="s">
        <v>39</v>
      </c>
      <c r="V2027" s="3">
        <v>92.48</v>
      </c>
      <c r="W2027" s="3">
        <v>39.299999999999997</v>
      </c>
      <c r="X2027" s="3">
        <v>37.22</v>
      </c>
      <c r="Y2027" s="3">
        <v>15.96</v>
      </c>
    </row>
    <row r="2028" spans="1:25" ht="60.75" x14ac:dyDescent="0.25">
      <c r="A2028" s="3" t="s">
        <v>26</v>
      </c>
      <c r="B2028" s="3" t="s">
        <v>27</v>
      </c>
      <c r="C2028" s="3" t="s">
        <v>28</v>
      </c>
      <c r="D2028" s="3" t="s">
        <v>50</v>
      </c>
      <c r="E2028" s="3" t="s">
        <v>173</v>
      </c>
      <c r="F2028" s="3" t="s">
        <v>52</v>
      </c>
      <c r="G2028" s="3" t="s">
        <v>173</v>
      </c>
      <c r="H2028" s="3" t="s">
        <v>45</v>
      </c>
      <c r="I2028" s="3">
        <v>2025</v>
      </c>
      <c r="J2028" s="3" t="str">
        <f>CONCATENATE("54820081344")</f>
        <v>54820081344</v>
      </c>
      <c r="K2028" s="3" t="s">
        <v>33</v>
      </c>
      <c r="L2028" s="3"/>
      <c r="M2028" s="3" t="s">
        <v>131</v>
      </c>
      <c r="N2028" s="3" t="str">
        <f>CONCATENATE("GRRGPP61T63I459U")</f>
        <v>GRRGPP61T63I459U</v>
      </c>
      <c r="O2028" s="3" t="s">
        <v>2159</v>
      </c>
      <c r="P2028" s="3" t="s">
        <v>36</v>
      </c>
      <c r="Q2028" s="3"/>
      <c r="R2028" s="4">
        <v>45996</v>
      </c>
      <c r="S2028" s="3" t="s">
        <v>37</v>
      </c>
      <c r="T2028" s="3" t="s">
        <v>38</v>
      </c>
      <c r="U2028" s="3" t="s">
        <v>39</v>
      </c>
      <c r="V2028" s="3">
        <v>758.57</v>
      </c>
      <c r="W2028" s="3">
        <v>322.39</v>
      </c>
      <c r="X2028" s="3">
        <v>305.32</v>
      </c>
      <c r="Y2028" s="3">
        <v>130.86000000000001</v>
      </c>
    </row>
    <row r="2029" spans="1:25" ht="60.75" x14ac:dyDescent="0.25">
      <c r="A2029" s="3" t="s">
        <v>26</v>
      </c>
      <c r="B2029" s="3" t="s">
        <v>27</v>
      </c>
      <c r="C2029" s="3" t="s">
        <v>28</v>
      </c>
      <c r="D2029" s="3" t="s">
        <v>29</v>
      </c>
      <c r="E2029" s="3" t="s">
        <v>136</v>
      </c>
      <c r="F2029" s="3" t="s">
        <v>31</v>
      </c>
      <c r="G2029" s="3" t="s">
        <v>136</v>
      </c>
      <c r="H2029" s="3" t="s">
        <v>48</v>
      </c>
      <c r="I2029" s="3">
        <v>2025</v>
      </c>
      <c r="J2029" s="3" t="str">
        <f>CONCATENATE("54820237938")</f>
        <v>54820237938</v>
      </c>
      <c r="K2029" s="3" t="s">
        <v>33</v>
      </c>
      <c r="L2029" s="3"/>
      <c r="M2029" s="3" t="s">
        <v>131</v>
      </c>
      <c r="N2029" s="3" t="str">
        <f>CONCATENATE("CRNLCU90D02D451Y")</f>
        <v>CRNLCU90D02D451Y</v>
      </c>
      <c r="O2029" s="3" t="s">
        <v>2160</v>
      </c>
      <c r="P2029" s="3" t="s">
        <v>36</v>
      </c>
      <c r="Q2029" s="3"/>
      <c r="R2029" s="4">
        <v>45996</v>
      </c>
      <c r="S2029" s="3" t="s">
        <v>37</v>
      </c>
      <c r="T2029" s="3" t="s">
        <v>38</v>
      </c>
      <c r="U2029" s="3" t="s">
        <v>39</v>
      </c>
      <c r="V2029" s="5">
        <v>1137.8800000000001</v>
      </c>
      <c r="W2029" s="3">
        <v>483.6</v>
      </c>
      <c r="X2029" s="3">
        <v>458</v>
      </c>
      <c r="Y2029" s="3">
        <v>196.28</v>
      </c>
    </row>
    <row r="2030" spans="1:25" ht="60.75" x14ac:dyDescent="0.25">
      <c r="A2030" s="3" t="s">
        <v>26</v>
      </c>
      <c r="B2030" s="3" t="s">
        <v>27</v>
      </c>
      <c r="C2030" s="3" t="s">
        <v>28</v>
      </c>
      <c r="D2030" s="3" t="s">
        <v>683</v>
      </c>
      <c r="E2030" s="3" t="s">
        <v>684</v>
      </c>
      <c r="F2030" s="3" t="s">
        <v>685</v>
      </c>
      <c r="G2030" s="3" t="s">
        <v>684</v>
      </c>
      <c r="H2030" s="3" t="s">
        <v>45</v>
      </c>
      <c r="I2030" s="3">
        <v>2025</v>
      </c>
      <c r="J2030" s="3" t="str">
        <f>CONCATENATE("54820158324")</f>
        <v>54820158324</v>
      </c>
      <c r="K2030" s="3" t="s">
        <v>33</v>
      </c>
      <c r="L2030" s="3"/>
      <c r="M2030" s="3" t="s">
        <v>131</v>
      </c>
      <c r="N2030" s="3" t="str">
        <f>CONCATENATE("GRSDNL74E11I459W")</f>
        <v>GRSDNL74E11I459W</v>
      </c>
      <c r="O2030" s="3" t="s">
        <v>2161</v>
      </c>
      <c r="P2030" s="3" t="s">
        <v>36</v>
      </c>
      <c r="Q2030" s="3"/>
      <c r="R2030" s="4">
        <v>45996</v>
      </c>
      <c r="S2030" s="3" t="s">
        <v>37</v>
      </c>
      <c r="T2030" s="3" t="s">
        <v>38</v>
      </c>
      <c r="U2030" s="3" t="s">
        <v>39</v>
      </c>
      <c r="V2030" s="3">
        <v>366.88</v>
      </c>
      <c r="W2030" s="3">
        <v>155.91999999999999</v>
      </c>
      <c r="X2030" s="3">
        <v>147.66999999999999</v>
      </c>
      <c r="Y2030" s="3">
        <v>63.29</v>
      </c>
    </row>
    <row r="2031" spans="1:25" ht="36.75" x14ac:dyDescent="0.25">
      <c r="A2031" s="3" t="s">
        <v>26</v>
      </c>
      <c r="B2031" s="3" t="s">
        <v>27</v>
      </c>
      <c r="C2031" s="3" t="s">
        <v>28</v>
      </c>
      <c r="D2031" s="3" t="s">
        <v>29</v>
      </c>
      <c r="E2031" s="3" t="s">
        <v>228</v>
      </c>
      <c r="F2031" s="3" t="s">
        <v>31</v>
      </c>
      <c r="G2031" s="3" t="s">
        <v>228</v>
      </c>
      <c r="H2031" s="3" t="s">
        <v>45</v>
      </c>
      <c r="I2031" s="3">
        <v>2025</v>
      </c>
      <c r="J2031" s="3" t="str">
        <f>CONCATENATE("54820069778")</f>
        <v>54820069778</v>
      </c>
      <c r="K2031" s="3" t="s">
        <v>33</v>
      </c>
      <c r="L2031" s="3"/>
      <c r="M2031" s="3" t="s">
        <v>131</v>
      </c>
      <c r="N2031" s="3" t="str">
        <f>CONCATENATE("02820310411")</f>
        <v>02820310411</v>
      </c>
      <c r="O2031" s="3" t="s">
        <v>2162</v>
      </c>
      <c r="P2031" s="3" t="s">
        <v>36</v>
      </c>
      <c r="Q2031" s="3"/>
      <c r="R2031" s="4">
        <v>45996</v>
      </c>
      <c r="S2031" s="3" t="s">
        <v>37</v>
      </c>
      <c r="T2031" s="3" t="s">
        <v>38</v>
      </c>
      <c r="U2031" s="3" t="s">
        <v>39</v>
      </c>
      <c r="V2031" s="3">
        <v>516.53</v>
      </c>
      <c r="W2031" s="3">
        <v>219.53</v>
      </c>
      <c r="X2031" s="3">
        <v>207.9</v>
      </c>
      <c r="Y2031" s="3">
        <v>89.1</v>
      </c>
    </row>
    <row r="2032" spans="1:25" ht="60.75" x14ac:dyDescent="0.25">
      <c r="A2032" s="3" t="s">
        <v>26</v>
      </c>
      <c r="B2032" s="3" t="s">
        <v>27</v>
      </c>
      <c r="C2032" s="3" t="s">
        <v>28</v>
      </c>
      <c r="D2032" s="3" t="s">
        <v>50</v>
      </c>
      <c r="E2032" s="3" t="s">
        <v>60</v>
      </c>
      <c r="F2032" s="3" t="s">
        <v>52</v>
      </c>
      <c r="G2032" s="3" t="s">
        <v>60</v>
      </c>
      <c r="H2032" s="3" t="s">
        <v>45</v>
      </c>
      <c r="I2032" s="3">
        <v>2025</v>
      </c>
      <c r="J2032" s="3" t="str">
        <f>CONCATENATE("54820155999")</f>
        <v>54820155999</v>
      </c>
      <c r="K2032" s="3" t="s">
        <v>33</v>
      </c>
      <c r="L2032" s="3"/>
      <c r="M2032" s="3" t="s">
        <v>131</v>
      </c>
      <c r="N2032" s="3" t="str">
        <f>CONCATENATE("PRLLRT63R14A327U")</f>
        <v>PRLLRT63R14A327U</v>
      </c>
      <c r="O2032" s="3" t="s">
        <v>2163</v>
      </c>
      <c r="P2032" s="3" t="s">
        <v>36</v>
      </c>
      <c r="Q2032" s="3"/>
      <c r="R2032" s="4">
        <v>45996</v>
      </c>
      <c r="S2032" s="3" t="s">
        <v>37</v>
      </c>
      <c r="T2032" s="3" t="s">
        <v>38</v>
      </c>
      <c r="U2032" s="3" t="s">
        <v>39</v>
      </c>
      <c r="V2032" s="3">
        <v>769.14</v>
      </c>
      <c r="W2032" s="3">
        <v>326.88</v>
      </c>
      <c r="X2032" s="3">
        <v>309.58</v>
      </c>
      <c r="Y2032" s="3">
        <v>132.68</v>
      </c>
    </row>
    <row r="2033" spans="1:25" ht="72.75" x14ac:dyDescent="0.25">
      <c r="A2033" s="3" t="s">
        <v>26</v>
      </c>
      <c r="B2033" s="3" t="s">
        <v>27</v>
      </c>
      <c r="C2033" s="3" t="s">
        <v>28</v>
      </c>
      <c r="D2033" s="3" t="s">
        <v>29</v>
      </c>
      <c r="E2033" s="3" t="s">
        <v>47</v>
      </c>
      <c r="F2033" s="3" t="s">
        <v>31</v>
      </c>
      <c r="G2033" s="3" t="s">
        <v>47</v>
      </c>
      <c r="H2033" s="3" t="s">
        <v>48</v>
      </c>
      <c r="I2033" s="3">
        <v>2025</v>
      </c>
      <c r="J2033" s="3" t="str">
        <f>CONCATENATE("54820008875")</f>
        <v>54820008875</v>
      </c>
      <c r="K2033" s="3" t="s">
        <v>33</v>
      </c>
      <c r="L2033" s="3"/>
      <c r="M2033" s="3" t="s">
        <v>131</v>
      </c>
      <c r="N2033" s="3" t="str">
        <f>CONCATENATE("GNTLGU38B01D451Q")</f>
        <v>GNTLGU38B01D451Q</v>
      </c>
      <c r="O2033" s="3" t="s">
        <v>2164</v>
      </c>
      <c r="P2033" s="3" t="s">
        <v>36</v>
      </c>
      <c r="Q2033" s="3"/>
      <c r="R2033" s="4">
        <v>45996</v>
      </c>
      <c r="S2033" s="3" t="s">
        <v>37</v>
      </c>
      <c r="T2033" s="3" t="s">
        <v>38</v>
      </c>
      <c r="U2033" s="3" t="s">
        <v>39</v>
      </c>
      <c r="V2033" s="3">
        <v>128.85</v>
      </c>
      <c r="W2033" s="3">
        <v>54.76</v>
      </c>
      <c r="X2033" s="3">
        <v>51.86</v>
      </c>
      <c r="Y2033" s="3">
        <v>22.23</v>
      </c>
    </row>
    <row r="2034" spans="1:25" ht="72.75" x14ac:dyDescent="0.25">
      <c r="A2034" s="3" t="s">
        <v>26</v>
      </c>
      <c r="B2034" s="3" t="s">
        <v>27</v>
      </c>
      <c r="C2034" s="3" t="s">
        <v>28</v>
      </c>
      <c r="D2034" s="3" t="s">
        <v>29</v>
      </c>
      <c r="E2034" s="3" t="s">
        <v>56</v>
      </c>
      <c r="F2034" s="3" t="s">
        <v>31</v>
      </c>
      <c r="G2034" s="3" t="s">
        <v>56</v>
      </c>
      <c r="H2034" s="3" t="s">
        <v>32</v>
      </c>
      <c r="I2034" s="3">
        <v>2025</v>
      </c>
      <c r="J2034" s="3" t="str">
        <f>CONCATENATE("54820071113")</f>
        <v>54820071113</v>
      </c>
      <c r="K2034" s="3" t="s">
        <v>33</v>
      </c>
      <c r="L2034" s="3"/>
      <c r="M2034" s="3" t="s">
        <v>131</v>
      </c>
      <c r="N2034" s="3" t="str">
        <f>CONCATENATE("FBNGRG60A18B474M")</f>
        <v>FBNGRG60A18B474M</v>
      </c>
      <c r="O2034" s="3" t="s">
        <v>2165</v>
      </c>
      <c r="P2034" s="3" t="s">
        <v>36</v>
      </c>
      <c r="Q2034" s="3"/>
      <c r="R2034" s="4">
        <v>45996</v>
      </c>
      <c r="S2034" s="3" t="s">
        <v>37</v>
      </c>
      <c r="T2034" s="3" t="s">
        <v>38</v>
      </c>
      <c r="U2034" s="3" t="s">
        <v>39</v>
      </c>
      <c r="V2034" s="3">
        <v>191.8</v>
      </c>
      <c r="W2034" s="3">
        <v>81.52</v>
      </c>
      <c r="X2034" s="3">
        <v>77.2</v>
      </c>
      <c r="Y2034" s="3">
        <v>33.08</v>
      </c>
    </row>
    <row r="2035" spans="1:25" ht="60.75" x14ac:dyDescent="0.25">
      <c r="A2035" s="3" t="s">
        <v>26</v>
      </c>
      <c r="B2035" s="3" t="s">
        <v>27</v>
      </c>
      <c r="C2035" s="3" t="s">
        <v>28</v>
      </c>
      <c r="D2035" s="3" t="s">
        <v>50</v>
      </c>
      <c r="E2035" s="3" t="s">
        <v>147</v>
      </c>
      <c r="F2035" s="3" t="s">
        <v>52</v>
      </c>
      <c r="G2035" s="3" t="s">
        <v>147</v>
      </c>
      <c r="H2035" s="3" t="s">
        <v>45</v>
      </c>
      <c r="I2035" s="3">
        <v>2025</v>
      </c>
      <c r="J2035" s="3" t="str">
        <f>CONCATENATE("54820100698")</f>
        <v>54820100698</v>
      </c>
      <c r="K2035" s="3" t="s">
        <v>33</v>
      </c>
      <c r="L2035" s="3"/>
      <c r="M2035" s="3" t="s">
        <v>131</v>
      </c>
      <c r="N2035" s="3" t="str">
        <f>CONCATENATE("CMLLSN67A71F205G")</f>
        <v>CMLLSN67A71F205G</v>
      </c>
      <c r="O2035" s="3" t="s">
        <v>2166</v>
      </c>
      <c r="P2035" s="3" t="s">
        <v>36</v>
      </c>
      <c r="Q2035" s="3"/>
      <c r="R2035" s="4">
        <v>45996</v>
      </c>
      <c r="S2035" s="3" t="s">
        <v>37</v>
      </c>
      <c r="T2035" s="3" t="s">
        <v>38</v>
      </c>
      <c r="U2035" s="3" t="s">
        <v>39</v>
      </c>
      <c r="V2035" s="3">
        <v>153.71</v>
      </c>
      <c r="W2035" s="3">
        <v>65.33</v>
      </c>
      <c r="X2035" s="3">
        <v>61.87</v>
      </c>
      <c r="Y2035" s="3">
        <v>26.51</v>
      </c>
    </row>
    <row r="2036" spans="1:25" ht="60.75" x14ac:dyDescent="0.25">
      <c r="A2036" s="3" t="s">
        <v>26</v>
      </c>
      <c r="B2036" s="3" t="s">
        <v>27</v>
      </c>
      <c r="C2036" s="3" t="s">
        <v>28</v>
      </c>
      <c r="D2036" s="3" t="s">
        <v>29</v>
      </c>
      <c r="E2036" s="3" t="s">
        <v>182</v>
      </c>
      <c r="F2036" s="3" t="s">
        <v>31</v>
      </c>
      <c r="G2036" s="3" t="s">
        <v>182</v>
      </c>
      <c r="H2036" s="3" t="s">
        <v>45</v>
      </c>
      <c r="I2036" s="3">
        <v>2025</v>
      </c>
      <c r="J2036" s="3" t="str">
        <f>CONCATENATE("54820154125")</f>
        <v>54820154125</v>
      </c>
      <c r="K2036" s="3" t="s">
        <v>33</v>
      </c>
      <c r="L2036" s="3"/>
      <c r="M2036" s="3" t="s">
        <v>131</v>
      </c>
      <c r="N2036" s="3" t="str">
        <f>CONCATENATE("SCLVTR47E22L500X")</f>
        <v>SCLVTR47E22L500X</v>
      </c>
      <c r="O2036" s="3" t="s">
        <v>2167</v>
      </c>
      <c r="P2036" s="3" t="s">
        <v>36</v>
      </c>
      <c r="Q2036" s="3"/>
      <c r="R2036" s="4">
        <v>45996</v>
      </c>
      <c r="S2036" s="3" t="s">
        <v>37</v>
      </c>
      <c r="T2036" s="3" t="s">
        <v>38</v>
      </c>
      <c r="U2036" s="3" t="s">
        <v>39</v>
      </c>
      <c r="V2036" s="3">
        <v>638.05999999999995</v>
      </c>
      <c r="W2036" s="3">
        <v>271.18</v>
      </c>
      <c r="X2036" s="3">
        <v>256.82</v>
      </c>
      <c r="Y2036" s="3">
        <v>110.06</v>
      </c>
    </row>
    <row r="2037" spans="1:25" ht="72.75" x14ac:dyDescent="0.25">
      <c r="A2037" s="3" t="s">
        <v>26</v>
      </c>
      <c r="B2037" s="3" t="s">
        <v>27</v>
      </c>
      <c r="C2037" s="3" t="s">
        <v>28</v>
      </c>
      <c r="D2037" s="3" t="s">
        <v>50</v>
      </c>
      <c r="E2037" s="3" t="s">
        <v>173</v>
      </c>
      <c r="F2037" s="3" t="s">
        <v>52</v>
      </c>
      <c r="G2037" s="3" t="s">
        <v>173</v>
      </c>
      <c r="H2037" s="3" t="s">
        <v>45</v>
      </c>
      <c r="I2037" s="3">
        <v>2025</v>
      </c>
      <c r="J2037" s="3" t="str">
        <f>CONCATENATE("54820051115")</f>
        <v>54820051115</v>
      </c>
      <c r="K2037" s="3" t="s">
        <v>33</v>
      </c>
      <c r="L2037" s="3"/>
      <c r="M2037" s="3" t="s">
        <v>131</v>
      </c>
      <c r="N2037" s="3" t="str">
        <f>CONCATENATE("MNGMLS61A42C912F")</f>
        <v>MNGMLS61A42C912F</v>
      </c>
      <c r="O2037" s="3" t="s">
        <v>2168</v>
      </c>
      <c r="P2037" s="3" t="s">
        <v>36</v>
      </c>
      <c r="Q2037" s="3"/>
      <c r="R2037" s="4">
        <v>45996</v>
      </c>
      <c r="S2037" s="3" t="s">
        <v>37</v>
      </c>
      <c r="T2037" s="3" t="s">
        <v>38</v>
      </c>
      <c r="U2037" s="3" t="s">
        <v>39</v>
      </c>
      <c r="V2037" s="3">
        <v>117.96</v>
      </c>
      <c r="W2037" s="3">
        <v>50.13</v>
      </c>
      <c r="X2037" s="3">
        <v>47.48</v>
      </c>
      <c r="Y2037" s="3">
        <v>20.350000000000001</v>
      </c>
    </row>
    <row r="2038" spans="1:25" ht="36.75" x14ac:dyDescent="0.25">
      <c r="A2038" s="3" t="s">
        <v>26</v>
      </c>
      <c r="B2038" s="3" t="s">
        <v>27</v>
      </c>
      <c r="C2038" s="3" t="s">
        <v>28</v>
      </c>
      <c r="D2038" s="3" t="s">
        <v>40</v>
      </c>
      <c r="E2038" s="3" t="s">
        <v>287</v>
      </c>
      <c r="F2038" s="3" t="s">
        <v>42</v>
      </c>
      <c r="G2038" s="3" t="s">
        <v>287</v>
      </c>
      <c r="H2038" s="3" t="s">
        <v>32</v>
      </c>
      <c r="I2038" s="3">
        <v>2025</v>
      </c>
      <c r="J2038" s="3" t="str">
        <f>CONCATENATE("54820016720")</f>
        <v>54820016720</v>
      </c>
      <c r="K2038" s="3" t="s">
        <v>33</v>
      </c>
      <c r="L2038" s="3"/>
      <c r="M2038" s="3" t="s">
        <v>131</v>
      </c>
      <c r="N2038" s="3" t="str">
        <f>CONCATENATE("01208610434")</f>
        <v>01208610434</v>
      </c>
      <c r="O2038" s="3" t="s">
        <v>2169</v>
      </c>
      <c r="P2038" s="3" t="s">
        <v>36</v>
      </c>
      <c r="Q2038" s="3"/>
      <c r="R2038" s="4">
        <v>45996</v>
      </c>
      <c r="S2038" s="3" t="s">
        <v>37</v>
      </c>
      <c r="T2038" s="3" t="s">
        <v>38</v>
      </c>
      <c r="U2038" s="3" t="s">
        <v>39</v>
      </c>
      <c r="V2038" s="3">
        <v>645.71</v>
      </c>
      <c r="W2038" s="3">
        <v>274.43</v>
      </c>
      <c r="X2038" s="3">
        <v>259.89999999999998</v>
      </c>
      <c r="Y2038" s="3">
        <v>111.38</v>
      </c>
    </row>
    <row r="2039" spans="1:25" ht="60.75" x14ac:dyDescent="0.25">
      <c r="A2039" s="3" t="s">
        <v>26</v>
      </c>
      <c r="B2039" s="3" t="s">
        <v>27</v>
      </c>
      <c r="C2039" s="3" t="s">
        <v>28</v>
      </c>
      <c r="D2039" s="3" t="s">
        <v>50</v>
      </c>
      <c r="E2039" s="3" t="s">
        <v>147</v>
      </c>
      <c r="F2039" s="3" t="s">
        <v>52</v>
      </c>
      <c r="G2039" s="3" t="s">
        <v>147</v>
      </c>
      <c r="H2039" s="3" t="s">
        <v>45</v>
      </c>
      <c r="I2039" s="3">
        <v>2025</v>
      </c>
      <c r="J2039" s="3" t="str">
        <f>CONCATENATE("54820142484")</f>
        <v>54820142484</v>
      </c>
      <c r="K2039" s="3" t="s">
        <v>33</v>
      </c>
      <c r="L2039" s="3"/>
      <c r="M2039" s="3" t="s">
        <v>131</v>
      </c>
      <c r="N2039" s="3" t="str">
        <f>CONCATENATE("DCHLVN69T18L500N")</f>
        <v>DCHLVN69T18L500N</v>
      </c>
      <c r="O2039" s="3" t="s">
        <v>2170</v>
      </c>
      <c r="P2039" s="3" t="s">
        <v>36</v>
      </c>
      <c r="Q2039" s="3"/>
      <c r="R2039" s="4">
        <v>45996</v>
      </c>
      <c r="S2039" s="3" t="s">
        <v>37</v>
      </c>
      <c r="T2039" s="3" t="s">
        <v>38</v>
      </c>
      <c r="U2039" s="3" t="s">
        <v>39</v>
      </c>
      <c r="V2039" s="3">
        <v>897.76</v>
      </c>
      <c r="W2039" s="3">
        <v>381.55</v>
      </c>
      <c r="X2039" s="3">
        <v>361.35</v>
      </c>
      <c r="Y2039" s="3">
        <v>154.86000000000001</v>
      </c>
    </row>
    <row r="2040" spans="1:25" ht="60.75" x14ac:dyDescent="0.25">
      <c r="A2040" s="3" t="s">
        <v>26</v>
      </c>
      <c r="B2040" s="3" t="s">
        <v>27</v>
      </c>
      <c r="C2040" s="3" t="s">
        <v>28</v>
      </c>
      <c r="D2040" s="3" t="s">
        <v>29</v>
      </c>
      <c r="E2040" s="3" t="s">
        <v>68</v>
      </c>
      <c r="F2040" s="3" t="s">
        <v>31</v>
      </c>
      <c r="G2040" s="3" t="s">
        <v>68</v>
      </c>
      <c r="H2040" s="3" t="s">
        <v>32</v>
      </c>
      <c r="I2040" s="3">
        <v>2025</v>
      </c>
      <c r="J2040" s="3" t="str">
        <f>CONCATENATE("54820166095")</f>
        <v>54820166095</v>
      </c>
      <c r="K2040" s="3" t="s">
        <v>33</v>
      </c>
      <c r="L2040" s="3"/>
      <c r="M2040" s="3" t="s">
        <v>131</v>
      </c>
      <c r="N2040" s="3" t="str">
        <f>CONCATENATE("NTNMRA80P13L191Z")</f>
        <v>NTNMRA80P13L191Z</v>
      </c>
      <c r="O2040" s="3" t="s">
        <v>2171</v>
      </c>
      <c r="P2040" s="3" t="s">
        <v>36</v>
      </c>
      <c r="Q2040" s="3"/>
      <c r="R2040" s="4">
        <v>45996</v>
      </c>
      <c r="S2040" s="3" t="s">
        <v>37</v>
      </c>
      <c r="T2040" s="3" t="s">
        <v>38</v>
      </c>
      <c r="U2040" s="3" t="s">
        <v>39</v>
      </c>
      <c r="V2040" s="3">
        <v>439.58</v>
      </c>
      <c r="W2040" s="3">
        <v>186.82</v>
      </c>
      <c r="X2040" s="3">
        <v>176.93</v>
      </c>
      <c r="Y2040" s="3">
        <v>75.83</v>
      </c>
    </row>
    <row r="2041" spans="1:25" ht="72.75" x14ac:dyDescent="0.25">
      <c r="A2041" s="3" t="s">
        <v>26</v>
      </c>
      <c r="B2041" s="3" t="s">
        <v>27</v>
      </c>
      <c r="C2041" s="3" t="s">
        <v>28</v>
      </c>
      <c r="D2041" s="3" t="s">
        <v>104</v>
      </c>
      <c r="E2041" s="3" t="s">
        <v>661</v>
      </c>
      <c r="F2041" s="3" t="s">
        <v>104</v>
      </c>
      <c r="G2041" s="3" t="s">
        <v>661</v>
      </c>
      <c r="H2041" s="3" t="s">
        <v>45</v>
      </c>
      <c r="I2041" s="3">
        <v>2025</v>
      </c>
      <c r="J2041" s="3" t="str">
        <f>CONCATENATE("54820167655")</f>
        <v>54820167655</v>
      </c>
      <c r="K2041" s="3" t="s">
        <v>33</v>
      </c>
      <c r="L2041" s="3"/>
      <c r="M2041" s="3" t="s">
        <v>131</v>
      </c>
      <c r="N2041" s="3" t="str">
        <f>CONCATENATE("GDUNNL61M63D749O")</f>
        <v>GDUNNL61M63D749O</v>
      </c>
      <c r="O2041" s="3" t="s">
        <v>2172</v>
      </c>
      <c r="P2041" s="3" t="s">
        <v>36</v>
      </c>
      <c r="Q2041" s="3"/>
      <c r="R2041" s="4">
        <v>45996</v>
      </c>
      <c r="S2041" s="3" t="s">
        <v>37</v>
      </c>
      <c r="T2041" s="3" t="s">
        <v>38</v>
      </c>
      <c r="U2041" s="3" t="s">
        <v>39</v>
      </c>
      <c r="V2041" s="3">
        <v>96.95</v>
      </c>
      <c r="W2041" s="3">
        <v>41.2</v>
      </c>
      <c r="X2041" s="3">
        <v>39.020000000000003</v>
      </c>
      <c r="Y2041" s="3">
        <v>16.73</v>
      </c>
    </row>
    <row r="2042" spans="1:25" ht="48.75" x14ac:dyDescent="0.25">
      <c r="A2042" s="3" t="s">
        <v>26</v>
      </c>
      <c r="B2042" s="3" t="s">
        <v>27</v>
      </c>
      <c r="C2042" s="3" t="s">
        <v>28</v>
      </c>
      <c r="D2042" s="3" t="s">
        <v>50</v>
      </c>
      <c r="E2042" s="3" t="s">
        <v>147</v>
      </c>
      <c r="F2042" s="3" t="s">
        <v>52</v>
      </c>
      <c r="G2042" s="3" t="s">
        <v>147</v>
      </c>
      <c r="H2042" s="3" t="s">
        <v>45</v>
      </c>
      <c r="I2042" s="3">
        <v>2025</v>
      </c>
      <c r="J2042" s="3" t="str">
        <f>CONCATENATE("54820161062")</f>
        <v>54820161062</v>
      </c>
      <c r="K2042" s="3" t="s">
        <v>33</v>
      </c>
      <c r="L2042" s="3"/>
      <c r="M2042" s="3" t="s">
        <v>131</v>
      </c>
      <c r="N2042" s="3" t="str">
        <f>CONCATENATE("PLLGPP36B61L498F")</f>
        <v>PLLGPP36B61L498F</v>
      </c>
      <c r="O2042" s="3" t="s">
        <v>2173</v>
      </c>
      <c r="P2042" s="3" t="s">
        <v>36</v>
      </c>
      <c r="Q2042" s="3"/>
      <c r="R2042" s="4">
        <v>45996</v>
      </c>
      <c r="S2042" s="3" t="s">
        <v>37</v>
      </c>
      <c r="T2042" s="3" t="s">
        <v>38</v>
      </c>
      <c r="U2042" s="3" t="s">
        <v>39</v>
      </c>
      <c r="V2042" s="3">
        <v>76.89</v>
      </c>
      <c r="W2042" s="3">
        <v>32.68</v>
      </c>
      <c r="X2042" s="3">
        <v>30.95</v>
      </c>
      <c r="Y2042" s="3">
        <v>13.26</v>
      </c>
    </row>
    <row r="2043" spans="1:25" ht="72.75" x14ac:dyDescent="0.25">
      <c r="A2043" s="3" t="s">
        <v>26</v>
      </c>
      <c r="B2043" s="3" t="s">
        <v>27</v>
      </c>
      <c r="C2043" s="3" t="s">
        <v>28</v>
      </c>
      <c r="D2043" s="3" t="s">
        <v>50</v>
      </c>
      <c r="E2043" s="3" t="s">
        <v>51</v>
      </c>
      <c r="F2043" s="3" t="s">
        <v>52</v>
      </c>
      <c r="G2043" s="3" t="s">
        <v>51</v>
      </c>
      <c r="H2043" s="3" t="s">
        <v>48</v>
      </c>
      <c r="I2043" s="3">
        <v>2025</v>
      </c>
      <c r="J2043" s="3" t="str">
        <f>CONCATENATE("54820176714")</f>
        <v>54820176714</v>
      </c>
      <c r="K2043" s="3" t="s">
        <v>33</v>
      </c>
      <c r="L2043" s="3"/>
      <c r="M2043" s="3" t="s">
        <v>131</v>
      </c>
      <c r="N2043" s="3" t="str">
        <f>CONCATENATE("TRNLSN95A16D451R")</f>
        <v>TRNLSN95A16D451R</v>
      </c>
      <c r="O2043" s="3" t="s">
        <v>2174</v>
      </c>
      <c r="P2043" s="3" t="s">
        <v>36</v>
      </c>
      <c r="Q2043" s="3"/>
      <c r="R2043" s="4">
        <v>45996</v>
      </c>
      <c r="S2043" s="3" t="s">
        <v>37</v>
      </c>
      <c r="T2043" s="3" t="s">
        <v>38</v>
      </c>
      <c r="U2043" s="3" t="s">
        <v>39</v>
      </c>
      <c r="V2043" s="3">
        <v>266.93</v>
      </c>
      <c r="W2043" s="3">
        <v>113.45</v>
      </c>
      <c r="X2043" s="3">
        <v>107.44</v>
      </c>
      <c r="Y2043" s="3">
        <v>46.04</v>
      </c>
    </row>
    <row r="2044" spans="1:25" ht="36.75" x14ac:dyDescent="0.25">
      <c r="A2044" s="3" t="s">
        <v>26</v>
      </c>
      <c r="B2044" s="3" t="s">
        <v>27</v>
      </c>
      <c r="C2044" s="3" t="s">
        <v>28</v>
      </c>
      <c r="D2044" s="3" t="s">
        <v>29</v>
      </c>
      <c r="E2044" s="3" t="s">
        <v>228</v>
      </c>
      <c r="F2044" s="3" t="s">
        <v>31</v>
      </c>
      <c r="G2044" s="3" t="s">
        <v>228</v>
      </c>
      <c r="H2044" s="3" t="s">
        <v>45</v>
      </c>
      <c r="I2044" s="3">
        <v>2025</v>
      </c>
      <c r="J2044" s="3" t="str">
        <f>CONCATENATE("54820105283")</f>
        <v>54820105283</v>
      </c>
      <c r="K2044" s="3" t="s">
        <v>33</v>
      </c>
      <c r="L2044" s="3"/>
      <c r="M2044" s="3" t="s">
        <v>131</v>
      </c>
      <c r="N2044" s="3" t="str">
        <f>CONCATENATE("01200080412")</f>
        <v>01200080412</v>
      </c>
      <c r="O2044" s="3" t="s">
        <v>2175</v>
      </c>
      <c r="P2044" s="3" t="s">
        <v>36</v>
      </c>
      <c r="Q2044" s="3"/>
      <c r="R2044" s="4">
        <v>45996</v>
      </c>
      <c r="S2044" s="3" t="s">
        <v>37</v>
      </c>
      <c r="T2044" s="3" t="s">
        <v>38</v>
      </c>
      <c r="U2044" s="3" t="s">
        <v>39</v>
      </c>
      <c r="V2044" s="3">
        <v>921.92</v>
      </c>
      <c r="W2044" s="3">
        <v>391.82</v>
      </c>
      <c r="X2044" s="3">
        <v>371.07</v>
      </c>
      <c r="Y2044" s="3">
        <v>159.03</v>
      </c>
    </row>
    <row r="2045" spans="1:25" ht="60.75" x14ac:dyDescent="0.25">
      <c r="A2045" s="3" t="s">
        <v>26</v>
      </c>
      <c r="B2045" s="3" t="s">
        <v>27</v>
      </c>
      <c r="C2045" s="3" t="s">
        <v>28</v>
      </c>
      <c r="D2045" s="3" t="s">
        <v>50</v>
      </c>
      <c r="E2045" s="3" t="s">
        <v>252</v>
      </c>
      <c r="F2045" s="3" t="s">
        <v>52</v>
      </c>
      <c r="G2045" s="3" t="s">
        <v>252</v>
      </c>
      <c r="H2045" s="3" t="s">
        <v>45</v>
      </c>
      <c r="I2045" s="3">
        <v>2025</v>
      </c>
      <c r="J2045" s="3" t="str">
        <f>CONCATENATE("54820120381")</f>
        <v>54820120381</v>
      </c>
      <c r="K2045" s="3" t="s">
        <v>33</v>
      </c>
      <c r="L2045" s="3"/>
      <c r="M2045" s="3" t="s">
        <v>131</v>
      </c>
      <c r="N2045" s="3" t="str">
        <f>CONCATENATE("BRBLEO30L19D749Z")</f>
        <v>BRBLEO30L19D749Z</v>
      </c>
      <c r="O2045" s="3" t="s">
        <v>2176</v>
      </c>
      <c r="P2045" s="3" t="s">
        <v>36</v>
      </c>
      <c r="Q2045" s="3"/>
      <c r="R2045" s="4">
        <v>45996</v>
      </c>
      <c r="S2045" s="3" t="s">
        <v>37</v>
      </c>
      <c r="T2045" s="3" t="s">
        <v>38</v>
      </c>
      <c r="U2045" s="3" t="s">
        <v>39</v>
      </c>
      <c r="V2045" s="3">
        <v>51.51</v>
      </c>
      <c r="W2045" s="3">
        <v>21.89</v>
      </c>
      <c r="X2045" s="3">
        <v>20.73</v>
      </c>
      <c r="Y2045" s="3">
        <v>8.89</v>
      </c>
    </row>
    <row r="2046" spans="1:25" ht="36.75" x14ac:dyDescent="0.25">
      <c r="A2046" s="3" t="s">
        <v>26</v>
      </c>
      <c r="B2046" s="3" t="s">
        <v>27</v>
      </c>
      <c r="C2046" s="3" t="s">
        <v>28</v>
      </c>
      <c r="D2046" s="3" t="s">
        <v>50</v>
      </c>
      <c r="E2046" s="3" t="s">
        <v>147</v>
      </c>
      <c r="F2046" s="3" t="s">
        <v>52</v>
      </c>
      <c r="G2046" s="3" t="s">
        <v>147</v>
      </c>
      <c r="H2046" s="3" t="s">
        <v>45</v>
      </c>
      <c r="I2046" s="3">
        <v>2025</v>
      </c>
      <c r="J2046" s="3" t="str">
        <f>CONCATENATE("54820199237")</f>
        <v>54820199237</v>
      </c>
      <c r="K2046" s="3" t="s">
        <v>33</v>
      </c>
      <c r="L2046" s="3"/>
      <c r="M2046" s="3" t="s">
        <v>131</v>
      </c>
      <c r="N2046" s="3" t="str">
        <f>CONCATENATE("02148350412")</f>
        <v>02148350412</v>
      </c>
      <c r="O2046" s="3" t="s">
        <v>2177</v>
      </c>
      <c r="P2046" s="3" t="s">
        <v>36</v>
      </c>
      <c r="Q2046" s="3"/>
      <c r="R2046" s="4">
        <v>45996</v>
      </c>
      <c r="S2046" s="3" t="s">
        <v>37</v>
      </c>
      <c r="T2046" s="3" t="s">
        <v>38</v>
      </c>
      <c r="U2046" s="3" t="s">
        <v>39</v>
      </c>
      <c r="V2046" s="3">
        <v>576.87</v>
      </c>
      <c r="W2046" s="3">
        <v>245.17</v>
      </c>
      <c r="X2046" s="3">
        <v>232.19</v>
      </c>
      <c r="Y2046" s="3">
        <v>99.51</v>
      </c>
    </row>
    <row r="2047" spans="1:25" ht="60.75" x14ac:dyDescent="0.25">
      <c r="A2047" s="3" t="s">
        <v>26</v>
      </c>
      <c r="B2047" s="3" t="s">
        <v>27</v>
      </c>
      <c r="C2047" s="3" t="s">
        <v>28</v>
      </c>
      <c r="D2047" s="3" t="s">
        <v>29</v>
      </c>
      <c r="E2047" s="3" t="s">
        <v>47</v>
      </c>
      <c r="F2047" s="3" t="s">
        <v>31</v>
      </c>
      <c r="G2047" s="3" t="s">
        <v>47</v>
      </c>
      <c r="H2047" s="3" t="s">
        <v>48</v>
      </c>
      <c r="I2047" s="3">
        <v>2025</v>
      </c>
      <c r="J2047" s="3" t="str">
        <f>CONCATENATE("54820167085")</f>
        <v>54820167085</v>
      </c>
      <c r="K2047" s="3" t="s">
        <v>33</v>
      </c>
      <c r="L2047" s="3"/>
      <c r="M2047" s="3" t="s">
        <v>131</v>
      </c>
      <c r="N2047" s="3" t="str">
        <f>CONCATENATE("ZPPMLE44T01D429T")</f>
        <v>ZPPMLE44T01D429T</v>
      </c>
      <c r="O2047" s="3" t="s">
        <v>2178</v>
      </c>
      <c r="P2047" s="3" t="s">
        <v>36</v>
      </c>
      <c r="Q2047" s="3"/>
      <c r="R2047" s="4">
        <v>45996</v>
      </c>
      <c r="S2047" s="3" t="s">
        <v>37</v>
      </c>
      <c r="T2047" s="3" t="s">
        <v>38</v>
      </c>
      <c r="U2047" s="3" t="s">
        <v>39</v>
      </c>
      <c r="V2047" s="3">
        <v>108.25</v>
      </c>
      <c r="W2047" s="3">
        <v>46.01</v>
      </c>
      <c r="X2047" s="3">
        <v>43.57</v>
      </c>
      <c r="Y2047" s="3">
        <v>18.670000000000002</v>
      </c>
    </row>
    <row r="2048" spans="1:25" ht="60.75" x14ac:dyDescent="0.25">
      <c r="A2048" s="3" t="s">
        <v>26</v>
      </c>
      <c r="B2048" s="3" t="s">
        <v>27</v>
      </c>
      <c r="C2048" s="3" t="s">
        <v>28</v>
      </c>
      <c r="D2048" s="3" t="s">
        <v>50</v>
      </c>
      <c r="E2048" s="3" t="s">
        <v>51</v>
      </c>
      <c r="F2048" s="3" t="s">
        <v>52</v>
      </c>
      <c r="G2048" s="3" t="s">
        <v>51</v>
      </c>
      <c r="H2048" s="3" t="s">
        <v>48</v>
      </c>
      <c r="I2048" s="3">
        <v>2025</v>
      </c>
      <c r="J2048" s="3" t="str">
        <f>CONCATENATE("54820163613")</f>
        <v>54820163613</v>
      </c>
      <c r="K2048" s="3" t="s">
        <v>33</v>
      </c>
      <c r="L2048" s="3"/>
      <c r="M2048" s="3" t="s">
        <v>131</v>
      </c>
      <c r="N2048" s="3" t="str">
        <f>CONCATENATE("LTNSLV40D66H886Q")</f>
        <v>LTNSLV40D66H886Q</v>
      </c>
      <c r="O2048" s="3" t="s">
        <v>2179</v>
      </c>
      <c r="P2048" s="3" t="s">
        <v>36</v>
      </c>
      <c r="Q2048" s="3"/>
      <c r="R2048" s="4">
        <v>45996</v>
      </c>
      <c r="S2048" s="3" t="s">
        <v>37</v>
      </c>
      <c r="T2048" s="3" t="s">
        <v>38</v>
      </c>
      <c r="U2048" s="3" t="s">
        <v>39</v>
      </c>
      <c r="V2048" s="3">
        <v>258.20999999999998</v>
      </c>
      <c r="W2048" s="3">
        <v>109.74</v>
      </c>
      <c r="X2048" s="3">
        <v>103.93</v>
      </c>
      <c r="Y2048" s="3">
        <v>44.54</v>
      </c>
    </row>
    <row r="2049" spans="1:25" ht="72.75" x14ac:dyDescent="0.25">
      <c r="A2049" s="3" t="s">
        <v>26</v>
      </c>
      <c r="B2049" s="3" t="s">
        <v>27</v>
      </c>
      <c r="C2049" s="3" t="s">
        <v>28</v>
      </c>
      <c r="D2049" s="3" t="s">
        <v>50</v>
      </c>
      <c r="E2049" s="3" t="s">
        <v>51</v>
      </c>
      <c r="F2049" s="3" t="s">
        <v>52</v>
      </c>
      <c r="G2049" s="3" t="s">
        <v>51</v>
      </c>
      <c r="H2049" s="3" t="s">
        <v>48</v>
      </c>
      <c r="I2049" s="3">
        <v>2025</v>
      </c>
      <c r="J2049" s="3" t="str">
        <f>CONCATENATE("54820163688")</f>
        <v>54820163688</v>
      </c>
      <c r="K2049" s="3" t="s">
        <v>33</v>
      </c>
      <c r="L2049" s="3"/>
      <c r="M2049" s="3" t="s">
        <v>131</v>
      </c>
      <c r="N2049" s="3" t="str">
        <f>CONCATENATE("MROMSM80H29I608B")</f>
        <v>MROMSM80H29I608B</v>
      </c>
      <c r="O2049" s="3" t="s">
        <v>2180</v>
      </c>
      <c r="P2049" s="3" t="s">
        <v>36</v>
      </c>
      <c r="Q2049" s="3"/>
      <c r="R2049" s="4">
        <v>45996</v>
      </c>
      <c r="S2049" s="3" t="s">
        <v>37</v>
      </c>
      <c r="T2049" s="3" t="s">
        <v>38</v>
      </c>
      <c r="U2049" s="3" t="s">
        <v>39</v>
      </c>
      <c r="V2049" s="3">
        <v>70.91</v>
      </c>
      <c r="W2049" s="3">
        <v>30.14</v>
      </c>
      <c r="X2049" s="3">
        <v>28.54</v>
      </c>
      <c r="Y2049" s="3">
        <v>12.23</v>
      </c>
    </row>
    <row r="2050" spans="1:25" ht="60.75" x14ac:dyDescent="0.25">
      <c r="A2050" s="3" t="s">
        <v>26</v>
      </c>
      <c r="B2050" s="3" t="s">
        <v>27</v>
      </c>
      <c r="C2050" s="3" t="s">
        <v>28</v>
      </c>
      <c r="D2050" s="3" t="s">
        <v>29</v>
      </c>
      <c r="E2050" s="3" t="s">
        <v>119</v>
      </c>
      <c r="F2050" s="3" t="s">
        <v>31</v>
      </c>
      <c r="G2050" s="3" t="s">
        <v>119</v>
      </c>
      <c r="H2050" s="3" t="s">
        <v>96</v>
      </c>
      <c r="I2050" s="3">
        <v>2025</v>
      </c>
      <c r="J2050" s="3" t="str">
        <f>CONCATENATE("54820090121")</f>
        <v>54820090121</v>
      </c>
      <c r="K2050" s="3" t="s">
        <v>33</v>
      </c>
      <c r="L2050" s="3"/>
      <c r="M2050" s="3" t="s">
        <v>131</v>
      </c>
      <c r="N2050" s="3" t="str">
        <f>CONCATENATE("FLMPLN58P24D691G")</f>
        <v>FLMPLN58P24D691G</v>
      </c>
      <c r="O2050" s="3" t="s">
        <v>2181</v>
      </c>
      <c r="P2050" s="3" t="s">
        <v>36</v>
      </c>
      <c r="Q2050" s="3"/>
      <c r="R2050" s="4">
        <v>45996</v>
      </c>
      <c r="S2050" s="3" t="s">
        <v>37</v>
      </c>
      <c r="T2050" s="3" t="s">
        <v>38</v>
      </c>
      <c r="U2050" s="3" t="s">
        <v>39</v>
      </c>
      <c r="V2050" s="3">
        <v>452.82</v>
      </c>
      <c r="W2050" s="3">
        <v>192.45</v>
      </c>
      <c r="X2050" s="3">
        <v>182.26</v>
      </c>
      <c r="Y2050" s="3">
        <v>78.11</v>
      </c>
    </row>
    <row r="2051" spans="1:25" ht="60.75" x14ac:dyDescent="0.25">
      <c r="A2051" s="3" t="s">
        <v>26</v>
      </c>
      <c r="B2051" s="3" t="s">
        <v>27</v>
      </c>
      <c r="C2051" s="3" t="s">
        <v>28</v>
      </c>
      <c r="D2051" s="3" t="s">
        <v>29</v>
      </c>
      <c r="E2051" s="3" t="s">
        <v>136</v>
      </c>
      <c r="F2051" s="3" t="s">
        <v>31</v>
      </c>
      <c r="G2051" s="3" t="s">
        <v>136</v>
      </c>
      <c r="H2051" s="3" t="s">
        <v>48</v>
      </c>
      <c r="I2051" s="3">
        <v>2025</v>
      </c>
      <c r="J2051" s="3" t="str">
        <f>CONCATENATE("54820184361")</f>
        <v>54820184361</v>
      </c>
      <c r="K2051" s="3" t="s">
        <v>33</v>
      </c>
      <c r="L2051" s="3"/>
      <c r="M2051" s="3" t="s">
        <v>131</v>
      </c>
      <c r="N2051" s="3" t="str">
        <f>CONCATENATE("SLFLGU38R14I461I")</f>
        <v>SLFLGU38R14I461I</v>
      </c>
      <c r="O2051" s="3" t="s">
        <v>2182</v>
      </c>
      <c r="P2051" s="3" t="s">
        <v>36</v>
      </c>
      <c r="Q2051" s="3"/>
      <c r="R2051" s="4">
        <v>45996</v>
      </c>
      <c r="S2051" s="3" t="s">
        <v>37</v>
      </c>
      <c r="T2051" s="3" t="s">
        <v>38</v>
      </c>
      <c r="U2051" s="3" t="s">
        <v>39</v>
      </c>
      <c r="V2051" s="3">
        <v>480.16</v>
      </c>
      <c r="W2051" s="3">
        <v>204.07</v>
      </c>
      <c r="X2051" s="3">
        <v>193.26</v>
      </c>
      <c r="Y2051" s="3">
        <v>82.83</v>
      </c>
    </row>
    <row r="2052" spans="1:25" ht="36.75" x14ac:dyDescent="0.25">
      <c r="A2052" s="3" t="s">
        <v>26</v>
      </c>
      <c r="B2052" s="3" t="s">
        <v>27</v>
      </c>
      <c r="C2052" s="3" t="s">
        <v>28</v>
      </c>
      <c r="D2052" s="3" t="s">
        <v>29</v>
      </c>
      <c r="E2052" s="3" t="s">
        <v>68</v>
      </c>
      <c r="F2052" s="3" t="s">
        <v>31</v>
      </c>
      <c r="G2052" s="3" t="s">
        <v>68</v>
      </c>
      <c r="H2052" s="3" t="s">
        <v>32</v>
      </c>
      <c r="I2052" s="3">
        <v>2025</v>
      </c>
      <c r="J2052" s="3" t="str">
        <f>CONCATENATE("54820201934")</f>
        <v>54820201934</v>
      </c>
      <c r="K2052" s="3" t="s">
        <v>33</v>
      </c>
      <c r="L2052" s="3"/>
      <c r="M2052" s="3" t="s">
        <v>131</v>
      </c>
      <c r="N2052" s="3" t="str">
        <f>CONCATENATE("01677990432")</f>
        <v>01677990432</v>
      </c>
      <c r="O2052" s="3" t="s">
        <v>2183</v>
      </c>
      <c r="P2052" s="3" t="s">
        <v>36</v>
      </c>
      <c r="Q2052" s="3"/>
      <c r="R2052" s="4">
        <v>45996</v>
      </c>
      <c r="S2052" s="3" t="s">
        <v>37</v>
      </c>
      <c r="T2052" s="3" t="s">
        <v>38</v>
      </c>
      <c r="U2052" s="3" t="s">
        <v>39</v>
      </c>
      <c r="V2052" s="3">
        <v>873.29</v>
      </c>
      <c r="W2052" s="3">
        <v>371.15</v>
      </c>
      <c r="X2052" s="3">
        <v>351.5</v>
      </c>
      <c r="Y2052" s="3">
        <v>150.63999999999999</v>
      </c>
    </row>
    <row r="2053" spans="1:25" ht="72.75" x14ac:dyDescent="0.25">
      <c r="A2053" s="3" t="s">
        <v>26</v>
      </c>
      <c r="B2053" s="3" t="s">
        <v>27</v>
      </c>
      <c r="C2053" s="3" t="s">
        <v>28</v>
      </c>
      <c r="D2053" s="3" t="s">
        <v>50</v>
      </c>
      <c r="E2053" s="3" t="s">
        <v>147</v>
      </c>
      <c r="F2053" s="3" t="s">
        <v>52</v>
      </c>
      <c r="G2053" s="3" t="s">
        <v>147</v>
      </c>
      <c r="H2053" s="3" t="s">
        <v>45</v>
      </c>
      <c r="I2053" s="3">
        <v>2025</v>
      </c>
      <c r="J2053" s="3" t="str">
        <f>CONCATENATE("54820120050")</f>
        <v>54820120050</v>
      </c>
      <c r="K2053" s="3" t="s">
        <v>33</v>
      </c>
      <c r="L2053" s="3"/>
      <c r="M2053" s="3" t="s">
        <v>131</v>
      </c>
      <c r="N2053" s="3" t="str">
        <f>CONCATENATE("PSSGFR57H11G514G")</f>
        <v>PSSGFR57H11G514G</v>
      </c>
      <c r="O2053" s="3" t="s">
        <v>2184</v>
      </c>
      <c r="P2053" s="3" t="s">
        <v>36</v>
      </c>
      <c r="Q2053" s="3"/>
      <c r="R2053" s="4">
        <v>45996</v>
      </c>
      <c r="S2053" s="3" t="s">
        <v>37</v>
      </c>
      <c r="T2053" s="3" t="s">
        <v>38</v>
      </c>
      <c r="U2053" s="3" t="s">
        <v>39</v>
      </c>
      <c r="V2053" s="3">
        <v>100.35</v>
      </c>
      <c r="W2053" s="3">
        <v>42.65</v>
      </c>
      <c r="X2053" s="3">
        <v>40.39</v>
      </c>
      <c r="Y2053" s="3">
        <v>17.309999999999999</v>
      </c>
    </row>
    <row r="2054" spans="1:25" ht="60.75" x14ac:dyDescent="0.25">
      <c r="A2054" s="3" t="s">
        <v>26</v>
      </c>
      <c r="B2054" s="3" t="s">
        <v>27</v>
      </c>
      <c r="C2054" s="3" t="s">
        <v>28</v>
      </c>
      <c r="D2054" s="3" t="s">
        <v>50</v>
      </c>
      <c r="E2054" s="3" t="s">
        <v>147</v>
      </c>
      <c r="F2054" s="3" t="s">
        <v>52</v>
      </c>
      <c r="G2054" s="3" t="s">
        <v>147</v>
      </c>
      <c r="H2054" s="3" t="s">
        <v>45</v>
      </c>
      <c r="I2054" s="3">
        <v>2025</v>
      </c>
      <c r="J2054" s="3" t="str">
        <f>CONCATENATE("54820179882")</f>
        <v>54820179882</v>
      </c>
      <c r="K2054" s="3" t="s">
        <v>33</v>
      </c>
      <c r="L2054" s="3"/>
      <c r="M2054" s="3" t="s">
        <v>131</v>
      </c>
      <c r="N2054" s="3" t="str">
        <f>CONCATENATE("RTNGNN64L17G514A")</f>
        <v>RTNGNN64L17G514A</v>
      </c>
      <c r="O2054" s="3" t="s">
        <v>2185</v>
      </c>
      <c r="P2054" s="3" t="s">
        <v>36</v>
      </c>
      <c r="Q2054" s="3"/>
      <c r="R2054" s="4">
        <v>45996</v>
      </c>
      <c r="S2054" s="3" t="s">
        <v>37</v>
      </c>
      <c r="T2054" s="3" t="s">
        <v>38</v>
      </c>
      <c r="U2054" s="3" t="s">
        <v>39</v>
      </c>
      <c r="V2054" s="3">
        <v>274.55</v>
      </c>
      <c r="W2054" s="3">
        <v>116.68</v>
      </c>
      <c r="X2054" s="3">
        <v>110.51</v>
      </c>
      <c r="Y2054" s="3">
        <v>47.36</v>
      </c>
    </row>
    <row r="2055" spans="1:25" ht="60.75" x14ac:dyDescent="0.25">
      <c r="A2055" s="3" t="s">
        <v>26</v>
      </c>
      <c r="B2055" s="3" t="s">
        <v>27</v>
      </c>
      <c r="C2055" s="3" t="s">
        <v>28</v>
      </c>
      <c r="D2055" s="3" t="s">
        <v>50</v>
      </c>
      <c r="E2055" s="3" t="s">
        <v>51</v>
      </c>
      <c r="F2055" s="3" t="s">
        <v>52</v>
      </c>
      <c r="G2055" s="3" t="s">
        <v>51</v>
      </c>
      <c r="H2055" s="3" t="s">
        <v>48</v>
      </c>
      <c r="I2055" s="3">
        <v>2025</v>
      </c>
      <c r="J2055" s="3" t="str">
        <f>CONCATENATE("54820191838")</f>
        <v>54820191838</v>
      </c>
      <c r="K2055" s="3" t="s">
        <v>33</v>
      </c>
      <c r="L2055" s="3"/>
      <c r="M2055" s="3" t="s">
        <v>131</v>
      </c>
      <c r="N2055" s="3" t="str">
        <f>CONCATENATE("SBFMSM67P23F453S")</f>
        <v>SBFMSM67P23F453S</v>
      </c>
      <c r="O2055" s="3" t="s">
        <v>2186</v>
      </c>
      <c r="P2055" s="3" t="s">
        <v>36</v>
      </c>
      <c r="Q2055" s="3"/>
      <c r="R2055" s="4">
        <v>45996</v>
      </c>
      <c r="S2055" s="3" t="s">
        <v>37</v>
      </c>
      <c r="T2055" s="3" t="s">
        <v>38</v>
      </c>
      <c r="U2055" s="3" t="s">
        <v>39</v>
      </c>
      <c r="V2055" s="3">
        <v>82.85</v>
      </c>
      <c r="W2055" s="3">
        <v>35.21</v>
      </c>
      <c r="X2055" s="3">
        <v>33.35</v>
      </c>
      <c r="Y2055" s="3">
        <v>14.29</v>
      </c>
    </row>
    <row r="2056" spans="1:25" ht="60.75" x14ac:dyDescent="0.25">
      <c r="A2056" s="3" t="s">
        <v>26</v>
      </c>
      <c r="B2056" s="3" t="s">
        <v>27</v>
      </c>
      <c r="C2056" s="3" t="s">
        <v>28</v>
      </c>
      <c r="D2056" s="3" t="s">
        <v>29</v>
      </c>
      <c r="E2056" s="3" t="s">
        <v>136</v>
      </c>
      <c r="F2056" s="3" t="s">
        <v>31</v>
      </c>
      <c r="G2056" s="3" t="s">
        <v>136</v>
      </c>
      <c r="H2056" s="3" t="s">
        <v>48</v>
      </c>
      <c r="I2056" s="3">
        <v>2025</v>
      </c>
      <c r="J2056" s="3" t="str">
        <f>CONCATENATE("54820201686")</f>
        <v>54820201686</v>
      </c>
      <c r="K2056" s="3" t="s">
        <v>33</v>
      </c>
      <c r="L2056" s="3"/>
      <c r="M2056" s="3" t="s">
        <v>131</v>
      </c>
      <c r="N2056" s="3" t="str">
        <f>CONCATENATE("STCLNE53C42Z129T")</f>
        <v>STCLNE53C42Z129T</v>
      </c>
      <c r="O2056" s="3" t="s">
        <v>2187</v>
      </c>
      <c r="P2056" s="3" t="s">
        <v>36</v>
      </c>
      <c r="Q2056" s="3"/>
      <c r="R2056" s="4">
        <v>45996</v>
      </c>
      <c r="S2056" s="3" t="s">
        <v>37</v>
      </c>
      <c r="T2056" s="3" t="s">
        <v>38</v>
      </c>
      <c r="U2056" s="3" t="s">
        <v>39</v>
      </c>
      <c r="V2056" s="3">
        <v>123.02</v>
      </c>
      <c r="W2056" s="3">
        <v>52.28</v>
      </c>
      <c r="X2056" s="3">
        <v>49.52</v>
      </c>
      <c r="Y2056" s="3">
        <v>21.22</v>
      </c>
    </row>
    <row r="2057" spans="1:25" ht="60.75" x14ac:dyDescent="0.25">
      <c r="A2057" s="3" t="s">
        <v>26</v>
      </c>
      <c r="B2057" s="3" t="s">
        <v>27</v>
      </c>
      <c r="C2057" s="3" t="s">
        <v>28</v>
      </c>
      <c r="D2057" s="3" t="s">
        <v>29</v>
      </c>
      <c r="E2057" s="3" t="s">
        <v>47</v>
      </c>
      <c r="F2057" s="3" t="s">
        <v>31</v>
      </c>
      <c r="G2057" s="3" t="s">
        <v>47</v>
      </c>
      <c r="H2057" s="3" t="s">
        <v>48</v>
      </c>
      <c r="I2057" s="3">
        <v>2025</v>
      </c>
      <c r="J2057" s="3" t="str">
        <f>CONCATENATE("54820197355")</f>
        <v>54820197355</v>
      </c>
      <c r="K2057" s="3" t="s">
        <v>33</v>
      </c>
      <c r="L2057" s="3"/>
      <c r="M2057" s="3" t="s">
        <v>131</v>
      </c>
      <c r="N2057" s="3" t="str">
        <f>CONCATENATE("TBRTZN77A28D451L")</f>
        <v>TBRTZN77A28D451L</v>
      </c>
      <c r="O2057" s="3" t="s">
        <v>2188</v>
      </c>
      <c r="P2057" s="3" t="s">
        <v>36</v>
      </c>
      <c r="Q2057" s="3"/>
      <c r="R2057" s="4">
        <v>45996</v>
      </c>
      <c r="S2057" s="3" t="s">
        <v>37</v>
      </c>
      <c r="T2057" s="3" t="s">
        <v>38</v>
      </c>
      <c r="U2057" s="3" t="s">
        <v>39</v>
      </c>
      <c r="V2057" s="3">
        <v>61.73</v>
      </c>
      <c r="W2057" s="3">
        <v>26.24</v>
      </c>
      <c r="X2057" s="3">
        <v>24.85</v>
      </c>
      <c r="Y2057" s="3">
        <v>10.64</v>
      </c>
    </row>
    <row r="2058" spans="1:25" ht="60.75" x14ac:dyDescent="0.25">
      <c r="A2058" s="3" t="s">
        <v>26</v>
      </c>
      <c r="B2058" s="3" t="s">
        <v>27</v>
      </c>
      <c r="C2058" s="3" t="s">
        <v>28</v>
      </c>
      <c r="D2058" s="3" t="s">
        <v>50</v>
      </c>
      <c r="E2058" s="3" t="s">
        <v>51</v>
      </c>
      <c r="F2058" s="3" t="s">
        <v>52</v>
      </c>
      <c r="G2058" s="3" t="s">
        <v>51</v>
      </c>
      <c r="H2058" s="3" t="s">
        <v>48</v>
      </c>
      <c r="I2058" s="3">
        <v>2025</v>
      </c>
      <c r="J2058" s="3" t="str">
        <f>CONCATENATE("54820163431")</f>
        <v>54820163431</v>
      </c>
      <c r="K2058" s="3" t="s">
        <v>33</v>
      </c>
      <c r="L2058" s="3"/>
      <c r="M2058" s="3" t="s">
        <v>131</v>
      </c>
      <c r="N2058" s="3" t="str">
        <f>CONCATENATE("GLTMRC69P19I461E")</f>
        <v>GLTMRC69P19I461E</v>
      </c>
      <c r="O2058" s="3" t="s">
        <v>2189</v>
      </c>
      <c r="P2058" s="3" t="s">
        <v>36</v>
      </c>
      <c r="Q2058" s="3"/>
      <c r="R2058" s="4">
        <v>45996</v>
      </c>
      <c r="S2058" s="3" t="s">
        <v>37</v>
      </c>
      <c r="T2058" s="3" t="s">
        <v>38</v>
      </c>
      <c r="U2058" s="3" t="s">
        <v>39</v>
      </c>
      <c r="V2058" s="3">
        <v>107.82</v>
      </c>
      <c r="W2058" s="3">
        <v>45.82</v>
      </c>
      <c r="X2058" s="3">
        <v>43.4</v>
      </c>
      <c r="Y2058" s="3">
        <v>18.600000000000001</v>
      </c>
    </row>
    <row r="2059" spans="1:25" ht="60.75" x14ac:dyDescent="0.25">
      <c r="A2059" s="3" t="s">
        <v>26</v>
      </c>
      <c r="B2059" s="3" t="s">
        <v>27</v>
      </c>
      <c r="C2059" s="3" t="s">
        <v>28</v>
      </c>
      <c r="D2059" s="3" t="s">
        <v>29</v>
      </c>
      <c r="E2059" s="3" t="s">
        <v>136</v>
      </c>
      <c r="F2059" s="3" t="s">
        <v>31</v>
      </c>
      <c r="G2059" s="3" t="s">
        <v>136</v>
      </c>
      <c r="H2059" s="3" t="s">
        <v>48</v>
      </c>
      <c r="I2059" s="3">
        <v>2025</v>
      </c>
      <c r="J2059" s="3" t="str">
        <f>CONCATENATE("54820127576")</f>
        <v>54820127576</v>
      </c>
      <c r="K2059" s="3" t="s">
        <v>33</v>
      </c>
      <c r="L2059" s="3"/>
      <c r="M2059" s="3" t="s">
        <v>131</v>
      </c>
      <c r="N2059" s="3" t="str">
        <f>CONCATENATE("GRFGRG77P08D451Y")</f>
        <v>GRFGRG77P08D451Y</v>
      </c>
      <c r="O2059" s="3" t="s">
        <v>2190</v>
      </c>
      <c r="P2059" s="3" t="s">
        <v>36</v>
      </c>
      <c r="Q2059" s="3"/>
      <c r="R2059" s="4">
        <v>45996</v>
      </c>
      <c r="S2059" s="3" t="s">
        <v>37</v>
      </c>
      <c r="T2059" s="3" t="s">
        <v>38</v>
      </c>
      <c r="U2059" s="3" t="s">
        <v>39</v>
      </c>
      <c r="V2059" s="3">
        <v>195.59</v>
      </c>
      <c r="W2059" s="3">
        <v>83.13</v>
      </c>
      <c r="X2059" s="3">
        <v>78.72</v>
      </c>
      <c r="Y2059" s="3">
        <v>33.74</v>
      </c>
    </row>
    <row r="2060" spans="1:25" ht="60.75" x14ac:dyDescent="0.25">
      <c r="A2060" s="3" t="s">
        <v>26</v>
      </c>
      <c r="B2060" s="3" t="s">
        <v>27</v>
      </c>
      <c r="C2060" s="3" t="s">
        <v>28</v>
      </c>
      <c r="D2060" s="3" t="s">
        <v>50</v>
      </c>
      <c r="E2060" s="3" t="s">
        <v>147</v>
      </c>
      <c r="F2060" s="3" t="s">
        <v>52</v>
      </c>
      <c r="G2060" s="3" t="s">
        <v>147</v>
      </c>
      <c r="H2060" s="3" t="s">
        <v>45</v>
      </c>
      <c r="I2060" s="3">
        <v>2025</v>
      </c>
      <c r="J2060" s="3" t="str">
        <f>CONCATENATE("54820102769")</f>
        <v>54820102769</v>
      </c>
      <c r="K2060" s="3" t="s">
        <v>33</v>
      </c>
      <c r="L2060" s="3"/>
      <c r="M2060" s="3" t="s">
        <v>131</v>
      </c>
      <c r="N2060" s="3" t="str">
        <f>CONCATENATE("RNDLDA41D41L500O")</f>
        <v>RNDLDA41D41L500O</v>
      </c>
      <c r="O2060" s="3" t="s">
        <v>2191</v>
      </c>
      <c r="P2060" s="3" t="s">
        <v>36</v>
      </c>
      <c r="Q2060" s="3"/>
      <c r="R2060" s="4">
        <v>45996</v>
      </c>
      <c r="S2060" s="3" t="s">
        <v>37</v>
      </c>
      <c r="T2060" s="3" t="s">
        <v>38</v>
      </c>
      <c r="U2060" s="3" t="s">
        <v>39</v>
      </c>
      <c r="V2060" s="3">
        <v>127.33</v>
      </c>
      <c r="W2060" s="3">
        <v>54.12</v>
      </c>
      <c r="X2060" s="3">
        <v>51.25</v>
      </c>
      <c r="Y2060" s="3">
        <v>21.96</v>
      </c>
    </row>
    <row r="2061" spans="1:25" ht="72.75" x14ac:dyDescent="0.25">
      <c r="A2061" s="3" t="s">
        <v>26</v>
      </c>
      <c r="B2061" s="3" t="s">
        <v>27</v>
      </c>
      <c r="C2061" s="3" t="s">
        <v>28</v>
      </c>
      <c r="D2061" s="3" t="s">
        <v>50</v>
      </c>
      <c r="E2061" s="3" t="s">
        <v>147</v>
      </c>
      <c r="F2061" s="3" t="s">
        <v>52</v>
      </c>
      <c r="G2061" s="3" t="s">
        <v>147</v>
      </c>
      <c r="H2061" s="3" t="s">
        <v>45</v>
      </c>
      <c r="I2061" s="3">
        <v>2025</v>
      </c>
      <c r="J2061" s="3" t="str">
        <f>CONCATENATE("54820103015")</f>
        <v>54820103015</v>
      </c>
      <c r="K2061" s="3" t="s">
        <v>33</v>
      </c>
      <c r="L2061" s="3"/>
      <c r="M2061" s="3" t="s">
        <v>131</v>
      </c>
      <c r="N2061" s="3" t="str">
        <f>CONCATENATE("RNDNMR58A60D749U")</f>
        <v>RNDNMR58A60D749U</v>
      </c>
      <c r="O2061" s="3" t="s">
        <v>2192</v>
      </c>
      <c r="P2061" s="3" t="s">
        <v>36</v>
      </c>
      <c r="Q2061" s="3"/>
      <c r="R2061" s="4">
        <v>45996</v>
      </c>
      <c r="S2061" s="3" t="s">
        <v>37</v>
      </c>
      <c r="T2061" s="3" t="s">
        <v>38</v>
      </c>
      <c r="U2061" s="3" t="s">
        <v>39</v>
      </c>
      <c r="V2061" s="3">
        <v>101.05</v>
      </c>
      <c r="W2061" s="3">
        <v>42.95</v>
      </c>
      <c r="X2061" s="3">
        <v>40.67</v>
      </c>
      <c r="Y2061" s="3">
        <v>17.43</v>
      </c>
    </row>
    <row r="2062" spans="1:25" ht="60.75" x14ac:dyDescent="0.25">
      <c r="A2062" s="3" t="s">
        <v>26</v>
      </c>
      <c r="B2062" s="3" t="s">
        <v>27</v>
      </c>
      <c r="C2062" s="3" t="s">
        <v>28</v>
      </c>
      <c r="D2062" s="3" t="s">
        <v>50</v>
      </c>
      <c r="E2062" s="3" t="s">
        <v>2193</v>
      </c>
      <c r="F2062" s="3" t="s">
        <v>52</v>
      </c>
      <c r="G2062" s="3" t="s">
        <v>2193</v>
      </c>
      <c r="H2062" s="3" t="s">
        <v>48</v>
      </c>
      <c r="I2062" s="3">
        <v>2025</v>
      </c>
      <c r="J2062" s="3" t="str">
        <f>CONCATENATE("54820167333")</f>
        <v>54820167333</v>
      </c>
      <c r="K2062" s="3" t="s">
        <v>33</v>
      </c>
      <c r="L2062" s="3"/>
      <c r="M2062" s="3" t="s">
        <v>131</v>
      </c>
      <c r="N2062" s="3" t="str">
        <f>CONCATENATE("SRNMNL75D23G157C")</f>
        <v>SRNMNL75D23G157C</v>
      </c>
      <c r="O2062" s="3" t="s">
        <v>2194</v>
      </c>
      <c r="P2062" s="3" t="s">
        <v>36</v>
      </c>
      <c r="Q2062" s="3"/>
      <c r="R2062" s="4">
        <v>45996</v>
      </c>
      <c r="S2062" s="3" t="s">
        <v>37</v>
      </c>
      <c r="T2062" s="3" t="s">
        <v>38</v>
      </c>
      <c r="U2062" s="3" t="s">
        <v>39</v>
      </c>
      <c r="V2062" s="3">
        <v>109.96</v>
      </c>
      <c r="W2062" s="3">
        <v>46.73</v>
      </c>
      <c r="X2062" s="3">
        <v>44.26</v>
      </c>
      <c r="Y2062" s="3">
        <v>18.97</v>
      </c>
    </row>
    <row r="2063" spans="1:25" ht="60.75" x14ac:dyDescent="0.25">
      <c r="A2063" s="3" t="s">
        <v>26</v>
      </c>
      <c r="B2063" s="3" t="s">
        <v>27</v>
      </c>
      <c r="C2063" s="3" t="s">
        <v>28</v>
      </c>
      <c r="D2063" s="3" t="s">
        <v>29</v>
      </c>
      <c r="E2063" s="3" t="s">
        <v>136</v>
      </c>
      <c r="F2063" s="3" t="s">
        <v>31</v>
      </c>
      <c r="G2063" s="3" t="s">
        <v>136</v>
      </c>
      <c r="H2063" s="3" t="s">
        <v>48</v>
      </c>
      <c r="I2063" s="3">
        <v>2025</v>
      </c>
      <c r="J2063" s="3" t="str">
        <f>CONCATENATE("54820188883")</f>
        <v>54820188883</v>
      </c>
      <c r="K2063" s="3" t="s">
        <v>33</v>
      </c>
      <c r="L2063" s="3"/>
      <c r="M2063" s="3" t="s">
        <v>131</v>
      </c>
      <c r="N2063" s="3" t="str">
        <f>CONCATENATE("RCCNLS68R65I461T")</f>
        <v>RCCNLS68R65I461T</v>
      </c>
      <c r="O2063" s="3" t="s">
        <v>2195</v>
      </c>
      <c r="P2063" s="3" t="s">
        <v>36</v>
      </c>
      <c r="Q2063" s="3"/>
      <c r="R2063" s="4">
        <v>45996</v>
      </c>
      <c r="S2063" s="3" t="s">
        <v>37</v>
      </c>
      <c r="T2063" s="3" t="s">
        <v>38</v>
      </c>
      <c r="U2063" s="3" t="s">
        <v>39</v>
      </c>
      <c r="V2063" s="3">
        <v>662.03</v>
      </c>
      <c r="W2063" s="3">
        <v>281.36</v>
      </c>
      <c r="X2063" s="3">
        <v>266.47000000000003</v>
      </c>
      <c r="Y2063" s="3">
        <v>114.2</v>
      </c>
    </row>
    <row r="2064" spans="1:25" ht="60.75" x14ac:dyDescent="0.25">
      <c r="A2064" s="3" t="s">
        <v>26</v>
      </c>
      <c r="B2064" s="3" t="s">
        <v>27</v>
      </c>
      <c r="C2064" s="3" t="s">
        <v>28</v>
      </c>
      <c r="D2064" s="3" t="s">
        <v>29</v>
      </c>
      <c r="E2064" s="3" t="s">
        <v>56</v>
      </c>
      <c r="F2064" s="3" t="s">
        <v>31</v>
      </c>
      <c r="G2064" s="3" t="s">
        <v>56</v>
      </c>
      <c r="H2064" s="3" t="s">
        <v>32</v>
      </c>
      <c r="I2064" s="3">
        <v>2025</v>
      </c>
      <c r="J2064" s="3" t="str">
        <f>CONCATENATE("54820185251")</f>
        <v>54820185251</v>
      </c>
      <c r="K2064" s="3" t="s">
        <v>33</v>
      </c>
      <c r="L2064" s="3"/>
      <c r="M2064" s="3" t="s">
        <v>131</v>
      </c>
      <c r="N2064" s="3" t="str">
        <f>CONCATENATE("SRRSVN47D45I156Q")</f>
        <v>SRRSVN47D45I156Q</v>
      </c>
      <c r="O2064" s="3" t="s">
        <v>2196</v>
      </c>
      <c r="P2064" s="3" t="s">
        <v>36</v>
      </c>
      <c r="Q2064" s="3"/>
      <c r="R2064" s="4">
        <v>45996</v>
      </c>
      <c r="S2064" s="3" t="s">
        <v>37</v>
      </c>
      <c r="T2064" s="3" t="s">
        <v>38</v>
      </c>
      <c r="U2064" s="3" t="s">
        <v>39</v>
      </c>
      <c r="V2064" s="3">
        <v>178.95</v>
      </c>
      <c r="W2064" s="3">
        <v>76.05</v>
      </c>
      <c r="X2064" s="3">
        <v>72.03</v>
      </c>
      <c r="Y2064" s="3">
        <v>30.87</v>
      </c>
    </row>
    <row r="2065" spans="1:25" ht="60.75" x14ac:dyDescent="0.25">
      <c r="A2065" s="3" t="s">
        <v>26</v>
      </c>
      <c r="B2065" s="3" t="s">
        <v>27</v>
      </c>
      <c r="C2065" s="3" t="s">
        <v>28</v>
      </c>
      <c r="D2065" s="3" t="s">
        <v>29</v>
      </c>
      <c r="E2065" s="3" t="s">
        <v>101</v>
      </c>
      <c r="F2065" s="3" t="s">
        <v>31</v>
      </c>
      <c r="G2065" s="3" t="s">
        <v>101</v>
      </c>
      <c r="H2065" s="3" t="s">
        <v>32</v>
      </c>
      <c r="I2065" s="3">
        <v>2025</v>
      </c>
      <c r="J2065" s="3" t="str">
        <f>CONCATENATE("54820151501")</f>
        <v>54820151501</v>
      </c>
      <c r="K2065" s="3" t="s">
        <v>33</v>
      </c>
      <c r="L2065" s="3"/>
      <c r="M2065" s="3" t="s">
        <v>131</v>
      </c>
      <c r="N2065" s="3" t="str">
        <f>CONCATENATE("CRTRLL51T54B398Q")</f>
        <v>CRTRLL51T54B398Q</v>
      </c>
      <c r="O2065" s="3" t="s">
        <v>2197</v>
      </c>
      <c r="P2065" s="3" t="s">
        <v>36</v>
      </c>
      <c r="Q2065" s="3"/>
      <c r="R2065" s="4">
        <v>45996</v>
      </c>
      <c r="S2065" s="3" t="s">
        <v>37</v>
      </c>
      <c r="T2065" s="3" t="s">
        <v>38</v>
      </c>
      <c r="U2065" s="3" t="s">
        <v>39</v>
      </c>
      <c r="V2065" s="3">
        <v>157.61000000000001</v>
      </c>
      <c r="W2065" s="3">
        <v>66.98</v>
      </c>
      <c r="X2065" s="3">
        <v>63.44</v>
      </c>
      <c r="Y2065" s="3">
        <v>27.19</v>
      </c>
    </row>
    <row r="2066" spans="1:25" ht="72.75" x14ac:dyDescent="0.25">
      <c r="A2066" s="3" t="s">
        <v>26</v>
      </c>
      <c r="B2066" s="3" t="s">
        <v>27</v>
      </c>
      <c r="C2066" s="3" t="s">
        <v>28</v>
      </c>
      <c r="D2066" s="3" t="s">
        <v>2198</v>
      </c>
      <c r="E2066" s="3" t="s">
        <v>2199</v>
      </c>
      <c r="F2066" s="3" t="s">
        <v>2200</v>
      </c>
      <c r="G2066" s="3" t="s">
        <v>2199</v>
      </c>
      <c r="H2066" s="3" t="s">
        <v>96</v>
      </c>
      <c r="I2066" s="3">
        <v>2025</v>
      </c>
      <c r="J2066" s="3" t="str">
        <f>CONCATENATE("54820144647")</f>
        <v>54820144647</v>
      </c>
      <c r="K2066" s="3" t="s">
        <v>33</v>
      </c>
      <c r="L2066" s="3"/>
      <c r="M2066" s="3" t="s">
        <v>131</v>
      </c>
      <c r="N2066" s="3" t="str">
        <f>CONCATENATE("FRTMDA62C27F570A")</f>
        <v>FRTMDA62C27F570A</v>
      </c>
      <c r="O2066" s="3" t="s">
        <v>2201</v>
      </c>
      <c r="P2066" s="3" t="s">
        <v>36</v>
      </c>
      <c r="Q2066" s="3"/>
      <c r="R2066" s="4">
        <v>45996</v>
      </c>
      <c r="S2066" s="3" t="s">
        <v>37</v>
      </c>
      <c r="T2066" s="3" t="s">
        <v>38</v>
      </c>
      <c r="U2066" s="3" t="s">
        <v>39</v>
      </c>
      <c r="V2066" s="3">
        <v>169.16</v>
      </c>
      <c r="W2066" s="3">
        <v>71.89</v>
      </c>
      <c r="X2066" s="3">
        <v>68.09</v>
      </c>
      <c r="Y2066" s="3">
        <v>29.18</v>
      </c>
    </row>
    <row r="2067" spans="1:25" ht="60.75" x14ac:dyDescent="0.25">
      <c r="A2067" s="3" t="s">
        <v>26</v>
      </c>
      <c r="B2067" s="3" t="s">
        <v>27</v>
      </c>
      <c r="C2067" s="3" t="s">
        <v>28</v>
      </c>
      <c r="D2067" s="3" t="s">
        <v>50</v>
      </c>
      <c r="E2067" s="3" t="s">
        <v>60</v>
      </c>
      <c r="F2067" s="3" t="s">
        <v>52</v>
      </c>
      <c r="G2067" s="3" t="s">
        <v>60</v>
      </c>
      <c r="H2067" s="3" t="s">
        <v>45</v>
      </c>
      <c r="I2067" s="3">
        <v>2025</v>
      </c>
      <c r="J2067" s="3" t="str">
        <f>CONCATENATE("54820090246")</f>
        <v>54820090246</v>
      </c>
      <c r="K2067" s="3" t="s">
        <v>33</v>
      </c>
      <c r="L2067" s="3"/>
      <c r="M2067" s="3" t="s">
        <v>131</v>
      </c>
      <c r="N2067" s="3" t="str">
        <f>CONCATENATE("SDRNZE57T12B352R")</f>
        <v>SDRNZE57T12B352R</v>
      </c>
      <c r="O2067" s="3" t="s">
        <v>2202</v>
      </c>
      <c r="P2067" s="3" t="s">
        <v>36</v>
      </c>
      <c r="Q2067" s="3"/>
      <c r="R2067" s="4">
        <v>45996</v>
      </c>
      <c r="S2067" s="3" t="s">
        <v>37</v>
      </c>
      <c r="T2067" s="3" t="s">
        <v>38</v>
      </c>
      <c r="U2067" s="3" t="s">
        <v>39</v>
      </c>
      <c r="V2067" s="3">
        <v>303.86</v>
      </c>
      <c r="W2067" s="3">
        <v>129.13999999999999</v>
      </c>
      <c r="X2067" s="3">
        <v>122.3</v>
      </c>
      <c r="Y2067" s="3">
        <v>52.42</v>
      </c>
    </row>
    <row r="2068" spans="1:25" ht="60.75" x14ac:dyDescent="0.25">
      <c r="A2068" s="3" t="s">
        <v>26</v>
      </c>
      <c r="B2068" s="3" t="s">
        <v>27</v>
      </c>
      <c r="C2068" s="3" t="s">
        <v>28</v>
      </c>
      <c r="D2068" s="3" t="s">
        <v>29</v>
      </c>
      <c r="E2068" s="3" t="s">
        <v>136</v>
      </c>
      <c r="F2068" s="3" t="s">
        <v>31</v>
      </c>
      <c r="G2068" s="3" t="s">
        <v>136</v>
      </c>
      <c r="H2068" s="3" t="s">
        <v>48</v>
      </c>
      <c r="I2068" s="3">
        <v>2025</v>
      </c>
      <c r="J2068" s="3" t="str">
        <f>CONCATENATE("54820160270")</f>
        <v>54820160270</v>
      </c>
      <c r="K2068" s="3" t="s">
        <v>33</v>
      </c>
      <c r="L2068" s="3"/>
      <c r="M2068" s="3" t="s">
        <v>131</v>
      </c>
      <c r="N2068" s="3" t="str">
        <f>CONCATENATE("CBCDNC37A01I461W")</f>
        <v>CBCDNC37A01I461W</v>
      </c>
      <c r="O2068" s="3" t="s">
        <v>2203</v>
      </c>
      <c r="P2068" s="3" t="s">
        <v>36</v>
      </c>
      <c r="Q2068" s="3"/>
      <c r="R2068" s="4">
        <v>45996</v>
      </c>
      <c r="S2068" s="3" t="s">
        <v>37</v>
      </c>
      <c r="T2068" s="3" t="s">
        <v>38</v>
      </c>
      <c r="U2068" s="3" t="s">
        <v>39</v>
      </c>
      <c r="V2068" s="3">
        <v>130.32</v>
      </c>
      <c r="W2068" s="3">
        <v>55.39</v>
      </c>
      <c r="X2068" s="3">
        <v>52.45</v>
      </c>
      <c r="Y2068" s="3">
        <v>22.48</v>
      </c>
    </row>
    <row r="2069" spans="1:25" ht="60.75" x14ac:dyDescent="0.25">
      <c r="A2069" s="3" t="s">
        <v>26</v>
      </c>
      <c r="B2069" s="3" t="s">
        <v>27</v>
      </c>
      <c r="C2069" s="3" t="s">
        <v>28</v>
      </c>
      <c r="D2069" s="3" t="s">
        <v>50</v>
      </c>
      <c r="E2069" s="3" t="s">
        <v>147</v>
      </c>
      <c r="F2069" s="3" t="s">
        <v>52</v>
      </c>
      <c r="G2069" s="3" t="s">
        <v>147</v>
      </c>
      <c r="H2069" s="3" t="s">
        <v>45</v>
      </c>
      <c r="I2069" s="3">
        <v>2025</v>
      </c>
      <c r="J2069" s="3" t="str">
        <f>CONCATENATE("54820082771")</f>
        <v>54820082771</v>
      </c>
      <c r="K2069" s="3" t="s">
        <v>33</v>
      </c>
      <c r="L2069" s="3"/>
      <c r="M2069" s="3" t="s">
        <v>131</v>
      </c>
      <c r="N2069" s="3" t="str">
        <f>CONCATENATE("VLNVRS50S01L500I")</f>
        <v>VLNVRS50S01L500I</v>
      </c>
      <c r="O2069" s="3" t="s">
        <v>2204</v>
      </c>
      <c r="P2069" s="3" t="s">
        <v>36</v>
      </c>
      <c r="Q2069" s="3"/>
      <c r="R2069" s="4">
        <v>45996</v>
      </c>
      <c r="S2069" s="3" t="s">
        <v>37</v>
      </c>
      <c r="T2069" s="3" t="s">
        <v>38</v>
      </c>
      <c r="U2069" s="3" t="s">
        <v>39</v>
      </c>
      <c r="V2069" s="3">
        <v>89.29</v>
      </c>
      <c r="W2069" s="3">
        <v>37.950000000000003</v>
      </c>
      <c r="X2069" s="3">
        <v>35.94</v>
      </c>
      <c r="Y2069" s="3">
        <v>15.4</v>
      </c>
    </row>
    <row r="2070" spans="1:25" ht="60.75" x14ac:dyDescent="0.25">
      <c r="A2070" s="3" t="s">
        <v>26</v>
      </c>
      <c r="B2070" s="3" t="s">
        <v>27</v>
      </c>
      <c r="C2070" s="3" t="s">
        <v>28</v>
      </c>
      <c r="D2070" s="3" t="s">
        <v>29</v>
      </c>
      <c r="E2070" s="3" t="s">
        <v>72</v>
      </c>
      <c r="F2070" s="3" t="s">
        <v>31</v>
      </c>
      <c r="G2070" s="3" t="s">
        <v>72</v>
      </c>
      <c r="H2070" s="3" t="s">
        <v>45</v>
      </c>
      <c r="I2070" s="3">
        <v>2025</v>
      </c>
      <c r="J2070" s="3" t="str">
        <f>CONCATENATE("54820079033")</f>
        <v>54820079033</v>
      </c>
      <c r="K2070" s="3" t="s">
        <v>33</v>
      </c>
      <c r="L2070" s="3"/>
      <c r="M2070" s="3" t="s">
        <v>131</v>
      </c>
      <c r="N2070" s="3" t="str">
        <f>CONCATENATE("BLSLLD56B49D808W")</f>
        <v>BLSLLD56B49D808W</v>
      </c>
      <c r="O2070" s="3" t="s">
        <v>2205</v>
      </c>
      <c r="P2070" s="3" t="s">
        <v>36</v>
      </c>
      <c r="Q2070" s="3"/>
      <c r="R2070" s="4">
        <v>45996</v>
      </c>
      <c r="S2070" s="3" t="s">
        <v>37</v>
      </c>
      <c r="T2070" s="3" t="s">
        <v>38</v>
      </c>
      <c r="U2070" s="3" t="s">
        <v>39</v>
      </c>
      <c r="V2070" s="3">
        <v>138.09</v>
      </c>
      <c r="W2070" s="3">
        <v>58.69</v>
      </c>
      <c r="X2070" s="3">
        <v>55.58</v>
      </c>
      <c r="Y2070" s="3">
        <v>23.82</v>
      </c>
    </row>
    <row r="2071" spans="1:25" ht="60.75" x14ac:dyDescent="0.25">
      <c r="A2071" s="3" t="s">
        <v>26</v>
      </c>
      <c r="B2071" s="3" t="s">
        <v>27</v>
      </c>
      <c r="C2071" s="3" t="s">
        <v>28</v>
      </c>
      <c r="D2071" s="3" t="s">
        <v>29</v>
      </c>
      <c r="E2071" s="3" t="s">
        <v>56</v>
      </c>
      <c r="F2071" s="3" t="s">
        <v>31</v>
      </c>
      <c r="G2071" s="3" t="s">
        <v>56</v>
      </c>
      <c r="H2071" s="3" t="s">
        <v>32</v>
      </c>
      <c r="I2071" s="3">
        <v>2025</v>
      </c>
      <c r="J2071" s="3" t="str">
        <f>CONCATENATE("54820177845")</f>
        <v>54820177845</v>
      </c>
      <c r="K2071" s="3" t="s">
        <v>33</v>
      </c>
      <c r="L2071" s="3"/>
      <c r="M2071" s="3" t="s">
        <v>131</v>
      </c>
      <c r="N2071" s="3" t="str">
        <f>CONCATENATE("LSSGPP52D07D653X")</f>
        <v>LSSGPP52D07D653X</v>
      </c>
      <c r="O2071" s="3" t="s">
        <v>2206</v>
      </c>
      <c r="P2071" s="3" t="s">
        <v>36</v>
      </c>
      <c r="Q2071" s="3"/>
      <c r="R2071" s="4">
        <v>45996</v>
      </c>
      <c r="S2071" s="3" t="s">
        <v>37</v>
      </c>
      <c r="T2071" s="3" t="s">
        <v>38</v>
      </c>
      <c r="U2071" s="3" t="s">
        <v>39</v>
      </c>
      <c r="V2071" s="3">
        <v>841.6</v>
      </c>
      <c r="W2071" s="3">
        <v>357.68</v>
      </c>
      <c r="X2071" s="3">
        <v>338.74</v>
      </c>
      <c r="Y2071" s="3">
        <v>145.18</v>
      </c>
    </row>
    <row r="2072" spans="1:25" ht="72.75" x14ac:dyDescent="0.25">
      <c r="A2072" s="3" t="s">
        <v>26</v>
      </c>
      <c r="B2072" s="3" t="s">
        <v>27</v>
      </c>
      <c r="C2072" s="3" t="s">
        <v>28</v>
      </c>
      <c r="D2072" s="3" t="s">
        <v>29</v>
      </c>
      <c r="E2072" s="3" t="s">
        <v>47</v>
      </c>
      <c r="F2072" s="3" t="s">
        <v>31</v>
      </c>
      <c r="G2072" s="3" t="s">
        <v>47</v>
      </c>
      <c r="H2072" s="3" t="s">
        <v>48</v>
      </c>
      <c r="I2072" s="3">
        <v>2025</v>
      </c>
      <c r="J2072" s="3" t="str">
        <f>CONCATENATE("54820105887")</f>
        <v>54820105887</v>
      </c>
      <c r="K2072" s="3" t="s">
        <v>33</v>
      </c>
      <c r="L2072" s="3"/>
      <c r="M2072" s="3" t="s">
        <v>131</v>
      </c>
      <c r="N2072" s="3" t="str">
        <f>CONCATENATE("MNTDOA54D64B474U")</f>
        <v>MNTDOA54D64B474U</v>
      </c>
      <c r="O2072" s="3" t="s">
        <v>2207</v>
      </c>
      <c r="P2072" s="3" t="s">
        <v>36</v>
      </c>
      <c r="Q2072" s="3"/>
      <c r="R2072" s="4">
        <v>45996</v>
      </c>
      <c r="S2072" s="3" t="s">
        <v>37</v>
      </c>
      <c r="T2072" s="3" t="s">
        <v>38</v>
      </c>
      <c r="U2072" s="3" t="s">
        <v>39</v>
      </c>
      <c r="V2072" s="3">
        <v>535.33000000000004</v>
      </c>
      <c r="W2072" s="3">
        <v>227.52</v>
      </c>
      <c r="X2072" s="3">
        <v>215.47</v>
      </c>
      <c r="Y2072" s="3">
        <v>92.34</v>
      </c>
    </row>
    <row r="2073" spans="1:25" ht="60.75" x14ac:dyDescent="0.25">
      <c r="A2073" s="3" t="s">
        <v>26</v>
      </c>
      <c r="B2073" s="3" t="s">
        <v>27</v>
      </c>
      <c r="C2073" s="3" t="s">
        <v>28</v>
      </c>
      <c r="D2073" s="3" t="s">
        <v>50</v>
      </c>
      <c r="E2073" s="3" t="s">
        <v>51</v>
      </c>
      <c r="F2073" s="3" t="s">
        <v>52</v>
      </c>
      <c r="G2073" s="3" t="s">
        <v>51</v>
      </c>
      <c r="H2073" s="3" t="s">
        <v>48</v>
      </c>
      <c r="I2073" s="3">
        <v>2025</v>
      </c>
      <c r="J2073" s="3" t="str">
        <f>CONCATENATE("54820152426")</f>
        <v>54820152426</v>
      </c>
      <c r="K2073" s="3" t="s">
        <v>33</v>
      </c>
      <c r="L2073" s="3"/>
      <c r="M2073" s="3" t="s">
        <v>131</v>
      </c>
      <c r="N2073" s="3" t="str">
        <f>CONCATENATE("MLNLCN62B67D451F")</f>
        <v>MLNLCN62B67D451F</v>
      </c>
      <c r="O2073" s="3" t="s">
        <v>2208</v>
      </c>
      <c r="P2073" s="3" t="s">
        <v>36</v>
      </c>
      <c r="Q2073" s="3"/>
      <c r="R2073" s="4">
        <v>45996</v>
      </c>
      <c r="S2073" s="3" t="s">
        <v>37</v>
      </c>
      <c r="T2073" s="3" t="s">
        <v>38</v>
      </c>
      <c r="U2073" s="3" t="s">
        <v>39</v>
      </c>
      <c r="V2073" s="3">
        <v>71.75</v>
      </c>
      <c r="W2073" s="3">
        <v>30.49</v>
      </c>
      <c r="X2073" s="3">
        <v>28.88</v>
      </c>
      <c r="Y2073" s="3">
        <v>12.38</v>
      </c>
    </row>
    <row r="2074" spans="1:25" ht="60.75" x14ac:dyDescent="0.25">
      <c r="A2074" s="3" t="s">
        <v>26</v>
      </c>
      <c r="B2074" s="3" t="s">
        <v>27</v>
      </c>
      <c r="C2074" s="3" t="s">
        <v>28</v>
      </c>
      <c r="D2074" s="3" t="s">
        <v>50</v>
      </c>
      <c r="E2074" s="3" t="s">
        <v>147</v>
      </c>
      <c r="F2074" s="3" t="s">
        <v>52</v>
      </c>
      <c r="G2074" s="3" t="s">
        <v>147</v>
      </c>
      <c r="H2074" s="3" t="s">
        <v>45</v>
      </c>
      <c r="I2074" s="3">
        <v>2025</v>
      </c>
      <c r="J2074" s="3" t="str">
        <f>CONCATENATE("54820176656")</f>
        <v>54820176656</v>
      </c>
      <c r="K2074" s="3" t="s">
        <v>33</v>
      </c>
      <c r="L2074" s="3"/>
      <c r="M2074" s="3" t="s">
        <v>131</v>
      </c>
      <c r="N2074" s="3" t="str">
        <f>CONCATENATE("MRADRA50B15L500V")</f>
        <v>MRADRA50B15L500V</v>
      </c>
      <c r="O2074" s="3" t="s">
        <v>2209</v>
      </c>
      <c r="P2074" s="3" t="s">
        <v>36</v>
      </c>
      <c r="Q2074" s="3"/>
      <c r="R2074" s="4">
        <v>45996</v>
      </c>
      <c r="S2074" s="3" t="s">
        <v>37</v>
      </c>
      <c r="T2074" s="3" t="s">
        <v>38</v>
      </c>
      <c r="U2074" s="3" t="s">
        <v>39</v>
      </c>
      <c r="V2074" s="3">
        <v>215.41</v>
      </c>
      <c r="W2074" s="3">
        <v>91.55</v>
      </c>
      <c r="X2074" s="3">
        <v>86.7</v>
      </c>
      <c r="Y2074" s="3">
        <v>37.159999999999997</v>
      </c>
    </row>
    <row r="2075" spans="1:25" ht="36.75" x14ac:dyDescent="0.25">
      <c r="A2075" s="3" t="s">
        <v>26</v>
      </c>
      <c r="B2075" s="3" t="s">
        <v>27</v>
      </c>
      <c r="C2075" s="3" t="s">
        <v>28</v>
      </c>
      <c r="D2075" s="3" t="s">
        <v>91</v>
      </c>
      <c r="E2075" s="3" t="s">
        <v>95</v>
      </c>
      <c r="F2075" s="3" t="s">
        <v>93</v>
      </c>
      <c r="G2075" s="3" t="s">
        <v>95</v>
      </c>
      <c r="H2075" s="3" t="s">
        <v>96</v>
      </c>
      <c r="I2075" s="3">
        <v>2025</v>
      </c>
      <c r="J2075" s="3" t="str">
        <f>CONCATENATE("54820187216")</f>
        <v>54820187216</v>
      </c>
      <c r="K2075" s="3" t="s">
        <v>33</v>
      </c>
      <c r="L2075" s="3"/>
      <c r="M2075" s="3" t="s">
        <v>131</v>
      </c>
      <c r="N2075" s="3" t="str">
        <f>CONCATENATE("01824040438")</f>
        <v>01824040438</v>
      </c>
      <c r="O2075" s="3" t="s">
        <v>2210</v>
      </c>
      <c r="P2075" s="3" t="s">
        <v>36</v>
      </c>
      <c r="Q2075" s="3"/>
      <c r="R2075" s="4">
        <v>45996</v>
      </c>
      <c r="S2075" s="3" t="s">
        <v>37</v>
      </c>
      <c r="T2075" s="3" t="s">
        <v>38</v>
      </c>
      <c r="U2075" s="3" t="s">
        <v>39</v>
      </c>
      <c r="V2075" s="5">
        <v>1224.48</v>
      </c>
      <c r="W2075" s="3">
        <v>520.4</v>
      </c>
      <c r="X2075" s="3">
        <v>492.85</v>
      </c>
      <c r="Y2075" s="3">
        <v>211.23</v>
      </c>
    </row>
    <row r="2076" spans="1:25" ht="72.75" x14ac:dyDescent="0.25">
      <c r="A2076" s="3" t="s">
        <v>26</v>
      </c>
      <c r="B2076" s="3" t="s">
        <v>27</v>
      </c>
      <c r="C2076" s="3" t="s">
        <v>28</v>
      </c>
      <c r="D2076" s="3" t="s">
        <v>29</v>
      </c>
      <c r="E2076" s="3" t="s">
        <v>119</v>
      </c>
      <c r="F2076" s="3" t="s">
        <v>31</v>
      </c>
      <c r="G2076" s="3" t="s">
        <v>119</v>
      </c>
      <c r="H2076" s="3" t="s">
        <v>96</v>
      </c>
      <c r="I2076" s="3">
        <v>2025</v>
      </c>
      <c r="J2076" s="3" t="str">
        <f>CONCATENATE("54820175997")</f>
        <v>54820175997</v>
      </c>
      <c r="K2076" s="3" t="s">
        <v>33</v>
      </c>
      <c r="L2076" s="3"/>
      <c r="M2076" s="3" t="s">
        <v>131</v>
      </c>
      <c r="N2076" s="3" t="str">
        <f>CONCATENATE("ZZIMSM73M05A252N")</f>
        <v>ZZIMSM73M05A252N</v>
      </c>
      <c r="O2076" s="3" t="s">
        <v>2211</v>
      </c>
      <c r="P2076" s="3" t="s">
        <v>36</v>
      </c>
      <c r="Q2076" s="3"/>
      <c r="R2076" s="4">
        <v>45996</v>
      </c>
      <c r="S2076" s="3" t="s">
        <v>37</v>
      </c>
      <c r="T2076" s="3" t="s">
        <v>38</v>
      </c>
      <c r="U2076" s="3" t="s">
        <v>39</v>
      </c>
      <c r="V2076" s="3">
        <v>888.85</v>
      </c>
      <c r="W2076" s="3">
        <v>377.76</v>
      </c>
      <c r="X2076" s="3">
        <v>357.76</v>
      </c>
      <c r="Y2076" s="3">
        <v>153.33000000000001</v>
      </c>
    </row>
    <row r="2077" spans="1:25" ht="60.75" x14ac:dyDescent="0.25">
      <c r="A2077" s="3" t="s">
        <v>26</v>
      </c>
      <c r="B2077" s="3" t="s">
        <v>27</v>
      </c>
      <c r="C2077" s="3" t="s">
        <v>28</v>
      </c>
      <c r="D2077" s="3" t="s">
        <v>50</v>
      </c>
      <c r="E2077" s="3" t="s">
        <v>60</v>
      </c>
      <c r="F2077" s="3" t="s">
        <v>52</v>
      </c>
      <c r="G2077" s="3" t="s">
        <v>60</v>
      </c>
      <c r="H2077" s="3" t="s">
        <v>45</v>
      </c>
      <c r="I2077" s="3">
        <v>2025</v>
      </c>
      <c r="J2077" s="3" t="str">
        <f>CONCATENATE("54820167234")</f>
        <v>54820167234</v>
      </c>
      <c r="K2077" s="3" t="s">
        <v>33</v>
      </c>
      <c r="L2077" s="3"/>
      <c r="M2077" s="3" t="s">
        <v>131</v>
      </c>
      <c r="N2077" s="3" t="str">
        <f>CONCATENATE("TRFLRC52D14G453U")</f>
        <v>TRFLRC52D14G453U</v>
      </c>
      <c r="O2077" s="3" t="s">
        <v>2212</v>
      </c>
      <c r="P2077" s="3" t="s">
        <v>36</v>
      </c>
      <c r="Q2077" s="3"/>
      <c r="R2077" s="4">
        <v>45996</v>
      </c>
      <c r="S2077" s="3" t="s">
        <v>37</v>
      </c>
      <c r="T2077" s="3" t="s">
        <v>38</v>
      </c>
      <c r="U2077" s="3" t="s">
        <v>39</v>
      </c>
      <c r="V2077" s="3">
        <v>571.45000000000005</v>
      </c>
      <c r="W2077" s="3">
        <v>242.87</v>
      </c>
      <c r="X2077" s="3">
        <v>230.01</v>
      </c>
      <c r="Y2077" s="3">
        <v>98.57</v>
      </c>
    </row>
    <row r="2078" spans="1:25" ht="60.75" x14ac:dyDescent="0.25">
      <c r="A2078" s="3" t="s">
        <v>26</v>
      </c>
      <c r="B2078" s="3" t="s">
        <v>27</v>
      </c>
      <c r="C2078" s="3" t="s">
        <v>28</v>
      </c>
      <c r="D2078" s="3" t="s">
        <v>29</v>
      </c>
      <c r="E2078" s="3" t="s">
        <v>2213</v>
      </c>
      <c r="F2078" s="3" t="s">
        <v>31</v>
      </c>
      <c r="G2078" s="3" t="s">
        <v>2213</v>
      </c>
      <c r="H2078" s="3" t="s">
        <v>48</v>
      </c>
      <c r="I2078" s="3">
        <v>2025</v>
      </c>
      <c r="J2078" s="3" t="str">
        <f>CONCATENATE("54820110036")</f>
        <v>54820110036</v>
      </c>
      <c r="K2078" s="3" t="s">
        <v>33</v>
      </c>
      <c r="L2078" s="3"/>
      <c r="M2078" s="3" t="s">
        <v>131</v>
      </c>
      <c r="N2078" s="3" t="str">
        <f>CONCATENATE("FRNRFL86A12D749M")</f>
        <v>FRNRFL86A12D749M</v>
      </c>
      <c r="O2078" s="3" t="s">
        <v>2214</v>
      </c>
      <c r="P2078" s="3" t="s">
        <v>36</v>
      </c>
      <c r="Q2078" s="3"/>
      <c r="R2078" s="4">
        <v>45996</v>
      </c>
      <c r="S2078" s="3" t="s">
        <v>37</v>
      </c>
      <c r="T2078" s="3" t="s">
        <v>38</v>
      </c>
      <c r="U2078" s="3" t="s">
        <v>39</v>
      </c>
      <c r="V2078" s="3">
        <v>436.56</v>
      </c>
      <c r="W2078" s="3">
        <v>185.54</v>
      </c>
      <c r="X2078" s="3">
        <v>175.72</v>
      </c>
      <c r="Y2078" s="3">
        <v>75.3</v>
      </c>
    </row>
    <row r="2079" spans="1:25" ht="60.75" x14ac:dyDescent="0.25">
      <c r="A2079" s="3" t="s">
        <v>26</v>
      </c>
      <c r="B2079" s="3" t="s">
        <v>27</v>
      </c>
      <c r="C2079" s="3" t="s">
        <v>28</v>
      </c>
      <c r="D2079" s="3" t="s">
        <v>29</v>
      </c>
      <c r="E2079" s="3" t="s">
        <v>182</v>
      </c>
      <c r="F2079" s="3" t="s">
        <v>31</v>
      </c>
      <c r="G2079" s="3" t="s">
        <v>182</v>
      </c>
      <c r="H2079" s="3" t="s">
        <v>45</v>
      </c>
      <c r="I2079" s="3">
        <v>2025</v>
      </c>
      <c r="J2079" s="3" t="str">
        <f>CONCATENATE("54820146055")</f>
        <v>54820146055</v>
      </c>
      <c r="K2079" s="3" t="s">
        <v>33</v>
      </c>
      <c r="L2079" s="3"/>
      <c r="M2079" s="3" t="s">
        <v>131</v>
      </c>
      <c r="N2079" s="3" t="str">
        <f>CONCATENATE("MSAGPP47H11L500Q")</f>
        <v>MSAGPP47H11L500Q</v>
      </c>
      <c r="O2079" s="3" t="s">
        <v>2215</v>
      </c>
      <c r="P2079" s="3" t="s">
        <v>36</v>
      </c>
      <c r="Q2079" s="3"/>
      <c r="R2079" s="4">
        <v>45996</v>
      </c>
      <c r="S2079" s="3" t="s">
        <v>37</v>
      </c>
      <c r="T2079" s="3" t="s">
        <v>38</v>
      </c>
      <c r="U2079" s="3" t="s">
        <v>39</v>
      </c>
      <c r="V2079" s="3">
        <v>185.36</v>
      </c>
      <c r="W2079" s="3">
        <v>78.78</v>
      </c>
      <c r="X2079" s="3">
        <v>74.61</v>
      </c>
      <c r="Y2079" s="3">
        <v>31.97</v>
      </c>
    </row>
    <row r="2080" spans="1:25" ht="60.75" x14ac:dyDescent="0.25">
      <c r="A2080" s="3" t="s">
        <v>26</v>
      </c>
      <c r="B2080" s="3" t="s">
        <v>27</v>
      </c>
      <c r="C2080" s="3" t="s">
        <v>28</v>
      </c>
      <c r="D2080" s="3" t="s">
        <v>50</v>
      </c>
      <c r="E2080" s="3" t="s">
        <v>60</v>
      </c>
      <c r="F2080" s="3" t="s">
        <v>52</v>
      </c>
      <c r="G2080" s="3" t="s">
        <v>60</v>
      </c>
      <c r="H2080" s="3" t="s">
        <v>45</v>
      </c>
      <c r="I2080" s="3">
        <v>2025</v>
      </c>
      <c r="J2080" s="3" t="str">
        <f>CONCATENATE("54820152830")</f>
        <v>54820152830</v>
      </c>
      <c r="K2080" s="3" t="s">
        <v>33</v>
      </c>
      <c r="L2080" s="3"/>
      <c r="M2080" s="3" t="s">
        <v>131</v>
      </c>
      <c r="N2080" s="3" t="str">
        <f>CONCATENATE("LRIGCM94A17B474D")</f>
        <v>LRIGCM94A17B474D</v>
      </c>
      <c r="O2080" s="3" t="s">
        <v>2216</v>
      </c>
      <c r="P2080" s="3" t="s">
        <v>36</v>
      </c>
      <c r="Q2080" s="3"/>
      <c r="R2080" s="4">
        <v>45996</v>
      </c>
      <c r="S2080" s="3" t="s">
        <v>37</v>
      </c>
      <c r="T2080" s="3" t="s">
        <v>38</v>
      </c>
      <c r="U2080" s="3" t="s">
        <v>39</v>
      </c>
      <c r="V2080" s="3">
        <v>699.39</v>
      </c>
      <c r="W2080" s="3">
        <v>297.24</v>
      </c>
      <c r="X2080" s="3">
        <v>281.5</v>
      </c>
      <c r="Y2080" s="3">
        <v>120.65</v>
      </c>
    </row>
    <row r="2081" spans="1:25" ht="60.75" x14ac:dyDescent="0.25">
      <c r="A2081" s="3" t="s">
        <v>26</v>
      </c>
      <c r="B2081" s="3" t="s">
        <v>27</v>
      </c>
      <c r="C2081" s="3" t="s">
        <v>28</v>
      </c>
      <c r="D2081" s="3" t="s">
        <v>50</v>
      </c>
      <c r="E2081" s="3" t="s">
        <v>212</v>
      </c>
      <c r="F2081" s="3" t="s">
        <v>52</v>
      </c>
      <c r="G2081" s="3" t="s">
        <v>212</v>
      </c>
      <c r="H2081" s="3" t="s">
        <v>32</v>
      </c>
      <c r="I2081" s="3">
        <v>2025</v>
      </c>
      <c r="J2081" s="3" t="str">
        <f>CONCATENATE("54820102827")</f>
        <v>54820102827</v>
      </c>
      <c r="K2081" s="3" t="s">
        <v>33</v>
      </c>
      <c r="L2081" s="3"/>
      <c r="M2081" s="3" t="s">
        <v>131</v>
      </c>
      <c r="N2081" s="3" t="str">
        <f>CONCATENATE("TRDMRS53E49H876S")</f>
        <v>TRDMRS53E49H876S</v>
      </c>
      <c r="O2081" s="3" t="s">
        <v>2217</v>
      </c>
      <c r="P2081" s="3" t="s">
        <v>36</v>
      </c>
      <c r="Q2081" s="3"/>
      <c r="R2081" s="4">
        <v>45996</v>
      </c>
      <c r="S2081" s="3" t="s">
        <v>37</v>
      </c>
      <c r="T2081" s="3" t="s">
        <v>38</v>
      </c>
      <c r="U2081" s="3" t="s">
        <v>39</v>
      </c>
      <c r="V2081" s="3">
        <v>239.07</v>
      </c>
      <c r="W2081" s="3">
        <v>101.6</v>
      </c>
      <c r="X2081" s="3">
        <v>96.23</v>
      </c>
      <c r="Y2081" s="3">
        <v>41.24</v>
      </c>
    </row>
    <row r="2082" spans="1:25" ht="72.75" x14ac:dyDescent="0.25">
      <c r="A2082" s="3" t="s">
        <v>26</v>
      </c>
      <c r="B2082" s="3" t="s">
        <v>27</v>
      </c>
      <c r="C2082" s="3" t="s">
        <v>28</v>
      </c>
      <c r="D2082" s="3" t="s">
        <v>50</v>
      </c>
      <c r="E2082" s="3" t="s">
        <v>60</v>
      </c>
      <c r="F2082" s="3" t="s">
        <v>52</v>
      </c>
      <c r="G2082" s="3" t="s">
        <v>60</v>
      </c>
      <c r="H2082" s="3" t="s">
        <v>45</v>
      </c>
      <c r="I2082" s="3">
        <v>2025</v>
      </c>
      <c r="J2082" s="3" t="str">
        <f>CONCATENATE("54820188057")</f>
        <v>54820188057</v>
      </c>
      <c r="K2082" s="3" t="s">
        <v>33</v>
      </c>
      <c r="L2082" s="3"/>
      <c r="M2082" s="3" t="s">
        <v>131</v>
      </c>
      <c r="N2082" s="3" t="str">
        <f>CONCATENATE("DMNLSN70P07D791L")</f>
        <v>DMNLSN70P07D791L</v>
      </c>
      <c r="O2082" s="3" t="s">
        <v>2218</v>
      </c>
      <c r="P2082" s="3" t="s">
        <v>36</v>
      </c>
      <c r="Q2082" s="3"/>
      <c r="R2082" s="4">
        <v>45996</v>
      </c>
      <c r="S2082" s="3" t="s">
        <v>37</v>
      </c>
      <c r="T2082" s="3" t="s">
        <v>38</v>
      </c>
      <c r="U2082" s="3" t="s">
        <v>39</v>
      </c>
      <c r="V2082" s="3">
        <v>124.23</v>
      </c>
      <c r="W2082" s="3">
        <v>52.8</v>
      </c>
      <c r="X2082" s="3">
        <v>50</v>
      </c>
      <c r="Y2082" s="3">
        <v>21.43</v>
      </c>
    </row>
    <row r="2083" spans="1:25" ht="60.75" x14ac:dyDescent="0.25">
      <c r="A2083" s="3" t="s">
        <v>26</v>
      </c>
      <c r="B2083" s="3" t="s">
        <v>27</v>
      </c>
      <c r="C2083" s="3" t="s">
        <v>28</v>
      </c>
      <c r="D2083" s="3" t="s">
        <v>29</v>
      </c>
      <c r="E2083" s="3" t="s">
        <v>47</v>
      </c>
      <c r="F2083" s="3" t="s">
        <v>31</v>
      </c>
      <c r="G2083" s="3" t="s">
        <v>47</v>
      </c>
      <c r="H2083" s="3" t="s">
        <v>48</v>
      </c>
      <c r="I2083" s="3">
        <v>2025</v>
      </c>
      <c r="J2083" s="3" t="str">
        <f>CONCATENATE("54820212113")</f>
        <v>54820212113</v>
      </c>
      <c r="K2083" s="3" t="s">
        <v>33</v>
      </c>
      <c r="L2083" s="3"/>
      <c r="M2083" s="3" t="s">
        <v>131</v>
      </c>
      <c r="N2083" s="3" t="str">
        <f>CONCATENATE("RGGVSK86A46D451E")</f>
        <v>RGGVSK86A46D451E</v>
      </c>
      <c r="O2083" s="3" t="s">
        <v>2219</v>
      </c>
      <c r="P2083" s="3" t="s">
        <v>36</v>
      </c>
      <c r="Q2083" s="3"/>
      <c r="R2083" s="4">
        <v>45996</v>
      </c>
      <c r="S2083" s="3" t="s">
        <v>37</v>
      </c>
      <c r="T2083" s="3" t="s">
        <v>38</v>
      </c>
      <c r="U2083" s="3" t="s">
        <v>39</v>
      </c>
      <c r="V2083" s="3">
        <v>47.19</v>
      </c>
      <c r="W2083" s="3">
        <v>20.059999999999999</v>
      </c>
      <c r="X2083" s="3">
        <v>18.989999999999998</v>
      </c>
      <c r="Y2083" s="3">
        <v>8.14</v>
      </c>
    </row>
    <row r="2084" spans="1:25" ht="60.75" x14ac:dyDescent="0.25">
      <c r="A2084" s="3" t="s">
        <v>26</v>
      </c>
      <c r="B2084" s="3" t="s">
        <v>27</v>
      </c>
      <c r="C2084" s="3" t="s">
        <v>28</v>
      </c>
      <c r="D2084" s="3" t="s">
        <v>50</v>
      </c>
      <c r="E2084" s="3" t="s">
        <v>147</v>
      </c>
      <c r="F2084" s="3" t="s">
        <v>52</v>
      </c>
      <c r="G2084" s="3" t="s">
        <v>147</v>
      </c>
      <c r="H2084" s="3" t="s">
        <v>45</v>
      </c>
      <c r="I2084" s="3">
        <v>2025</v>
      </c>
      <c r="J2084" s="3" t="str">
        <f>CONCATENATE("54820188727")</f>
        <v>54820188727</v>
      </c>
      <c r="K2084" s="3" t="s">
        <v>33</v>
      </c>
      <c r="L2084" s="3"/>
      <c r="M2084" s="3" t="s">
        <v>131</v>
      </c>
      <c r="N2084" s="3" t="str">
        <f>CONCATENATE("BTTNGL52R13D541T")</f>
        <v>BTTNGL52R13D541T</v>
      </c>
      <c r="O2084" s="3" t="s">
        <v>2220</v>
      </c>
      <c r="P2084" s="3" t="s">
        <v>36</v>
      </c>
      <c r="Q2084" s="3"/>
      <c r="R2084" s="4">
        <v>45996</v>
      </c>
      <c r="S2084" s="3" t="s">
        <v>37</v>
      </c>
      <c r="T2084" s="3" t="s">
        <v>38</v>
      </c>
      <c r="U2084" s="3" t="s">
        <v>39</v>
      </c>
      <c r="V2084" s="3">
        <v>171.43</v>
      </c>
      <c r="W2084" s="3">
        <v>72.86</v>
      </c>
      <c r="X2084" s="3">
        <v>69</v>
      </c>
      <c r="Y2084" s="3">
        <v>29.57</v>
      </c>
    </row>
    <row r="2085" spans="1:25" ht="60.75" x14ac:dyDescent="0.25">
      <c r="A2085" s="3" t="s">
        <v>26</v>
      </c>
      <c r="B2085" s="3" t="s">
        <v>27</v>
      </c>
      <c r="C2085" s="3" t="s">
        <v>28</v>
      </c>
      <c r="D2085" s="3" t="s">
        <v>29</v>
      </c>
      <c r="E2085" s="3" t="s">
        <v>56</v>
      </c>
      <c r="F2085" s="3" t="s">
        <v>31</v>
      </c>
      <c r="G2085" s="3" t="s">
        <v>56</v>
      </c>
      <c r="H2085" s="3" t="s">
        <v>32</v>
      </c>
      <c r="I2085" s="3">
        <v>2025</v>
      </c>
      <c r="J2085" s="3" t="str">
        <f>CONCATENATE("54820190442")</f>
        <v>54820190442</v>
      </c>
      <c r="K2085" s="3" t="s">
        <v>33</v>
      </c>
      <c r="L2085" s="3"/>
      <c r="M2085" s="3" t="s">
        <v>131</v>
      </c>
      <c r="N2085" s="3" t="str">
        <f>CONCATENATE("MCCGNN55C68B474I")</f>
        <v>MCCGNN55C68B474I</v>
      </c>
      <c r="O2085" s="3" t="s">
        <v>2221</v>
      </c>
      <c r="P2085" s="3" t="s">
        <v>36</v>
      </c>
      <c r="Q2085" s="3"/>
      <c r="R2085" s="4">
        <v>45996</v>
      </c>
      <c r="S2085" s="3" t="s">
        <v>37</v>
      </c>
      <c r="T2085" s="3" t="s">
        <v>38</v>
      </c>
      <c r="U2085" s="3" t="s">
        <v>39</v>
      </c>
      <c r="V2085" s="3">
        <v>300.66000000000003</v>
      </c>
      <c r="W2085" s="3">
        <v>127.78</v>
      </c>
      <c r="X2085" s="3">
        <v>121.02</v>
      </c>
      <c r="Y2085" s="3">
        <v>51.86</v>
      </c>
    </row>
    <row r="2086" spans="1:25" ht="72.75" x14ac:dyDescent="0.25">
      <c r="A2086" s="3" t="s">
        <v>26</v>
      </c>
      <c r="B2086" s="3" t="s">
        <v>27</v>
      </c>
      <c r="C2086" s="3" t="s">
        <v>28</v>
      </c>
      <c r="D2086" s="3" t="s">
        <v>50</v>
      </c>
      <c r="E2086" s="3" t="s">
        <v>252</v>
      </c>
      <c r="F2086" s="3" t="s">
        <v>52</v>
      </c>
      <c r="G2086" s="3" t="s">
        <v>252</v>
      </c>
      <c r="H2086" s="3" t="s">
        <v>45</v>
      </c>
      <c r="I2086" s="3">
        <v>2025</v>
      </c>
      <c r="J2086" s="3" t="str">
        <f>CONCATENATE("54820188321")</f>
        <v>54820188321</v>
      </c>
      <c r="K2086" s="3" t="s">
        <v>33</v>
      </c>
      <c r="L2086" s="3"/>
      <c r="M2086" s="3" t="s">
        <v>131</v>
      </c>
      <c r="N2086" s="3" t="str">
        <f>CONCATENATE("MRLMSM77A18D749J")</f>
        <v>MRLMSM77A18D749J</v>
      </c>
      <c r="O2086" s="3" t="s">
        <v>2222</v>
      </c>
      <c r="P2086" s="3" t="s">
        <v>36</v>
      </c>
      <c r="Q2086" s="3"/>
      <c r="R2086" s="4">
        <v>45996</v>
      </c>
      <c r="S2086" s="3" t="s">
        <v>37</v>
      </c>
      <c r="T2086" s="3" t="s">
        <v>38</v>
      </c>
      <c r="U2086" s="3" t="s">
        <v>39</v>
      </c>
      <c r="V2086" s="3">
        <v>217.31</v>
      </c>
      <c r="W2086" s="3">
        <v>92.36</v>
      </c>
      <c r="X2086" s="3">
        <v>87.47</v>
      </c>
      <c r="Y2086" s="3">
        <v>37.479999999999997</v>
      </c>
    </row>
    <row r="2087" spans="1:25" ht="36.75" x14ac:dyDescent="0.25">
      <c r="A2087" s="3" t="s">
        <v>26</v>
      </c>
      <c r="B2087" s="3" t="s">
        <v>27</v>
      </c>
      <c r="C2087" s="3" t="s">
        <v>28</v>
      </c>
      <c r="D2087" s="3" t="s">
        <v>40</v>
      </c>
      <c r="E2087" s="3" t="s">
        <v>99</v>
      </c>
      <c r="F2087" s="3" t="s">
        <v>42</v>
      </c>
      <c r="G2087" s="3" t="s">
        <v>99</v>
      </c>
      <c r="H2087" s="3" t="s">
        <v>32</v>
      </c>
      <c r="I2087" s="3">
        <v>2025</v>
      </c>
      <c r="J2087" s="3" t="str">
        <f>CONCATENATE("54820291737")</f>
        <v>54820291737</v>
      </c>
      <c r="K2087" s="3" t="s">
        <v>33</v>
      </c>
      <c r="L2087" s="3"/>
      <c r="M2087" s="3" t="s">
        <v>131</v>
      </c>
      <c r="N2087" s="3" t="str">
        <f>CONCATENATE("02481430441")</f>
        <v>02481430441</v>
      </c>
      <c r="O2087" s="3" t="s">
        <v>2223</v>
      </c>
      <c r="P2087" s="3" t="s">
        <v>36</v>
      </c>
      <c r="Q2087" s="3"/>
      <c r="R2087" s="4">
        <v>45996</v>
      </c>
      <c r="S2087" s="3" t="s">
        <v>37</v>
      </c>
      <c r="T2087" s="3" t="s">
        <v>38</v>
      </c>
      <c r="U2087" s="3" t="s">
        <v>39</v>
      </c>
      <c r="V2087" s="3">
        <v>156.75</v>
      </c>
      <c r="W2087" s="3">
        <v>66.62</v>
      </c>
      <c r="X2087" s="3">
        <v>63.09</v>
      </c>
      <c r="Y2087" s="3">
        <v>27.04</v>
      </c>
    </row>
    <row r="2088" spans="1:25" ht="60.75" x14ac:dyDescent="0.25">
      <c r="A2088" s="3" t="s">
        <v>26</v>
      </c>
      <c r="B2088" s="3" t="s">
        <v>27</v>
      </c>
      <c r="C2088" s="3" t="s">
        <v>28</v>
      </c>
      <c r="D2088" s="3" t="s">
        <v>91</v>
      </c>
      <c r="E2088" s="3" t="s">
        <v>92</v>
      </c>
      <c r="F2088" s="3" t="s">
        <v>93</v>
      </c>
      <c r="G2088" s="3" t="s">
        <v>92</v>
      </c>
      <c r="H2088" s="3" t="s">
        <v>48</v>
      </c>
      <c r="I2088" s="3">
        <v>2025</v>
      </c>
      <c r="J2088" s="3" t="str">
        <f>CONCATENATE("54820178108")</f>
        <v>54820178108</v>
      </c>
      <c r="K2088" s="3" t="s">
        <v>33</v>
      </c>
      <c r="L2088" s="3"/>
      <c r="M2088" s="3" t="s">
        <v>131</v>
      </c>
      <c r="N2088" s="3" t="str">
        <f>CONCATENATE("BLDPRZ60T62D451T")</f>
        <v>BLDPRZ60T62D451T</v>
      </c>
      <c r="O2088" s="3" t="s">
        <v>2224</v>
      </c>
      <c r="P2088" s="3" t="s">
        <v>36</v>
      </c>
      <c r="Q2088" s="3"/>
      <c r="R2088" s="4">
        <v>45996</v>
      </c>
      <c r="S2088" s="3" t="s">
        <v>37</v>
      </c>
      <c r="T2088" s="3" t="s">
        <v>38</v>
      </c>
      <c r="U2088" s="3" t="s">
        <v>39</v>
      </c>
      <c r="V2088" s="5">
        <v>1001.44</v>
      </c>
      <c r="W2088" s="3">
        <v>425.61</v>
      </c>
      <c r="X2088" s="3">
        <v>403.08</v>
      </c>
      <c r="Y2088" s="3">
        <v>172.75</v>
      </c>
    </row>
    <row r="2089" spans="1:25" ht="60.75" x14ac:dyDescent="0.25">
      <c r="A2089" s="3" t="s">
        <v>26</v>
      </c>
      <c r="B2089" s="3" t="s">
        <v>27</v>
      </c>
      <c r="C2089" s="3" t="s">
        <v>28</v>
      </c>
      <c r="D2089" s="3" t="s">
        <v>157</v>
      </c>
      <c r="E2089" s="3" t="s">
        <v>1299</v>
      </c>
      <c r="F2089" s="3" t="s">
        <v>159</v>
      </c>
      <c r="G2089" s="3" t="s">
        <v>1299</v>
      </c>
      <c r="H2089" s="3" t="s">
        <v>48</v>
      </c>
      <c r="I2089" s="3">
        <v>2025</v>
      </c>
      <c r="J2089" s="3" t="str">
        <f>CONCATENATE("54820278270")</f>
        <v>54820278270</v>
      </c>
      <c r="K2089" s="3" t="s">
        <v>33</v>
      </c>
      <c r="L2089" s="3"/>
      <c r="M2089" s="3" t="s">
        <v>131</v>
      </c>
      <c r="N2089" s="3" t="str">
        <f>CONCATENATE("RSNRRT77S25D007G")</f>
        <v>RSNRRT77S25D007G</v>
      </c>
      <c r="O2089" s="3" t="s">
        <v>2225</v>
      </c>
      <c r="P2089" s="3" t="s">
        <v>36</v>
      </c>
      <c r="Q2089" s="3"/>
      <c r="R2089" s="4">
        <v>45996</v>
      </c>
      <c r="S2089" s="3" t="s">
        <v>37</v>
      </c>
      <c r="T2089" s="3" t="s">
        <v>38</v>
      </c>
      <c r="U2089" s="3" t="s">
        <v>39</v>
      </c>
      <c r="V2089" s="5">
        <v>1606.17</v>
      </c>
      <c r="W2089" s="3">
        <v>682.62</v>
      </c>
      <c r="X2089" s="3">
        <v>646.48</v>
      </c>
      <c r="Y2089" s="3">
        <v>277.07</v>
      </c>
    </row>
    <row r="2090" spans="1:25" ht="60.75" x14ac:dyDescent="0.25">
      <c r="A2090" s="3" t="s">
        <v>26</v>
      </c>
      <c r="B2090" s="3" t="s">
        <v>27</v>
      </c>
      <c r="C2090" s="3" t="s">
        <v>28</v>
      </c>
      <c r="D2090" s="3" t="s">
        <v>91</v>
      </c>
      <c r="E2090" s="3" t="s">
        <v>151</v>
      </c>
      <c r="F2090" s="3" t="s">
        <v>93</v>
      </c>
      <c r="G2090" s="3" t="s">
        <v>151</v>
      </c>
      <c r="H2090" s="3" t="s">
        <v>45</v>
      </c>
      <c r="I2090" s="3">
        <v>2025</v>
      </c>
      <c r="J2090" s="3" t="str">
        <f>CONCATENATE("54820211313")</f>
        <v>54820211313</v>
      </c>
      <c r="K2090" s="3" t="s">
        <v>33</v>
      </c>
      <c r="L2090" s="3"/>
      <c r="M2090" s="3" t="s">
        <v>131</v>
      </c>
      <c r="N2090" s="3" t="str">
        <f>CONCATENATE("BRRGNN91C21A944X")</f>
        <v>BRRGNN91C21A944X</v>
      </c>
      <c r="O2090" s="3" t="s">
        <v>2226</v>
      </c>
      <c r="P2090" s="3" t="s">
        <v>36</v>
      </c>
      <c r="Q2090" s="3"/>
      <c r="R2090" s="4">
        <v>45996</v>
      </c>
      <c r="S2090" s="3" t="s">
        <v>37</v>
      </c>
      <c r="T2090" s="3" t="s">
        <v>38</v>
      </c>
      <c r="U2090" s="3" t="s">
        <v>39</v>
      </c>
      <c r="V2090" s="3">
        <v>447.92</v>
      </c>
      <c r="W2090" s="3">
        <v>190.37</v>
      </c>
      <c r="X2090" s="3">
        <v>180.29</v>
      </c>
      <c r="Y2090" s="3">
        <v>77.260000000000005</v>
      </c>
    </row>
    <row r="2091" spans="1:25" ht="60.75" x14ac:dyDescent="0.25">
      <c r="A2091" s="3" t="s">
        <v>26</v>
      </c>
      <c r="B2091" s="3" t="s">
        <v>27</v>
      </c>
      <c r="C2091" s="3" t="s">
        <v>28</v>
      </c>
      <c r="D2091" s="3" t="s">
        <v>50</v>
      </c>
      <c r="E2091" s="3" t="s">
        <v>147</v>
      </c>
      <c r="F2091" s="3" t="s">
        <v>52</v>
      </c>
      <c r="G2091" s="3" t="s">
        <v>147</v>
      </c>
      <c r="H2091" s="3" t="s">
        <v>45</v>
      </c>
      <c r="I2091" s="3">
        <v>2025</v>
      </c>
      <c r="J2091" s="3" t="str">
        <f>CONCATENATE("54820169917")</f>
        <v>54820169917</v>
      </c>
      <c r="K2091" s="3" t="s">
        <v>33</v>
      </c>
      <c r="L2091" s="3"/>
      <c r="M2091" s="3" t="s">
        <v>131</v>
      </c>
      <c r="N2091" s="3" t="str">
        <f>CONCATENATE("FCRDRN57B08L500H")</f>
        <v>FCRDRN57B08L500H</v>
      </c>
      <c r="O2091" s="3" t="s">
        <v>2227</v>
      </c>
      <c r="P2091" s="3" t="s">
        <v>36</v>
      </c>
      <c r="Q2091" s="3"/>
      <c r="R2091" s="4">
        <v>45996</v>
      </c>
      <c r="S2091" s="3" t="s">
        <v>37</v>
      </c>
      <c r="T2091" s="3" t="s">
        <v>38</v>
      </c>
      <c r="U2091" s="3" t="s">
        <v>39</v>
      </c>
      <c r="V2091" s="3">
        <v>84.14</v>
      </c>
      <c r="W2091" s="3">
        <v>35.76</v>
      </c>
      <c r="X2091" s="3">
        <v>33.869999999999997</v>
      </c>
      <c r="Y2091" s="3">
        <v>14.51</v>
      </c>
    </row>
    <row r="2092" spans="1:25" ht="72.75" x14ac:dyDescent="0.25">
      <c r="A2092" s="3" t="s">
        <v>26</v>
      </c>
      <c r="B2092" s="3" t="s">
        <v>27</v>
      </c>
      <c r="C2092" s="3" t="s">
        <v>28</v>
      </c>
      <c r="D2092" s="3" t="s">
        <v>50</v>
      </c>
      <c r="E2092" s="3" t="s">
        <v>51</v>
      </c>
      <c r="F2092" s="3" t="s">
        <v>52</v>
      </c>
      <c r="G2092" s="3" t="s">
        <v>51</v>
      </c>
      <c r="H2092" s="3" t="s">
        <v>48</v>
      </c>
      <c r="I2092" s="3">
        <v>2025</v>
      </c>
      <c r="J2092" s="3" t="str">
        <f>CONCATENATE("54820190186")</f>
        <v>54820190186</v>
      </c>
      <c r="K2092" s="3" t="s">
        <v>33</v>
      </c>
      <c r="L2092" s="3"/>
      <c r="M2092" s="3" t="s">
        <v>131</v>
      </c>
      <c r="N2092" s="3" t="str">
        <f>CONCATENATE("RMGGCR70M18D211X")</f>
        <v>RMGGCR70M18D211X</v>
      </c>
      <c r="O2092" s="3" t="s">
        <v>2228</v>
      </c>
      <c r="P2092" s="3" t="s">
        <v>36</v>
      </c>
      <c r="Q2092" s="3"/>
      <c r="R2092" s="4">
        <v>45996</v>
      </c>
      <c r="S2092" s="3" t="s">
        <v>37</v>
      </c>
      <c r="T2092" s="3" t="s">
        <v>38</v>
      </c>
      <c r="U2092" s="3" t="s">
        <v>39</v>
      </c>
      <c r="V2092" s="3">
        <v>386</v>
      </c>
      <c r="W2092" s="3">
        <v>164.05</v>
      </c>
      <c r="X2092" s="3">
        <v>155.37</v>
      </c>
      <c r="Y2092" s="3">
        <v>66.58</v>
      </c>
    </row>
    <row r="2093" spans="1:25" ht="72.75" x14ac:dyDescent="0.25">
      <c r="A2093" s="3" t="s">
        <v>26</v>
      </c>
      <c r="B2093" s="3" t="s">
        <v>27</v>
      </c>
      <c r="C2093" s="3" t="s">
        <v>28</v>
      </c>
      <c r="D2093" s="3" t="s">
        <v>50</v>
      </c>
      <c r="E2093" s="3" t="s">
        <v>252</v>
      </c>
      <c r="F2093" s="3" t="s">
        <v>52</v>
      </c>
      <c r="G2093" s="3" t="s">
        <v>252</v>
      </c>
      <c r="H2093" s="3" t="s">
        <v>45</v>
      </c>
      <c r="I2093" s="3">
        <v>2025</v>
      </c>
      <c r="J2093" s="3" t="str">
        <f>CONCATENATE("54820181524")</f>
        <v>54820181524</v>
      </c>
      <c r="K2093" s="3" t="s">
        <v>33</v>
      </c>
      <c r="L2093" s="3"/>
      <c r="M2093" s="3" t="s">
        <v>131</v>
      </c>
      <c r="N2093" s="3" t="str">
        <f>CONCATENATE("MNGGNN50R08G453W")</f>
        <v>MNGGNN50R08G453W</v>
      </c>
      <c r="O2093" s="3" t="s">
        <v>2229</v>
      </c>
      <c r="P2093" s="3" t="s">
        <v>36</v>
      </c>
      <c r="Q2093" s="3"/>
      <c r="R2093" s="4">
        <v>45996</v>
      </c>
      <c r="S2093" s="3" t="s">
        <v>37</v>
      </c>
      <c r="T2093" s="3" t="s">
        <v>38</v>
      </c>
      <c r="U2093" s="3" t="s">
        <v>39</v>
      </c>
      <c r="V2093" s="3">
        <v>48.82</v>
      </c>
      <c r="W2093" s="3">
        <v>20.75</v>
      </c>
      <c r="X2093" s="3">
        <v>19.649999999999999</v>
      </c>
      <c r="Y2093" s="3">
        <v>8.42</v>
      </c>
    </row>
    <row r="2094" spans="1:25" ht="60.75" x14ac:dyDescent="0.25">
      <c r="A2094" s="3" t="s">
        <v>26</v>
      </c>
      <c r="B2094" s="3" t="s">
        <v>27</v>
      </c>
      <c r="C2094" s="3" t="s">
        <v>28</v>
      </c>
      <c r="D2094" s="3" t="s">
        <v>29</v>
      </c>
      <c r="E2094" s="3" t="s">
        <v>47</v>
      </c>
      <c r="F2094" s="3" t="s">
        <v>31</v>
      </c>
      <c r="G2094" s="3" t="s">
        <v>47</v>
      </c>
      <c r="H2094" s="3" t="s">
        <v>48</v>
      </c>
      <c r="I2094" s="3">
        <v>2025</v>
      </c>
      <c r="J2094" s="3" t="str">
        <f>CONCATENATE("54820201942")</f>
        <v>54820201942</v>
      </c>
      <c r="K2094" s="3" t="s">
        <v>33</v>
      </c>
      <c r="L2094" s="3"/>
      <c r="M2094" s="3" t="s">
        <v>131</v>
      </c>
      <c r="N2094" s="3" t="str">
        <f>CONCATENATE("BRBFRZ63T27D451T")</f>
        <v>BRBFRZ63T27D451T</v>
      </c>
      <c r="O2094" s="3" t="s">
        <v>2230</v>
      </c>
      <c r="P2094" s="3" t="s">
        <v>36</v>
      </c>
      <c r="Q2094" s="3"/>
      <c r="R2094" s="4">
        <v>45996</v>
      </c>
      <c r="S2094" s="3" t="s">
        <v>37</v>
      </c>
      <c r="T2094" s="3" t="s">
        <v>38</v>
      </c>
      <c r="U2094" s="3" t="s">
        <v>39</v>
      </c>
      <c r="V2094" s="5">
        <v>1293.17</v>
      </c>
      <c r="W2094" s="3">
        <v>549.6</v>
      </c>
      <c r="X2094" s="3">
        <v>520.5</v>
      </c>
      <c r="Y2094" s="3">
        <v>223.07</v>
      </c>
    </row>
    <row r="2095" spans="1:25" ht="72.75" x14ac:dyDescent="0.25">
      <c r="A2095" s="3" t="s">
        <v>26</v>
      </c>
      <c r="B2095" s="3" t="s">
        <v>27</v>
      </c>
      <c r="C2095" s="3" t="s">
        <v>28</v>
      </c>
      <c r="D2095" s="3" t="s">
        <v>50</v>
      </c>
      <c r="E2095" s="3" t="s">
        <v>60</v>
      </c>
      <c r="F2095" s="3" t="s">
        <v>52</v>
      </c>
      <c r="G2095" s="3" t="s">
        <v>60</v>
      </c>
      <c r="H2095" s="3" t="s">
        <v>45</v>
      </c>
      <c r="I2095" s="3">
        <v>2025</v>
      </c>
      <c r="J2095" s="3" t="str">
        <f>CONCATENATE("54820117700")</f>
        <v>54820117700</v>
      </c>
      <c r="K2095" s="3" t="s">
        <v>33</v>
      </c>
      <c r="L2095" s="3"/>
      <c r="M2095" s="3" t="s">
        <v>131</v>
      </c>
      <c r="N2095" s="3" t="str">
        <f>CONCATENATE("MNCMRT50H53G453O")</f>
        <v>MNCMRT50H53G453O</v>
      </c>
      <c r="O2095" s="3" t="s">
        <v>2231</v>
      </c>
      <c r="P2095" s="3" t="s">
        <v>36</v>
      </c>
      <c r="Q2095" s="3"/>
      <c r="R2095" s="4">
        <v>45996</v>
      </c>
      <c r="S2095" s="3" t="s">
        <v>37</v>
      </c>
      <c r="T2095" s="3" t="s">
        <v>38</v>
      </c>
      <c r="U2095" s="3" t="s">
        <v>39</v>
      </c>
      <c r="V2095" s="3">
        <v>125.53</v>
      </c>
      <c r="W2095" s="3">
        <v>53.35</v>
      </c>
      <c r="X2095" s="3">
        <v>50.53</v>
      </c>
      <c r="Y2095" s="3">
        <v>21.65</v>
      </c>
    </row>
    <row r="2096" spans="1:25" ht="60.75" x14ac:dyDescent="0.25">
      <c r="A2096" s="3" t="s">
        <v>26</v>
      </c>
      <c r="B2096" s="3" t="s">
        <v>27</v>
      </c>
      <c r="C2096" s="3" t="s">
        <v>28</v>
      </c>
      <c r="D2096" s="3" t="s">
        <v>40</v>
      </c>
      <c r="E2096" s="3" t="s">
        <v>44</v>
      </c>
      <c r="F2096" s="3" t="s">
        <v>42</v>
      </c>
      <c r="G2096" s="3" t="s">
        <v>44</v>
      </c>
      <c r="H2096" s="3" t="s">
        <v>32</v>
      </c>
      <c r="I2096" s="3">
        <v>2025</v>
      </c>
      <c r="J2096" s="3" t="str">
        <f>CONCATENATE("54820133640")</f>
        <v>54820133640</v>
      </c>
      <c r="K2096" s="3" t="s">
        <v>33</v>
      </c>
      <c r="L2096" s="3"/>
      <c r="M2096" s="3" t="s">
        <v>131</v>
      </c>
      <c r="N2096" s="3" t="str">
        <f>CONCATENATE("BBNNNA76B69Z154N")</f>
        <v>BBNNNA76B69Z154N</v>
      </c>
      <c r="O2096" s="3" t="s">
        <v>2232</v>
      </c>
      <c r="P2096" s="3" t="s">
        <v>36</v>
      </c>
      <c r="Q2096" s="3"/>
      <c r="R2096" s="4">
        <v>45996</v>
      </c>
      <c r="S2096" s="3" t="s">
        <v>37</v>
      </c>
      <c r="T2096" s="3" t="s">
        <v>38</v>
      </c>
      <c r="U2096" s="3" t="s">
        <v>39</v>
      </c>
      <c r="V2096" s="3">
        <v>925.97</v>
      </c>
      <c r="W2096" s="3">
        <v>393.54</v>
      </c>
      <c r="X2096" s="3">
        <v>372.7</v>
      </c>
      <c r="Y2096" s="3">
        <v>159.72999999999999</v>
      </c>
    </row>
    <row r="2097" spans="1:25" ht="36.75" x14ac:dyDescent="0.25">
      <c r="A2097" s="3" t="s">
        <v>26</v>
      </c>
      <c r="B2097" s="3" t="s">
        <v>27</v>
      </c>
      <c r="C2097" s="3" t="s">
        <v>28</v>
      </c>
      <c r="D2097" s="3" t="s">
        <v>29</v>
      </c>
      <c r="E2097" s="3" t="s">
        <v>101</v>
      </c>
      <c r="F2097" s="3" t="s">
        <v>31</v>
      </c>
      <c r="G2097" s="3" t="s">
        <v>101</v>
      </c>
      <c r="H2097" s="3" t="s">
        <v>32</v>
      </c>
      <c r="I2097" s="3">
        <v>2025</v>
      </c>
      <c r="J2097" s="3" t="str">
        <f>CONCATENATE("54820151428")</f>
        <v>54820151428</v>
      </c>
      <c r="K2097" s="3" t="s">
        <v>33</v>
      </c>
      <c r="L2097" s="3"/>
      <c r="M2097" s="3" t="s">
        <v>131</v>
      </c>
      <c r="N2097" s="3" t="str">
        <f>CONCATENATE("01918100437")</f>
        <v>01918100437</v>
      </c>
      <c r="O2097" s="3" t="s">
        <v>2233</v>
      </c>
      <c r="P2097" s="3" t="s">
        <v>36</v>
      </c>
      <c r="Q2097" s="3"/>
      <c r="R2097" s="4">
        <v>45996</v>
      </c>
      <c r="S2097" s="3" t="s">
        <v>37</v>
      </c>
      <c r="T2097" s="3" t="s">
        <v>38</v>
      </c>
      <c r="U2097" s="3" t="s">
        <v>39</v>
      </c>
      <c r="V2097" s="3">
        <v>474.15</v>
      </c>
      <c r="W2097" s="3">
        <v>201.51</v>
      </c>
      <c r="X2097" s="3">
        <v>190.85</v>
      </c>
      <c r="Y2097" s="3">
        <v>81.790000000000006</v>
      </c>
    </row>
    <row r="2098" spans="1:25" ht="60.75" x14ac:dyDescent="0.25">
      <c r="A2098" s="3" t="s">
        <v>26</v>
      </c>
      <c r="B2098" s="3" t="s">
        <v>27</v>
      </c>
      <c r="C2098" s="3" t="s">
        <v>28</v>
      </c>
      <c r="D2098" s="3" t="s">
        <v>50</v>
      </c>
      <c r="E2098" s="3" t="s">
        <v>51</v>
      </c>
      <c r="F2098" s="3" t="s">
        <v>52</v>
      </c>
      <c r="G2098" s="3" t="s">
        <v>51</v>
      </c>
      <c r="H2098" s="3" t="s">
        <v>48</v>
      </c>
      <c r="I2098" s="3">
        <v>2025</v>
      </c>
      <c r="J2098" s="3" t="str">
        <f>CONCATENATE("54820163522")</f>
        <v>54820163522</v>
      </c>
      <c r="K2098" s="3" t="s">
        <v>33</v>
      </c>
      <c r="L2098" s="3"/>
      <c r="M2098" s="3" t="s">
        <v>131</v>
      </c>
      <c r="N2098" s="3" t="str">
        <f>CONCATENATE("CRDRLL66B47D451Q")</f>
        <v>CRDRLL66B47D451Q</v>
      </c>
      <c r="O2098" s="3" t="s">
        <v>2234</v>
      </c>
      <c r="P2098" s="3" t="s">
        <v>36</v>
      </c>
      <c r="Q2098" s="3"/>
      <c r="R2098" s="4">
        <v>45996</v>
      </c>
      <c r="S2098" s="3" t="s">
        <v>37</v>
      </c>
      <c r="T2098" s="3" t="s">
        <v>38</v>
      </c>
      <c r="U2098" s="3" t="s">
        <v>39</v>
      </c>
      <c r="V2098" s="3">
        <v>59.42</v>
      </c>
      <c r="W2098" s="3">
        <v>25.25</v>
      </c>
      <c r="X2098" s="3">
        <v>23.92</v>
      </c>
      <c r="Y2098" s="3">
        <v>10.25</v>
      </c>
    </row>
    <row r="2099" spans="1:25" ht="60.75" x14ac:dyDescent="0.25">
      <c r="A2099" s="3" t="s">
        <v>26</v>
      </c>
      <c r="B2099" s="3" t="s">
        <v>27</v>
      </c>
      <c r="C2099" s="3" t="s">
        <v>28</v>
      </c>
      <c r="D2099" s="3" t="s">
        <v>29</v>
      </c>
      <c r="E2099" s="3" t="s">
        <v>80</v>
      </c>
      <c r="F2099" s="3" t="s">
        <v>31</v>
      </c>
      <c r="G2099" s="3" t="s">
        <v>80</v>
      </c>
      <c r="H2099" s="3" t="s">
        <v>45</v>
      </c>
      <c r="I2099" s="3">
        <v>2025</v>
      </c>
      <c r="J2099" s="3" t="str">
        <f>CONCATENATE("54820156146")</f>
        <v>54820156146</v>
      </c>
      <c r="K2099" s="3" t="s">
        <v>33</v>
      </c>
      <c r="L2099" s="3"/>
      <c r="M2099" s="3" t="s">
        <v>131</v>
      </c>
      <c r="N2099" s="3" t="str">
        <f>CONCATENATE("GSTLCN47T53G453P")</f>
        <v>GSTLCN47T53G453P</v>
      </c>
      <c r="O2099" s="3" t="s">
        <v>2235</v>
      </c>
      <c r="P2099" s="3" t="s">
        <v>36</v>
      </c>
      <c r="Q2099" s="3"/>
      <c r="R2099" s="4">
        <v>45996</v>
      </c>
      <c r="S2099" s="3" t="s">
        <v>37</v>
      </c>
      <c r="T2099" s="3" t="s">
        <v>38</v>
      </c>
      <c r="U2099" s="3" t="s">
        <v>39</v>
      </c>
      <c r="V2099" s="3">
        <v>99.89</v>
      </c>
      <c r="W2099" s="3">
        <v>42.45</v>
      </c>
      <c r="X2099" s="3">
        <v>40.21</v>
      </c>
      <c r="Y2099" s="3">
        <v>17.23</v>
      </c>
    </row>
    <row r="2100" spans="1:25" ht="60.75" x14ac:dyDescent="0.25">
      <c r="A2100" s="3" t="s">
        <v>26</v>
      </c>
      <c r="B2100" s="3" t="s">
        <v>27</v>
      </c>
      <c r="C2100" s="3" t="s">
        <v>28</v>
      </c>
      <c r="D2100" s="3" t="s">
        <v>50</v>
      </c>
      <c r="E2100" s="3" t="s">
        <v>60</v>
      </c>
      <c r="F2100" s="3" t="s">
        <v>52</v>
      </c>
      <c r="G2100" s="3" t="s">
        <v>60</v>
      </c>
      <c r="H2100" s="3" t="s">
        <v>45</v>
      </c>
      <c r="I2100" s="3">
        <v>2025</v>
      </c>
      <c r="J2100" s="3" t="str">
        <f>CONCATENATE("54820104088")</f>
        <v>54820104088</v>
      </c>
      <c r="K2100" s="3" t="s">
        <v>33</v>
      </c>
      <c r="L2100" s="3"/>
      <c r="M2100" s="3" t="s">
        <v>131</v>
      </c>
      <c r="N2100" s="3" t="str">
        <f>CONCATENATE("DPLVLR68E12Z133L")</f>
        <v>DPLVLR68E12Z133L</v>
      </c>
      <c r="O2100" s="3" t="s">
        <v>2236</v>
      </c>
      <c r="P2100" s="3" t="s">
        <v>36</v>
      </c>
      <c r="Q2100" s="3"/>
      <c r="R2100" s="4">
        <v>45996</v>
      </c>
      <c r="S2100" s="3" t="s">
        <v>37</v>
      </c>
      <c r="T2100" s="3" t="s">
        <v>38</v>
      </c>
      <c r="U2100" s="3" t="s">
        <v>39</v>
      </c>
      <c r="V2100" s="3">
        <v>132.72999999999999</v>
      </c>
      <c r="W2100" s="3">
        <v>56.41</v>
      </c>
      <c r="X2100" s="3">
        <v>53.42</v>
      </c>
      <c r="Y2100" s="3">
        <v>22.9</v>
      </c>
    </row>
    <row r="2101" spans="1:25" ht="36.75" x14ac:dyDescent="0.25">
      <c r="A2101" s="3" t="s">
        <v>26</v>
      </c>
      <c r="B2101" s="3" t="s">
        <v>27</v>
      </c>
      <c r="C2101" s="3" t="s">
        <v>28</v>
      </c>
      <c r="D2101" s="3" t="s">
        <v>50</v>
      </c>
      <c r="E2101" s="3" t="s">
        <v>60</v>
      </c>
      <c r="F2101" s="3" t="s">
        <v>52</v>
      </c>
      <c r="G2101" s="3" t="s">
        <v>60</v>
      </c>
      <c r="H2101" s="3" t="s">
        <v>45</v>
      </c>
      <c r="I2101" s="3">
        <v>2025</v>
      </c>
      <c r="J2101" s="3" t="str">
        <f>CONCATENATE("54820133111")</f>
        <v>54820133111</v>
      </c>
      <c r="K2101" s="3" t="s">
        <v>33</v>
      </c>
      <c r="L2101" s="3"/>
      <c r="M2101" s="3" t="s">
        <v>131</v>
      </c>
      <c r="N2101" s="3" t="str">
        <f>CONCATENATE("02344190414")</f>
        <v>02344190414</v>
      </c>
      <c r="O2101" s="3" t="s">
        <v>2237</v>
      </c>
      <c r="P2101" s="3" t="s">
        <v>36</v>
      </c>
      <c r="Q2101" s="3"/>
      <c r="R2101" s="4">
        <v>45996</v>
      </c>
      <c r="S2101" s="3" t="s">
        <v>37</v>
      </c>
      <c r="T2101" s="3" t="s">
        <v>38</v>
      </c>
      <c r="U2101" s="3" t="s">
        <v>39</v>
      </c>
      <c r="V2101" s="3">
        <v>157.9</v>
      </c>
      <c r="W2101" s="3">
        <v>67.11</v>
      </c>
      <c r="X2101" s="3">
        <v>63.55</v>
      </c>
      <c r="Y2101" s="3">
        <v>27.24</v>
      </c>
    </row>
    <row r="2102" spans="1:25" ht="60.75" x14ac:dyDescent="0.25">
      <c r="A2102" s="3" t="s">
        <v>26</v>
      </c>
      <c r="B2102" s="3" t="s">
        <v>27</v>
      </c>
      <c r="C2102" s="3" t="s">
        <v>28</v>
      </c>
      <c r="D2102" s="3" t="s">
        <v>50</v>
      </c>
      <c r="E2102" s="3" t="s">
        <v>60</v>
      </c>
      <c r="F2102" s="3" t="s">
        <v>52</v>
      </c>
      <c r="G2102" s="3" t="s">
        <v>60</v>
      </c>
      <c r="H2102" s="3" t="s">
        <v>45</v>
      </c>
      <c r="I2102" s="3">
        <v>2025</v>
      </c>
      <c r="J2102" s="3" t="str">
        <f>CONCATENATE("54820108956")</f>
        <v>54820108956</v>
      </c>
      <c r="K2102" s="3" t="s">
        <v>33</v>
      </c>
      <c r="L2102" s="3"/>
      <c r="M2102" s="3" t="s">
        <v>131</v>
      </c>
      <c r="N2102" s="3" t="str">
        <f>CONCATENATE("CFFLGU62R14B352S")</f>
        <v>CFFLGU62R14B352S</v>
      </c>
      <c r="O2102" s="3" t="s">
        <v>2238</v>
      </c>
      <c r="P2102" s="3" t="s">
        <v>36</v>
      </c>
      <c r="Q2102" s="3"/>
      <c r="R2102" s="4">
        <v>45996</v>
      </c>
      <c r="S2102" s="3" t="s">
        <v>37</v>
      </c>
      <c r="T2102" s="3" t="s">
        <v>38</v>
      </c>
      <c r="U2102" s="3" t="s">
        <v>39</v>
      </c>
      <c r="V2102" s="3">
        <v>137.13999999999999</v>
      </c>
      <c r="W2102" s="3">
        <v>58.28</v>
      </c>
      <c r="X2102" s="3">
        <v>55.2</v>
      </c>
      <c r="Y2102" s="3">
        <v>23.66</v>
      </c>
    </row>
    <row r="2103" spans="1:25" ht="36.75" x14ac:dyDescent="0.25">
      <c r="A2103" s="3" t="s">
        <v>26</v>
      </c>
      <c r="B2103" s="3" t="s">
        <v>27</v>
      </c>
      <c r="C2103" s="3" t="s">
        <v>28</v>
      </c>
      <c r="D2103" s="3" t="s">
        <v>91</v>
      </c>
      <c r="E2103" s="3" t="s">
        <v>151</v>
      </c>
      <c r="F2103" s="3" t="s">
        <v>93</v>
      </c>
      <c r="G2103" s="3" t="s">
        <v>151</v>
      </c>
      <c r="H2103" s="3" t="s">
        <v>45</v>
      </c>
      <c r="I2103" s="3">
        <v>2025</v>
      </c>
      <c r="J2103" s="3" t="str">
        <f>CONCATENATE("54820168273")</f>
        <v>54820168273</v>
      </c>
      <c r="K2103" s="3" t="s">
        <v>33</v>
      </c>
      <c r="L2103" s="3"/>
      <c r="M2103" s="3" t="s">
        <v>131</v>
      </c>
      <c r="N2103" s="3" t="str">
        <f>CONCATENATE("02584780411")</f>
        <v>02584780411</v>
      </c>
      <c r="O2103" s="3" t="s">
        <v>2239</v>
      </c>
      <c r="P2103" s="3" t="s">
        <v>36</v>
      </c>
      <c r="Q2103" s="3"/>
      <c r="R2103" s="4">
        <v>45996</v>
      </c>
      <c r="S2103" s="3" t="s">
        <v>37</v>
      </c>
      <c r="T2103" s="3" t="s">
        <v>38</v>
      </c>
      <c r="U2103" s="3" t="s">
        <v>39</v>
      </c>
      <c r="V2103" s="3">
        <v>381.63</v>
      </c>
      <c r="W2103" s="3">
        <v>162.19</v>
      </c>
      <c r="X2103" s="3">
        <v>153.61000000000001</v>
      </c>
      <c r="Y2103" s="3">
        <v>65.83</v>
      </c>
    </row>
    <row r="2104" spans="1:25" ht="60.75" x14ac:dyDescent="0.25">
      <c r="A2104" s="3" t="s">
        <v>26</v>
      </c>
      <c r="B2104" s="3" t="s">
        <v>27</v>
      </c>
      <c r="C2104" s="3" t="s">
        <v>28</v>
      </c>
      <c r="D2104" s="3" t="s">
        <v>50</v>
      </c>
      <c r="E2104" s="3" t="s">
        <v>147</v>
      </c>
      <c r="F2104" s="3" t="s">
        <v>52</v>
      </c>
      <c r="G2104" s="3" t="s">
        <v>147</v>
      </c>
      <c r="H2104" s="3" t="s">
        <v>45</v>
      </c>
      <c r="I2104" s="3">
        <v>2025</v>
      </c>
      <c r="J2104" s="3" t="str">
        <f>CONCATENATE("54820274378")</f>
        <v>54820274378</v>
      </c>
      <c r="K2104" s="3" t="s">
        <v>33</v>
      </c>
      <c r="L2104" s="3"/>
      <c r="M2104" s="3" t="s">
        <v>131</v>
      </c>
      <c r="N2104" s="3" t="str">
        <f>CONCATENATE("CNCNDR90M21I459O")</f>
        <v>CNCNDR90M21I459O</v>
      </c>
      <c r="O2104" s="3" t="s">
        <v>2240</v>
      </c>
      <c r="P2104" s="3" t="s">
        <v>36</v>
      </c>
      <c r="Q2104" s="3"/>
      <c r="R2104" s="4">
        <v>45996</v>
      </c>
      <c r="S2104" s="3" t="s">
        <v>37</v>
      </c>
      <c r="T2104" s="3" t="s">
        <v>38</v>
      </c>
      <c r="U2104" s="3" t="s">
        <v>39</v>
      </c>
      <c r="V2104" s="3">
        <v>127.95</v>
      </c>
      <c r="W2104" s="3">
        <v>54.38</v>
      </c>
      <c r="X2104" s="3">
        <v>51.5</v>
      </c>
      <c r="Y2104" s="3">
        <v>22.07</v>
      </c>
    </row>
    <row r="2105" spans="1:25" ht="60.75" x14ac:dyDescent="0.25">
      <c r="A2105" s="3" t="s">
        <v>26</v>
      </c>
      <c r="B2105" s="3" t="s">
        <v>27</v>
      </c>
      <c r="C2105" s="3" t="s">
        <v>28</v>
      </c>
      <c r="D2105" s="3" t="s">
        <v>29</v>
      </c>
      <c r="E2105" s="3" t="s">
        <v>72</v>
      </c>
      <c r="F2105" s="3" t="s">
        <v>31</v>
      </c>
      <c r="G2105" s="3" t="s">
        <v>72</v>
      </c>
      <c r="H2105" s="3" t="s">
        <v>45</v>
      </c>
      <c r="I2105" s="3">
        <v>2025</v>
      </c>
      <c r="J2105" s="3" t="str">
        <f>CONCATENATE("54820052667")</f>
        <v>54820052667</v>
      </c>
      <c r="K2105" s="3" t="s">
        <v>33</v>
      </c>
      <c r="L2105" s="3"/>
      <c r="M2105" s="3" t="s">
        <v>131</v>
      </c>
      <c r="N2105" s="3" t="str">
        <f>CONCATENATE("MTTDRH69P52G479T")</f>
        <v>MTTDRH69P52G479T</v>
      </c>
      <c r="O2105" s="3" t="s">
        <v>2241</v>
      </c>
      <c r="P2105" s="3" t="s">
        <v>36</v>
      </c>
      <c r="Q2105" s="3"/>
      <c r="R2105" s="4">
        <v>45996</v>
      </c>
      <c r="S2105" s="3" t="s">
        <v>37</v>
      </c>
      <c r="T2105" s="3" t="s">
        <v>38</v>
      </c>
      <c r="U2105" s="3" t="s">
        <v>39</v>
      </c>
      <c r="V2105" s="3">
        <v>363.16</v>
      </c>
      <c r="W2105" s="3">
        <v>154.34</v>
      </c>
      <c r="X2105" s="3">
        <v>146.16999999999999</v>
      </c>
      <c r="Y2105" s="3">
        <v>62.65</v>
      </c>
    </row>
    <row r="2106" spans="1:25" ht="60.75" x14ac:dyDescent="0.25">
      <c r="A2106" s="3" t="s">
        <v>26</v>
      </c>
      <c r="B2106" s="3" t="s">
        <v>27</v>
      </c>
      <c r="C2106" s="3" t="s">
        <v>28</v>
      </c>
      <c r="D2106" s="3" t="s">
        <v>50</v>
      </c>
      <c r="E2106" s="3" t="s">
        <v>60</v>
      </c>
      <c r="F2106" s="3" t="s">
        <v>52</v>
      </c>
      <c r="G2106" s="3" t="s">
        <v>60</v>
      </c>
      <c r="H2106" s="3" t="s">
        <v>45</v>
      </c>
      <c r="I2106" s="3">
        <v>2025</v>
      </c>
      <c r="J2106" s="3" t="str">
        <f>CONCATENATE("54820083746")</f>
        <v>54820083746</v>
      </c>
      <c r="K2106" s="3" t="s">
        <v>33</v>
      </c>
      <c r="L2106" s="3"/>
      <c r="M2106" s="3" t="s">
        <v>131</v>
      </c>
      <c r="N2106" s="3" t="str">
        <f>CONCATENATE("NTGNNL63C62H958C")</f>
        <v>NTGNNL63C62H958C</v>
      </c>
      <c r="O2106" s="3" t="s">
        <v>2242</v>
      </c>
      <c r="P2106" s="3" t="s">
        <v>36</v>
      </c>
      <c r="Q2106" s="3"/>
      <c r="R2106" s="4">
        <v>45996</v>
      </c>
      <c r="S2106" s="3" t="s">
        <v>37</v>
      </c>
      <c r="T2106" s="3" t="s">
        <v>38</v>
      </c>
      <c r="U2106" s="3" t="s">
        <v>39</v>
      </c>
      <c r="V2106" s="3">
        <v>59.91</v>
      </c>
      <c r="W2106" s="3">
        <v>25.46</v>
      </c>
      <c r="X2106" s="3">
        <v>24.11</v>
      </c>
      <c r="Y2106" s="3">
        <v>10.34</v>
      </c>
    </row>
    <row r="2107" spans="1:25" ht="60.75" x14ac:dyDescent="0.25">
      <c r="A2107" s="3" t="s">
        <v>26</v>
      </c>
      <c r="B2107" s="3" t="s">
        <v>27</v>
      </c>
      <c r="C2107" s="3" t="s">
        <v>28</v>
      </c>
      <c r="D2107" s="3" t="s">
        <v>104</v>
      </c>
      <c r="E2107" s="3" t="s">
        <v>141</v>
      </c>
      <c r="F2107" s="3" t="s">
        <v>104</v>
      </c>
      <c r="G2107" s="3" t="s">
        <v>141</v>
      </c>
      <c r="H2107" s="3" t="s">
        <v>96</v>
      </c>
      <c r="I2107" s="3">
        <v>2025</v>
      </c>
      <c r="J2107" s="3" t="str">
        <f>CONCATENATE("54820142377")</f>
        <v>54820142377</v>
      </c>
      <c r="K2107" s="3" t="s">
        <v>33</v>
      </c>
      <c r="L2107" s="3"/>
      <c r="M2107" s="3" t="s">
        <v>131</v>
      </c>
      <c r="N2107" s="3" t="str">
        <f>CONCATENATE("CCCPLA73E25G516G")</f>
        <v>CCCPLA73E25G516G</v>
      </c>
      <c r="O2107" s="3" t="s">
        <v>2243</v>
      </c>
      <c r="P2107" s="3" t="s">
        <v>36</v>
      </c>
      <c r="Q2107" s="3"/>
      <c r="R2107" s="4">
        <v>45996</v>
      </c>
      <c r="S2107" s="3" t="s">
        <v>37</v>
      </c>
      <c r="T2107" s="3" t="s">
        <v>38</v>
      </c>
      <c r="U2107" s="3" t="s">
        <v>39</v>
      </c>
      <c r="V2107" s="3">
        <v>71.56</v>
      </c>
      <c r="W2107" s="3">
        <v>30.41</v>
      </c>
      <c r="X2107" s="3">
        <v>28.8</v>
      </c>
      <c r="Y2107" s="3">
        <v>12.35</v>
      </c>
    </row>
    <row r="2108" spans="1:25" ht="60.75" x14ac:dyDescent="0.25">
      <c r="A2108" s="3" t="s">
        <v>26</v>
      </c>
      <c r="B2108" s="3" t="s">
        <v>27</v>
      </c>
      <c r="C2108" s="3" t="s">
        <v>28</v>
      </c>
      <c r="D2108" s="3" t="s">
        <v>29</v>
      </c>
      <c r="E2108" s="3" t="s">
        <v>186</v>
      </c>
      <c r="F2108" s="3" t="s">
        <v>31</v>
      </c>
      <c r="G2108" s="3" t="s">
        <v>186</v>
      </c>
      <c r="H2108" s="3" t="s">
        <v>45</v>
      </c>
      <c r="I2108" s="3">
        <v>2025</v>
      </c>
      <c r="J2108" s="3" t="str">
        <f>CONCATENATE("54820088117")</f>
        <v>54820088117</v>
      </c>
      <c r="K2108" s="3" t="s">
        <v>33</v>
      </c>
      <c r="L2108" s="3"/>
      <c r="M2108" s="3" t="s">
        <v>131</v>
      </c>
      <c r="N2108" s="3" t="str">
        <f>CONCATENATE("GCMLTT63B68A493R")</f>
        <v>GCMLTT63B68A493R</v>
      </c>
      <c r="O2108" s="3" t="s">
        <v>2244</v>
      </c>
      <c r="P2108" s="3" t="s">
        <v>36</v>
      </c>
      <c r="Q2108" s="3"/>
      <c r="R2108" s="4">
        <v>45996</v>
      </c>
      <c r="S2108" s="3" t="s">
        <v>37</v>
      </c>
      <c r="T2108" s="3" t="s">
        <v>38</v>
      </c>
      <c r="U2108" s="3" t="s">
        <v>39</v>
      </c>
      <c r="V2108" s="3">
        <v>253.82</v>
      </c>
      <c r="W2108" s="3">
        <v>107.87</v>
      </c>
      <c r="X2108" s="3">
        <v>102.16</v>
      </c>
      <c r="Y2108" s="3">
        <v>43.79</v>
      </c>
    </row>
    <row r="2109" spans="1:25" ht="36.75" x14ac:dyDescent="0.25">
      <c r="A2109" s="3" t="s">
        <v>26</v>
      </c>
      <c r="B2109" s="3" t="s">
        <v>27</v>
      </c>
      <c r="C2109" s="3" t="s">
        <v>28</v>
      </c>
      <c r="D2109" s="3" t="s">
        <v>29</v>
      </c>
      <c r="E2109" s="3" t="s">
        <v>56</v>
      </c>
      <c r="F2109" s="3" t="s">
        <v>31</v>
      </c>
      <c r="G2109" s="3" t="s">
        <v>56</v>
      </c>
      <c r="H2109" s="3" t="s">
        <v>32</v>
      </c>
      <c r="I2109" s="3">
        <v>2025</v>
      </c>
      <c r="J2109" s="3" t="str">
        <f>CONCATENATE("54820130166")</f>
        <v>54820130166</v>
      </c>
      <c r="K2109" s="3" t="s">
        <v>33</v>
      </c>
      <c r="L2109" s="3"/>
      <c r="M2109" s="3" t="s">
        <v>131</v>
      </c>
      <c r="N2109" s="3" t="str">
        <f>CONCATENATE("01635930439")</f>
        <v>01635930439</v>
      </c>
      <c r="O2109" s="3" t="s">
        <v>2245</v>
      </c>
      <c r="P2109" s="3" t="s">
        <v>36</v>
      </c>
      <c r="Q2109" s="3"/>
      <c r="R2109" s="4">
        <v>45996</v>
      </c>
      <c r="S2109" s="3" t="s">
        <v>37</v>
      </c>
      <c r="T2109" s="3" t="s">
        <v>38</v>
      </c>
      <c r="U2109" s="3" t="s">
        <v>39</v>
      </c>
      <c r="V2109" s="3">
        <v>52.92</v>
      </c>
      <c r="W2109" s="3">
        <v>22.49</v>
      </c>
      <c r="X2109" s="3">
        <v>21.3</v>
      </c>
      <c r="Y2109" s="3">
        <v>9.1300000000000008</v>
      </c>
    </row>
    <row r="2110" spans="1:25" ht="36.75" x14ac:dyDescent="0.25">
      <c r="A2110" s="3" t="s">
        <v>26</v>
      </c>
      <c r="B2110" s="3" t="s">
        <v>27</v>
      </c>
      <c r="C2110" s="3" t="s">
        <v>28</v>
      </c>
      <c r="D2110" s="3" t="s">
        <v>683</v>
      </c>
      <c r="E2110" s="3" t="s">
        <v>684</v>
      </c>
      <c r="F2110" s="3" t="s">
        <v>685</v>
      </c>
      <c r="G2110" s="3" t="s">
        <v>684</v>
      </c>
      <c r="H2110" s="3" t="s">
        <v>45</v>
      </c>
      <c r="I2110" s="3">
        <v>2025</v>
      </c>
      <c r="J2110" s="3" t="str">
        <f>CONCATENATE("54820115811")</f>
        <v>54820115811</v>
      </c>
      <c r="K2110" s="3" t="s">
        <v>33</v>
      </c>
      <c r="L2110" s="3"/>
      <c r="M2110" s="3" t="s">
        <v>131</v>
      </c>
      <c r="N2110" s="3" t="str">
        <f>CONCATENATE("00941670515")</f>
        <v>00941670515</v>
      </c>
      <c r="O2110" s="3" t="s">
        <v>2246</v>
      </c>
      <c r="P2110" s="3" t="s">
        <v>36</v>
      </c>
      <c r="Q2110" s="3"/>
      <c r="R2110" s="4">
        <v>45996</v>
      </c>
      <c r="S2110" s="3" t="s">
        <v>37</v>
      </c>
      <c r="T2110" s="3" t="s">
        <v>38</v>
      </c>
      <c r="U2110" s="3" t="s">
        <v>39</v>
      </c>
      <c r="V2110" s="3">
        <v>542.95000000000005</v>
      </c>
      <c r="W2110" s="3">
        <v>230.75</v>
      </c>
      <c r="X2110" s="3">
        <v>218.54</v>
      </c>
      <c r="Y2110" s="3">
        <v>93.66</v>
      </c>
    </row>
    <row r="2111" spans="1:25" ht="60.75" x14ac:dyDescent="0.25">
      <c r="A2111" s="3" t="s">
        <v>26</v>
      </c>
      <c r="B2111" s="3" t="s">
        <v>27</v>
      </c>
      <c r="C2111" s="3" t="s">
        <v>28</v>
      </c>
      <c r="D2111" s="3" t="s">
        <v>157</v>
      </c>
      <c r="E2111" s="3" t="s">
        <v>310</v>
      </c>
      <c r="F2111" s="3" t="s">
        <v>159</v>
      </c>
      <c r="G2111" s="3" t="s">
        <v>310</v>
      </c>
      <c r="H2111" s="3" t="s">
        <v>96</v>
      </c>
      <c r="I2111" s="3">
        <v>2025</v>
      </c>
      <c r="J2111" s="3" t="str">
        <f>CONCATENATE("54820087648")</f>
        <v>54820087648</v>
      </c>
      <c r="K2111" s="3" t="s">
        <v>33</v>
      </c>
      <c r="L2111" s="3"/>
      <c r="M2111" s="3" t="s">
        <v>131</v>
      </c>
      <c r="N2111" s="3" t="str">
        <f>CONCATENATE("PRNLNR90B56F522Y")</f>
        <v>PRNLNR90B56F522Y</v>
      </c>
      <c r="O2111" s="3" t="s">
        <v>2247</v>
      </c>
      <c r="P2111" s="3" t="s">
        <v>36</v>
      </c>
      <c r="Q2111" s="3"/>
      <c r="R2111" s="4">
        <v>45996</v>
      </c>
      <c r="S2111" s="3" t="s">
        <v>37</v>
      </c>
      <c r="T2111" s="3" t="s">
        <v>38</v>
      </c>
      <c r="U2111" s="3" t="s">
        <v>39</v>
      </c>
      <c r="V2111" s="3">
        <v>614.52</v>
      </c>
      <c r="W2111" s="3">
        <v>261.17</v>
      </c>
      <c r="X2111" s="3">
        <v>247.34</v>
      </c>
      <c r="Y2111" s="3">
        <v>106.01</v>
      </c>
    </row>
    <row r="2112" spans="1:25" ht="72.75" x14ac:dyDescent="0.25">
      <c r="A2112" s="3" t="s">
        <v>26</v>
      </c>
      <c r="B2112" s="3" t="s">
        <v>27</v>
      </c>
      <c r="C2112" s="3" t="s">
        <v>28</v>
      </c>
      <c r="D2112" s="3" t="s">
        <v>29</v>
      </c>
      <c r="E2112" s="3" t="s">
        <v>228</v>
      </c>
      <c r="F2112" s="3" t="s">
        <v>31</v>
      </c>
      <c r="G2112" s="3" t="s">
        <v>228</v>
      </c>
      <c r="H2112" s="3" t="s">
        <v>45</v>
      </c>
      <c r="I2112" s="3">
        <v>2025</v>
      </c>
      <c r="J2112" s="3" t="str">
        <f>CONCATENATE("54820148671")</f>
        <v>54820148671</v>
      </c>
      <c r="K2112" s="3" t="s">
        <v>33</v>
      </c>
      <c r="L2112" s="3"/>
      <c r="M2112" s="3" t="s">
        <v>131</v>
      </c>
      <c r="N2112" s="3" t="str">
        <f>CONCATENATE("MRNMRP40H51I344T")</f>
        <v>MRNMRP40H51I344T</v>
      </c>
      <c r="O2112" s="3" t="s">
        <v>2248</v>
      </c>
      <c r="P2112" s="3" t="s">
        <v>36</v>
      </c>
      <c r="Q2112" s="3"/>
      <c r="R2112" s="4">
        <v>45996</v>
      </c>
      <c r="S2112" s="3" t="s">
        <v>37</v>
      </c>
      <c r="T2112" s="3" t="s">
        <v>38</v>
      </c>
      <c r="U2112" s="3" t="s">
        <v>39</v>
      </c>
      <c r="V2112" s="3">
        <v>58.38</v>
      </c>
      <c r="W2112" s="3">
        <v>24.81</v>
      </c>
      <c r="X2112" s="3">
        <v>23.5</v>
      </c>
      <c r="Y2112" s="3">
        <v>10.07</v>
      </c>
    </row>
    <row r="2113" spans="1:25" ht="60.75" x14ac:dyDescent="0.25">
      <c r="A2113" s="3" t="s">
        <v>26</v>
      </c>
      <c r="B2113" s="3" t="s">
        <v>27</v>
      </c>
      <c r="C2113" s="3" t="s">
        <v>28</v>
      </c>
      <c r="D2113" s="3" t="s">
        <v>29</v>
      </c>
      <c r="E2113" s="3" t="s">
        <v>119</v>
      </c>
      <c r="F2113" s="3" t="s">
        <v>31</v>
      </c>
      <c r="G2113" s="3" t="s">
        <v>119</v>
      </c>
      <c r="H2113" s="3" t="s">
        <v>96</v>
      </c>
      <c r="I2113" s="3">
        <v>2025</v>
      </c>
      <c r="J2113" s="3" t="str">
        <f>CONCATENATE("54820148580")</f>
        <v>54820148580</v>
      </c>
      <c r="K2113" s="3" t="s">
        <v>33</v>
      </c>
      <c r="L2113" s="3"/>
      <c r="M2113" s="3" t="s">
        <v>131</v>
      </c>
      <c r="N2113" s="3" t="str">
        <f>CONCATENATE("SPNSMN82S15H769M")</f>
        <v>SPNSMN82S15H769M</v>
      </c>
      <c r="O2113" s="3" t="s">
        <v>2249</v>
      </c>
      <c r="P2113" s="3" t="s">
        <v>36</v>
      </c>
      <c r="Q2113" s="3"/>
      <c r="R2113" s="4">
        <v>45996</v>
      </c>
      <c r="S2113" s="3" t="s">
        <v>37</v>
      </c>
      <c r="T2113" s="3" t="s">
        <v>38</v>
      </c>
      <c r="U2113" s="3" t="s">
        <v>39</v>
      </c>
      <c r="V2113" s="3">
        <v>251.75</v>
      </c>
      <c r="W2113" s="3">
        <v>106.99</v>
      </c>
      <c r="X2113" s="3">
        <v>101.33</v>
      </c>
      <c r="Y2113" s="3">
        <v>43.43</v>
      </c>
    </row>
    <row r="2114" spans="1:25" ht="60.75" x14ac:dyDescent="0.25">
      <c r="A2114" s="3" t="s">
        <v>26</v>
      </c>
      <c r="B2114" s="3" t="s">
        <v>27</v>
      </c>
      <c r="C2114" s="3" t="s">
        <v>28</v>
      </c>
      <c r="D2114" s="3" t="s">
        <v>104</v>
      </c>
      <c r="E2114" s="3" t="s">
        <v>141</v>
      </c>
      <c r="F2114" s="3" t="s">
        <v>104</v>
      </c>
      <c r="G2114" s="3" t="s">
        <v>141</v>
      </c>
      <c r="H2114" s="3" t="s">
        <v>96</v>
      </c>
      <c r="I2114" s="3">
        <v>2025</v>
      </c>
      <c r="J2114" s="3" t="str">
        <f>CONCATENATE("54820133012")</f>
        <v>54820133012</v>
      </c>
      <c r="K2114" s="3" t="s">
        <v>33</v>
      </c>
      <c r="L2114" s="3"/>
      <c r="M2114" s="3" t="s">
        <v>131</v>
      </c>
      <c r="N2114" s="3" t="str">
        <f>CONCATENATE("PLCNTN38S28A252S")</f>
        <v>PLCNTN38S28A252S</v>
      </c>
      <c r="O2114" s="3" t="s">
        <v>2250</v>
      </c>
      <c r="P2114" s="3" t="s">
        <v>36</v>
      </c>
      <c r="Q2114" s="3"/>
      <c r="R2114" s="4">
        <v>45996</v>
      </c>
      <c r="S2114" s="3" t="s">
        <v>37</v>
      </c>
      <c r="T2114" s="3" t="s">
        <v>38</v>
      </c>
      <c r="U2114" s="3" t="s">
        <v>39</v>
      </c>
      <c r="V2114" s="3">
        <v>386.52</v>
      </c>
      <c r="W2114" s="3">
        <v>164.27</v>
      </c>
      <c r="X2114" s="3">
        <v>155.57</v>
      </c>
      <c r="Y2114" s="3">
        <v>66.680000000000007</v>
      </c>
    </row>
    <row r="2115" spans="1:25" ht="60.75" x14ac:dyDescent="0.25">
      <c r="A2115" s="3" t="s">
        <v>26</v>
      </c>
      <c r="B2115" s="3" t="s">
        <v>27</v>
      </c>
      <c r="C2115" s="3" t="s">
        <v>28</v>
      </c>
      <c r="D2115" s="3" t="s">
        <v>29</v>
      </c>
      <c r="E2115" s="3" t="s">
        <v>56</v>
      </c>
      <c r="F2115" s="3" t="s">
        <v>31</v>
      </c>
      <c r="G2115" s="3" t="s">
        <v>56</v>
      </c>
      <c r="H2115" s="3" t="s">
        <v>32</v>
      </c>
      <c r="I2115" s="3">
        <v>2025</v>
      </c>
      <c r="J2115" s="3" t="str">
        <f>CONCATENATE("54820089800")</f>
        <v>54820089800</v>
      </c>
      <c r="K2115" s="3" t="s">
        <v>33</v>
      </c>
      <c r="L2115" s="3"/>
      <c r="M2115" s="3" t="s">
        <v>131</v>
      </c>
      <c r="N2115" s="3" t="str">
        <f>CONCATENATE("GNTBRN51M12B474Y")</f>
        <v>GNTBRN51M12B474Y</v>
      </c>
      <c r="O2115" s="3" t="s">
        <v>2251</v>
      </c>
      <c r="P2115" s="3" t="s">
        <v>36</v>
      </c>
      <c r="Q2115" s="3"/>
      <c r="R2115" s="4">
        <v>45996</v>
      </c>
      <c r="S2115" s="3" t="s">
        <v>37</v>
      </c>
      <c r="T2115" s="3" t="s">
        <v>38</v>
      </c>
      <c r="U2115" s="3" t="s">
        <v>39</v>
      </c>
      <c r="V2115" s="3">
        <v>70.36</v>
      </c>
      <c r="W2115" s="3">
        <v>29.9</v>
      </c>
      <c r="X2115" s="3">
        <v>28.32</v>
      </c>
      <c r="Y2115" s="3">
        <v>12.14</v>
      </c>
    </row>
    <row r="2116" spans="1:25" ht="36.75" x14ac:dyDescent="0.25">
      <c r="A2116" s="3" t="s">
        <v>26</v>
      </c>
      <c r="B2116" s="3" t="s">
        <v>27</v>
      </c>
      <c r="C2116" s="3" t="s">
        <v>28</v>
      </c>
      <c r="D2116" s="3" t="s">
        <v>50</v>
      </c>
      <c r="E2116" s="3" t="s">
        <v>1133</v>
      </c>
      <c r="F2116" s="3" t="s">
        <v>52</v>
      </c>
      <c r="G2116" s="3" t="s">
        <v>1133</v>
      </c>
      <c r="H2116" s="3" t="s">
        <v>45</v>
      </c>
      <c r="I2116" s="3">
        <v>2025</v>
      </c>
      <c r="J2116" s="3" t="str">
        <f>CONCATENATE("54820079314")</f>
        <v>54820079314</v>
      </c>
      <c r="K2116" s="3" t="s">
        <v>33</v>
      </c>
      <c r="L2116" s="3"/>
      <c r="M2116" s="3" t="s">
        <v>131</v>
      </c>
      <c r="N2116" s="3" t="str">
        <f>CONCATENATE("02441160419")</f>
        <v>02441160419</v>
      </c>
      <c r="O2116" s="3" t="s">
        <v>2252</v>
      </c>
      <c r="P2116" s="3" t="s">
        <v>36</v>
      </c>
      <c r="Q2116" s="3"/>
      <c r="R2116" s="4">
        <v>45996</v>
      </c>
      <c r="S2116" s="3" t="s">
        <v>37</v>
      </c>
      <c r="T2116" s="3" t="s">
        <v>38</v>
      </c>
      <c r="U2116" s="3" t="s">
        <v>39</v>
      </c>
      <c r="V2116" s="3">
        <v>53.09</v>
      </c>
      <c r="W2116" s="3">
        <v>22.56</v>
      </c>
      <c r="X2116" s="3">
        <v>21.37</v>
      </c>
      <c r="Y2116" s="3">
        <v>9.16</v>
      </c>
    </row>
    <row r="2117" spans="1:25" ht="72.75" x14ac:dyDescent="0.25">
      <c r="A2117" s="3" t="s">
        <v>26</v>
      </c>
      <c r="B2117" s="3" t="s">
        <v>27</v>
      </c>
      <c r="C2117" s="3" t="s">
        <v>28</v>
      </c>
      <c r="D2117" s="3" t="s">
        <v>29</v>
      </c>
      <c r="E2117" s="3" t="s">
        <v>47</v>
      </c>
      <c r="F2117" s="3" t="s">
        <v>31</v>
      </c>
      <c r="G2117" s="3" t="s">
        <v>47</v>
      </c>
      <c r="H2117" s="3" t="s">
        <v>48</v>
      </c>
      <c r="I2117" s="3">
        <v>2025</v>
      </c>
      <c r="J2117" s="3" t="str">
        <f>CONCATENATE("54820079512")</f>
        <v>54820079512</v>
      </c>
      <c r="K2117" s="3" t="s">
        <v>33</v>
      </c>
      <c r="L2117" s="3"/>
      <c r="M2117" s="3" t="s">
        <v>131</v>
      </c>
      <c r="N2117" s="3" t="str">
        <f>CONCATENATE("SCLNMR53B49I653M")</f>
        <v>SCLNMR53B49I653M</v>
      </c>
      <c r="O2117" s="3" t="s">
        <v>2253</v>
      </c>
      <c r="P2117" s="3" t="s">
        <v>36</v>
      </c>
      <c r="Q2117" s="3"/>
      <c r="R2117" s="4">
        <v>45996</v>
      </c>
      <c r="S2117" s="3" t="s">
        <v>37</v>
      </c>
      <c r="T2117" s="3" t="s">
        <v>38</v>
      </c>
      <c r="U2117" s="3" t="s">
        <v>39</v>
      </c>
      <c r="V2117" s="3">
        <v>58.96</v>
      </c>
      <c r="W2117" s="3">
        <v>25.06</v>
      </c>
      <c r="X2117" s="3">
        <v>23.73</v>
      </c>
      <c r="Y2117" s="3">
        <v>10.17</v>
      </c>
    </row>
    <row r="2118" spans="1:25" ht="60.75" x14ac:dyDescent="0.25">
      <c r="A2118" s="3" t="s">
        <v>26</v>
      </c>
      <c r="B2118" s="3" t="s">
        <v>27</v>
      </c>
      <c r="C2118" s="3" t="s">
        <v>28</v>
      </c>
      <c r="D2118" s="3" t="s">
        <v>29</v>
      </c>
      <c r="E2118" s="3" t="s">
        <v>56</v>
      </c>
      <c r="F2118" s="3" t="s">
        <v>31</v>
      </c>
      <c r="G2118" s="3" t="s">
        <v>56</v>
      </c>
      <c r="H2118" s="3" t="s">
        <v>32</v>
      </c>
      <c r="I2118" s="3">
        <v>2025</v>
      </c>
      <c r="J2118" s="3" t="str">
        <f>CONCATENATE("54820180880")</f>
        <v>54820180880</v>
      </c>
      <c r="K2118" s="3" t="s">
        <v>33</v>
      </c>
      <c r="L2118" s="3"/>
      <c r="M2118" s="3" t="s">
        <v>131</v>
      </c>
      <c r="N2118" s="3" t="str">
        <f>CONCATENATE("LRNLRT66D28B474Y")</f>
        <v>LRNLRT66D28B474Y</v>
      </c>
      <c r="O2118" s="3" t="s">
        <v>2254</v>
      </c>
      <c r="P2118" s="3" t="s">
        <v>36</v>
      </c>
      <c r="Q2118" s="3"/>
      <c r="R2118" s="4">
        <v>45996</v>
      </c>
      <c r="S2118" s="3" t="s">
        <v>37</v>
      </c>
      <c r="T2118" s="3" t="s">
        <v>38</v>
      </c>
      <c r="U2118" s="3" t="s">
        <v>39</v>
      </c>
      <c r="V2118" s="3">
        <v>352.4</v>
      </c>
      <c r="W2118" s="3">
        <v>149.77000000000001</v>
      </c>
      <c r="X2118" s="3">
        <v>141.84</v>
      </c>
      <c r="Y2118" s="3">
        <v>60.79</v>
      </c>
    </row>
    <row r="2119" spans="1:25" ht="60.75" x14ac:dyDescent="0.25">
      <c r="A2119" s="3" t="s">
        <v>26</v>
      </c>
      <c r="B2119" s="3" t="s">
        <v>27</v>
      </c>
      <c r="C2119" s="3" t="s">
        <v>28</v>
      </c>
      <c r="D2119" s="3" t="s">
        <v>50</v>
      </c>
      <c r="E2119" s="3" t="s">
        <v>51</v>
      </c>
      <c r="F2119" s="3" t="s">
        <v>52</v>
      </c>
      <c r="G2119" s="3" t="s">
        <v>51</v>
      </c>
      <c r="H2119" s="3" t="s">
        <v>48</v>
      </c>
      <c r="I2119" s="3">
        <v>2025</v>
      </c>
      <c r="J2119" s="3" t="str">
        <f>CONCATENATE("54820126404")</f>
        <v>54820126404</v>
      </c>
      <c r="K2119" s="3" t="s">
        <v>33</v>
      </c>
      <c r="L2119" s="3"/>
      <c r="M2119" s="3" t="s">
        <v>131</v>
      </c>
      <c r="N2119" s="3" t="str">
        <f>CONCATENATE("MRNRSL61B50I461K")</f>
        <v>MRNRSL61B50I461K</v>
      </c>
      <c r="O2119" s="3" t="s">
        <v>2255</v>
      </c>
      <c r="P2119" s="3" t="s">
        <v>36</v>
      </c>
      <c r="Q2119" s="3"/>
      <c r="R2119" s="4">
        <v>45996</v>
      </c>
      <c r="S2119" s="3" t="s">
        <v>37</v>
      </c>
      <c r="T2119" s="3" t="s">
        <v>38</v>
      </c>
      <c r="U2119" s="3" t="s">
        <v>39</v>
      </c>
      <c r="V2119" s="3">
        <v>568.03</v>
      </c>
      <c r="W2119" s="3">
        <v>241.41</v>
      </c>
      <c r="X2119" s="3">
        <v>228.63</v>
      </c>
      <c r="Y2119" s="3">
        <v>97.99</v>
      </c>
    </row>
    <row r="2120" spans="1:25" ht="72.75" x14ac:dyDescent="0.25">
      <c r="A2120" s="3" t="s">
        <v>26</v>
      </c>
      <c r="B2120" s="3" t="s">
        <v>27</v>
      </c>
      <c r="C2120" s="3" t="s">
        <v>28</v>
      </c>
      <c r="D2120" s="3" t="s">
        <v>104</v>
      </c>
      <c r="E2120" s="3" t="s">
        <v>141</v>
      </c>
      <c r="F2120" s="3" t="s">
        <v>104</v>
      </c>
      <c r="G2120" s="3" t="s">
        <v>141</v>
      </c>
      <c r="H2120" s="3" t="s">
        <v>96</v>
      </c>
      <c r="I2120" s="3">
        <v>2025</v>
      </c>
      <c r="J2120" s="3" t="str">
        <f>CONCATENATE("54820135827")</f>
        <v>54820135827</v>
      </c>
      <c r="K2120" s="3" t="s">
        <v>33</v>
      </c>
      <c r="L2120" s="3"/>
      <c r="M2120" s="3" t="s">
        <v>131</v>
      </c>
      <c r="N2120" s="3" t="str">
        <f>CONCATENATE("TCCMDA54D11F570N")</f>
        <v>TCCMDA54D11F570N</v>
      </c>
      <c r="O2120" s="3" t="s">
        <v>2256</v>
      </c>
      <c r="P2120" s="3" t="s">
        <v>36</v>
      </c>
      <c r="Q2120" s="3"/>
      <c r="R2120" s="4">
        <v>45996</v>
      </c>
      <c r="S2120" s="3" t="s">
        <v>37</v>
      </c>
      <c r="T2120" s="3" t="s">
        <v>38</v>
      </c>
      <c r="U2120" s="3" t="s">
        <v>39</v>
      </c>
      <c r="V2120" s="3">
        <v>132.66</v>
      </c>
      <c r="W2120" s="3">
        <v>56.38</v>
      </c>
      <c r="X2120" s="3">
        <v>53.4</v>
      </c>
      <c r="Y2120" s="3">
        <v>22.88</v>
      </c>
    </row>
    <row r="2121" spans="1:25" ht="60.75" x14ac:dyDescent="0.25">
      <c r="A2121" s="3" t="s">
        <v>26</v>
      </c>
      <c r="B2121" s="3" t="s">
        <v>27</v>
      </c>
      <c r="C2121" s="3" t="s">
        <v>28</v>
      </c>
      <c r="D2121" s="3" t="s">
        <v>29</v>
      </c>
      <c r="E2121" s="3" t="s">
        <v>56</v>
      </c>
      <c r="F2121" s="3" t="s">
        <v>31</v>
      </c>
      <c r="G2121" s="3" t="s">
        <v>56</v>
      </c>
      <c r="H2121" s="3" t="s">
        <v>32</v>
      </c>
      <c r="I2121" s="3">
        <v>2025</v>
      </c>
      <c r="J2121" s="3" t="str">
        <f>CONCATENATE("54820122114")</f>
        <v>54820122114</v>
      </c>
      <c r="K2121" s="3" t="s">
        <v>33</v>
      </c>
      <c r="L2121" s="3"/>
      <c r="M2121" s="3" t="s">
        <v>131</v>
      </c>
      <c r="N2121" s="3" t="str">
        <f>CONCATENATE("PRMNDR74S08B474X")</f>
        <v>PRMNDR74S08B474X</v>
      </c>
      <c r="O2121" s="3" t="s">
        <v>2257</v>
      </c>
      <c r="P2121" s="3" t="s">
        <v>36</v>
      </c>
      <c r="Q2121" s="3"/>
      <c r="R2121" s="4">
        <v>45996</v>
      </c>
      <c r="S2121" s="3" t="s">
        <v>37</v>
      </c>
      <c r="T2121" s="3" t="s">
        <v>38</v>
      </c>
      <c r="U2121" s="3" t="s">
        <v>39</v>
      </c>
      <c r="V2121" s="3">
        <v>49.89</v>
      </c>
      <c r="W2121" s="3">
        <v>21.2</v>
      </c>
      <c r="X2121" s="3">
        <v>20.079999999999998</v>
      </c>
      <c r="Y2121" s="3">
        <v>8.61</v>
      </c>
    </row>
    <row r="2122" spans="1:25" ht="60.75" x14ac:dyDescent="0.25">
      <c r="A2122" s="3" t="s">
        <v>26</v>
      </c>
      <c r="B2122" s="3" t="s">
        <v>27</v>
      </c>
      <c r="C2122" s="3" t="s">
        <v>28</v>
      </c>
      <c r="D2122" s="3" t="s">
        <v>29</v>
      </c>
      <c r="E2122" s="3" t="s">
        <v>119</v>
      </c>
      <c r="F2122" s="3" t="s">
        <v>31</v>
      </c>
      <c r="G2122" s="3" t="s">
        <v>119</v>
      </c>
      <c r="H2122" s="3" t="s">
        <v>96</v>
      </c>
      <c r="I2122" s="3">
        <v>2025</v>
      </c>
      <c r="J2122" s="3" t="str">
        <f>CONCATENATE("54820014311")</f>
        <v>54820014311</v>
      </c>
      <c r="K2122" s="3" t="s">
        <v>33</v>
      </c>
      <c r="L2122" s="3"/>
      <c r="M2122" s="3" t="s">
        <v>131</v>
      </c>
      <c r="N2122" s="3" t="str">
        <f>CONCATENATE("MRTPTR58A11D691P")</f>
        <v>MRTPTR58A11D691P</v>
      </c>
      <c r="O2122" s="3" t="s">
        <v>2258</v>
      </c>
      <c r="P2122" s="3" t="s">
        <v>36</v>
      </c>
      <c r="Q2122" s="3"/>
      <c r="R2122" s="4">
        <v>45996</v>
      </c>
      <c r="S2122" s="3" t="s">
        <v>37</v>
      </c>
      <c r="T2122" s="3" t="s">
        <v>38</v>
      </c>
      <c r="U2122" s="3" t="s">
        <v>39</v>
      </c>
      <c r="V2122" s="3">
        <v>96.68</v>
      </c>
      <c r="W2122" s="3">
        <v>41.09</v>
      </c>
      <c r="X2122" s="3">
        <v>38.909999999999997</v>
      </c>
      <c r="Y2122" s="3">
        <v>16.68</v>
      </c>
    </row>
    <row r="2123" spans="1:25" ht="60.75" x14ac:dyDescent="0.25">
      <c r="A2123" s="3" t="s">
        <v>26</v>
      </c>
      <c r="B2123" s="3" t="s">
        <v>27</v>
      </c>
      <c r="C2123" s="3" t="s">
        <v>28</v>
      </c>
      <c r="D2123" s="3" t="s">
        <v>29</v>
      </c>
      <c r="E2123" s="3" t="s">
        <v>182</v>
      </c>
      <c r="F2123" s="3" t="s">
        <v>31</v>
      </c>
      <c r="G2123" s="3" t="s">
        <v>182</v>
      </c>
      <c r="H2123" s="3" t="s">
        <v>45</v>
      </c>
      <c r="I2123" s="3">
        <v>2025</v>
      </c>
      <c r="J2123" s="3" t="str">
        <f>CONCATENATE("54820149042")</f>
        <v>54820149042</v>
      </c>
      <c r="K2123" s="3" t="s">
        <v>33</v>
      </c>
      <c r="L2123" s="3"/>
      <c r="M2123" s="3" t="s">
        <v>131</v>
      </c>
      <c r="N2123" s="3" t="str">
        <f>CONCATENATE("PRNLCN38P65G479T")</f>
        <v>PRNLCN38P65G479T</v>
      </c>
      <c r="O2123" s="3" t="s">
        <v>2259</v>
      </c>
      <c r="P2123" s="3" t="s">
        <v>36</v>
      </c>
      <c r="Q2123" s="3"/>
      <c r="R2123" s="4">
        <v>45996</v>
      </c>
      <c r="S2123" s="3" t="s">
        <v>37</v>
      </c>
      <c r="T2123" s="3" t="s">
        <v>38</v>
      </c>
      <c r="U2123" s="3" t="s">
        <v>39</v>
      </c>
      <c r="V2123" s="3">
        <v>919.79</v>
      </c>
      <c r="W2123" s="3">
        <v>390.91</v>
      </c>
      <c r="X2123" s="3">
        <v>370.22</v>
      </c>
      <c r="Y2123" s="3">
        <v>158.66</v>
      </c>
    </row>
    <row r="2124" spans="1:25" ht="60.75" x14ac:dyDescent="0.25">
      <c r="A2124" s="3" t="s">
        <v>26</v>
      </c>
      <c r="B2124" s="3" t="s">
        <v>27</v>
      </c>
      <c r="C2124" s="3" t="s">
        <v>28</v>
      </c>
      <c r="D2124" s="3" t="s">
        <v>50</v>
      </c>
      <c r="E2124" s="3" t="s">
        <v>173</v>
      </c>
      <c r="F2124" s="3" t="s">
        <v>52</v>
      </c>
      <c r="G2124" s="3" t="s">
        <v>173</v>
      </c>
      <c r="H2124" s="3" t="s">
        <v>45</v>
      </c>
      <c r="I2124" s="3">
        <v>2025</v>
      </c>
      <c r="J2124" s="3" t="str">
        <f>CONCATENATE("54820077615")</f>
        <v>54820077615</v>
      </c>
      <c r="K2124" s="3" t="s">
        <v>33</v>
      </c>
      <c r="L2124" s="3"/>
      <c r="M2124" s="3" t="s">
        <v>131</v>
      </c>
      <c r="N2124" s="3" t="str">
        <f>CONCATENATE("CNCLSN71H20H294X")</f>
        <v>CNCLSN71H20H294X</v>
      </c>
      <c r="O2124" s="3" t="s">
        <v>2260</v>
      </c>
      <c r="P2124" s="3" t="s">
        <v>36</v>
      </c>
      <c r="Q2124" s="3"/>
      <c r="R2124" s="4">
        <v>45996</v>
      </c>
      <c r="S2124" s="3" t="s">
        <v>37</v>
      </c>
      <c r="T2124" s="3" t="s">
        <v>38</v>
      </c>
      <c r="U2124" s="3" t="s">
        <v>39</v>
      </c>
      <c r="V2124" s="3">
        <v>181.79</v>
      </c>
      <c r="W2124" s="3">
        <v>77.260000000000005</v>
      </c>
      <c r="X2124" s="3">
        <v>73.17</v>
      </c>
      <c r="Y2124" s="3">
        <v>31.36</v>
      </c>
    </row>
    <row r="2125" spans="1:25" ht="60.75" x14ac:dyDescent="0.25">
      <c r="A2125" s="3" t="s">
        <v>26</v>
      </c>
      <c r="B2125" s="3" t="s">
        <v>27</v>
      </c>
      <c r="C2125" s="3" t="s">
        <v>28</v>
      </c>
      <c r="D2125" s="3" t="s">
        <v>29</v>
      </c>
      <c r="E2125" s="3" t="s">
        <v>136</v>
      </c>
      <c r="F2125" s="3" t="s">
        <v>31</v>
      </c>
      <c r="G2125" s="3" t="s">
        <v>136</v>
      </c>
      <c r="H2125" s="3" t="s">
        <v>48</v>
      </c>
      <c r="I2125" s="3">
        <v>2025</v>
      </c>
      <c r="J2125" s="3" t="str">
        <f>CONCATENATE("54820116645")</f>
        <v>54820116645</v>
      </c>
      <c r="K2125" s="3" t="s">
        <v>33</v>
      </c>
      <c r="L2125" s="3"/>
      <c r="M2125" s="3" t="s">
        <v>131</v>
      </c>
      <c r="N2125" s="3" t="str">
        <f>CONCATENATE("MRLMRA54A17A366T")</f>
        <v>MRLMRA54A17A366T</v>
      </c>
      <c r="O2125" s="3" t="s">
        <v>2261</v>
      </c>
      <c r="P2125" s="3" t="s">
        <v>36</v>
      </c>
      <c r="Q2125" s="3"/>
      <c r="R2125" s="4">
        <v>45996</v>
      </c>
      <c r="S2125" s="3" t="s">
        <v>37</v>
      </c>
      <c r="T2125" s="3" t="s">
        <v>38</v>
      </c>
      <c r="U2125" s="3" t="s">
        <v>39</v>
      </c>
      <c r="V2125" s="3">
        <v>65.709999999999994</v>
      </c>
      <c r="W2125" s="3">
        <v>27.93</v>
      </c>
      <c r="X2125" s="3">
        <v>26.45</v>
      </c>
      <c r="Y2125" s="3">
        <v>11.33</v>
      </c>
    </row>
    <row r="2126" spans="1:25" ht="36.75" x14ac:dyDescent="0.25">
      <c r="A2126" s="3" t="s">
        <v>26</v>
      </c>
      <c r="B2126" s="3" t="s">
        <v>27</v>
      </c>
      <c r="C2126" s="3" t="s">
        <v>28</v>
      </c>
      <c r="D2126" s="3" t="s">
        <v>29</v>
      </c>
      <c r="E2126" s="3" t="s">
        <v>80</v>
      </c>
      <c r="F2126" s="3" t="s">
        <v>31</v>
      </c>
      <c r="G2126" s="3" t="s">
        <v>80</v>
      </c>
      <c r="H2126" s="3" t="s">
        <v>45</v>
      </c>
      <c r="I2126" s="3">
        <v>2025</v>
      </c>
      <c r="J2126" s="3" t="str">
        <f>CONCATENATE("54820084298")</f>
        <v>54820084298</v>
      </c>
      <c r="K2126" s="3" t="s">
        <v>33</v>
      </c>
      <c r="L2126" s="3"/>
      <c r="M2126" s="3" t="s">
        <v>131</v>
      </c>
      <c r="N2126" s="3" t="str">
        <f>CONCATENATE("01196350415")</f>
        <v>01196350415</v>
      </c>
      <c r="O2126" s="3" t="s">
        <v>2262</v>
      </c>
      <c r="P2126" s="3" t="s">
        <v>36</v>
      </c>
      <c r="Q2126" s="3"/>
      <c r="R2126" s="4">
        <v>45996</v>
      </c>
      <c r="S2126" s="3" t="s">
        <v>37</v>
      </c>
      <c r="T2126" s="3" t="s">
        <v>38</v>
      </c>
      <c r="U2126" s="3" t="s">
        <v>39</v>
      </c>
      <c r="V2126" s="3">
        <v>427.62</v>
      </c>
      <c r="W2126" s="3">
        <v>181.74</v>
      </c>
      <c r="X2126" s="3">
        <v>172.12</v>
      </c>
      <c r="Y2126" s="3">
        <v>73.760000000000005</v>
      </c>
    </row>
    <row r="2127" spans="1:25" ht="60.75" x14ac:dyDescent="0.25">
      <c r="A2127" s="3" t="s">
        <v>26</v>
      </c>
      <c r="B2127" s="3" t="s">
        <v>27</v>
      </c>
      <c r="C2127" s="3" t="s">
        <v>28</v>
      </c>
      <c r="D2127" s="3" t="s">
        <v>29</v>
      </c>
      <c r="E2127" s="3" t="s">
        <v>56</v>
      </c>
      <c r="F2127" s="3" t="s">
        <v>31</v>
      </c>
      <c r="G2127" s="3" t="s">
        <v>56</v>
      </c>
      <c r="H2127" s="3" t="s">
        <v>32</v>
      </c>
      <c r="I2127" s="3">
        <v>2025</v>
      </c>
      <c r="J2127" s="3" t="str">
        <f>CONCATENATE("54820129937")</f>
        <v>54820129937</v>
      </c>
      <c r="K2127" s="3" t="s">
        <v>33</v>
      </c>
      <c r="L2127" s="3"/>
      <c r="M2127" s="3" t="s">
        <v>131</v>
      </c>
      <c r="N2127" s="3" t="str">
        <f>CONCATENATE("SBRMLD64L21B474N")</f>
        <v>SBRMLD64L21B474N</v>
      </c>
      <c r="O2127" s="3" t="s">
        <v>2263</v>
      </c>
      <c r="P2127" s="3" t="s">
        <v>36</v>
      </c>
      <c r="Q2127" s="3"/>
      <c r="R2127" s="4">
        <v>45996</v>
      </c>
      <c r="S2127" s="3" t="s">
        <v>37</v>
      </c>
      <c r="T2127" s="3" t="s">
        <v>38</v>
      </c>
      <c r="U2127" s="3" t="s">
        <v>39</v>
      </c>
      <c r="V2127" s="3">
        <v>120.57</v>
      </c>
      <c r="W2127" s="3">
        <v>51.24</v>
      </c>
      <c r="X2127" s="3">
        <v>48.53</v>
      </c>
      <c r="Y2127" s="3">
        <v>20.8</v>
      </c>
    </row>
    <row r="2128" spans="1:25" ht="72.75" x14ac:dyDescent="0.25">
      <c r="A2128" s="3" t="s">
        <v>26</v>
      </c>
      <c r="B2128" s="3" t="s">
        <v>27</v>
      </c>
      <c r="C2128" s="3" t="s">
        <v>28</v>
      </c>
      <c r="D2128" s="3" t="s">
        <v>29</v>
      </c>
      <c r="E2128" s="3" t="s">
        <v>56</v>
      </c>
      <c r="F2128" s="3" t="s">
        <v>31</v>
      </c>
      <c r="G2128" s="3" t="s">
        <v>56</v>
      </c>
      <c r="H2128" s="3" t="s">
        <v>32</v>
      </c>
      <c r="I2128" s="3">
        <v>2025</v>
      </c>
      <c r="J2128" s="3" t="str">
        <f>CONCATENATE("54820123567")</f>
        <v>54820123567</v>
      </c>
      <c r="K2128" s="3" t="s">
        <v>33</v>
      </c>
      <c r="L2128" s="3"/>
      <c r="M2128" s="3" t="s">
        <v>131</v>
      </c>
      <c r="N2128" s="3" t="str">
        <f>CONCATENATE("SVAFNC51D30D429R")</f>
        <v>SVAFNC51D30D429R</v>
      </c>
      <c r="O2128" s="3" t="s">
        <v>2264</v>
      </c>
      <c r="P2128" s="3" t="s">
        <v>36</v>
      </c>
      <c r="Q2128" s="3"/>
      <c r="R2128" s="4">
        <v>45996</v>
      </c>
      <c r="S2128" s="3" t="s">
        <v>37</v>
      </c>
      <c r="T2128" s="3" t="s">
        <v>38</v>
      </c>
      <c r="U2128" s="3" t="s">
        <v>39</v>
      </c>
      <c r="V2128" s="3">
        <v>114.69</v>
      </c>
      <c r="W2128" s="3">
        <v>48.74</v>
      </c>
      <c r="X2128" s="3">
        <v>46.16</v>
      </c>
      <c r="Y2128" s="3">
        <v>19.79</v>
      </c>
    </row>
    <row r="2129" spans="1:25" ht="60.75" x14ac:dyDescent="0.25">
      <c r="A2129" s="3" t="s">
        <v>26</v>
      </c>
      <c r="B2129" s="3" t="s">
        <v>27</v>
      </c>
      <c r="C2129" s="3" t="s">
        <v>28</v>
      </c>
      <c r="D2129" s="3" t="s">
        <v>50</v>
      </c>
      <c r="E2129" s="3" t="s">
        <v>147</v>
      </c>
      <c r="F2129" s="3" t="s">
        <v>52</v>
      </c>
      <c r="G2129" s="3" t="s">
        <v>147</v>
      </c>
      <c r="H2129" s="3" t="s">
        <v>45</v>
      </c>
      <c r="I2129" s="3">
        <v>2025</v>
      </c>
      <c r="J2129" s="3" t="str">
        <f>CONCATENATE("54820190400")</f>
        <v>54820190400</v>
      </c>
      <c r="K2129" s="3" t="s">
        <v>33</v>
      </c>
      <c r="L2129" s="3"/>
      <c r="M2129" s="3" t="s">
        <v>131</v>
      </c>
      <c r="N2129" s="3" t="str">
        <f>CONCATENATE("PRGLNA85D23A944K")</f>
        <v>PRGLNA85D23A944K</v>
      </c>
      <c r="O2129" s="3" t="s">
        <v>2265</v>
      </c>
      <c r="P2129" s="3" t="s">
        <v>36</v>
      </c>
      <c r="Q2129" s="3"/>
      <c r="R2129" s="4">
        <v>45996</v>
      </c>
      <c r="S2129" s="3" t="s">
        <v>37</v>
      </c>
      <c r="T2129" s="3" t="s">
        <v>38</v>
      </c>
      <c r="U2129" s="3" t="s">
        <v>39</v>
      </c>
      <c r="V2129" s="3">
        <v>457.07</v>
      </c>
      <c r="W2129" s="3">
        <v>194.25</v>
      </c>
      <c r="X2129" s="3">
        <v>183.97</v>
      </c>
      <c r="Y2129" s="3">
        <v>78.849999999999994</v>
      </c>
    </row>
    <row r="2130" spans="1:25" ht="36.75" x14ac:dyDescent="0.25">
      <c r="A2130" s="3" t="s">
        <v>26</v>
      </c>
      <c r="B2130" s="3" t="s">
        <v>27</v>
      </c>
      <c r="C2130" s="3" t="s">
        <v>28</v>
      </c>
      <c r="D2130" s="3" t="s">
        <v>29</v>
      </c>
      <c r="E2130" s="3" t="s">
        <v>56</v>
      </c>
      <c r="F2130" s="3" t="s">
        <v>31</v>
      </c>
      <c r="G2130" s="3" t="s">
        <v>56</v>
      </c>
      <c r="H2130" s="3" t="s">
        <v>32</v>
      </c>
      <c r="I2130" s="3">
        <v>2025</v>
      </c>
      <c r="J2130" s="3" t="str">
        <f>CONCATENATE("54820162169")</f>
        <v>54820162169</v>
      </c>
      <c r="K2130" s="3" t="s">
        <v>33</v>
      </c>
      <c r="L2130" s="3"/>
      <c r="M2130" s="3" t="s">
        <v>131</v>
      </c>
      <c r="N2130" s="3" t="str">
        <f>CONCATENATE("01789960430")</f>
        <v>01789960430</v>
      </c>
      <c r="O2130" s="3" t="s">
        <v>2266</v>
      </c>
      <c r="P2130" s="3" t="s">
        <v>36</v>
      </c>
      <c r="Q2130" s="3"/>
      <c r="R2130" s="4">
        <v>45996</v>
      </c>
      <c r="S2130" s="3" t="s">
        <v>37</v>
      </c>
      <c r="T2130" s="3" t="s">
        <v>38</v>
      </c>
      <c r="U2130" s="3" t="s">
        <v>39</v>
      </c>
      <c r="V2130" s="3">
        <v>67.180000000000007</v>
      </c>
      <c r="W2130" s="3">
        <v>28.55</v>
      </c>
      <c r="X2130" s="3">
        <v>27.04</v>
      </c>
      <c r="Y2130" s="3">
        <v>11.59</v>
      </c>
    </row>
    <row r="2131" spans="1:25" ht="36.75" x14ac:dyDescent="0.25">
      <c r="A2131" s="3" t="s">
        <v>26</v>
      </c>
      <c r="B2131" s="3" t="s">
        <v>27</v>
      </c>
      <c r="C2131" s="3" t="s">
        <v>28</v>
      </c>
      <c r="D2131" s="3" t="s">
        <v>29</v>
      </c>
      <c r="E2131" s="3" t="s">
        <v>904</v>
      </c>
      <c r="F2131" s="3" t="s">
        <v>31</v>
      </c>
      <c r="G2131" s="3" t="s">
        <v>904</v>
      </c>
      <c r="H2131" s="3" t="s">
        <v>32</v>
      </c>
      <c r="I2131" s="3">
        <v>2025</v>
      </c>
      <c r="J2131" s="3" t="str">
        <f>CONCATENATE("54820210646")</f>
        <v>54820210646</v>
      </c>
      <c r="K2131" s="3" t="s">
        <v>33</v>
      </c>
      <c r="L2131" s="3"/>
      <c r="M2131" s="3" t="s">
        <v>131</v>
      </c>
      <c r="N2131" s="3" t="str">
        <f>CONCATENATE("02527190546")</f>
        <v>02527190546</v>
      </c>
      <c r="O2131" s="3" t="s">
        <v>2267</v>
      </c>
      <c r="P2131" s="3" t="s">
        <v>36</v>
      </c>
      <c r="Q2131" s="3"/>
      <c r="R2131" s="4">
        <v>45996</v>
      </c>
      <c r="S2131" s="3" t="s">
        <v>37</v>
      </c>
      <c r="T2131" s="3" t="s">
        <v>38</v>
      </c>
      <c r="U2131" s="3" t="s">
        <v>39</v>
      </c>
      <c r="V2131" s="3">
        <v>256.13</v>
      </c>
      <c r="W2131" s="3">
        <v>108.86</v>
      </c>
      <c r="X2131" s="3">
        <v>103.09</v>
      </c>
      <c r="Y2131" s="3">
        <v>44.18</v>
      </c>
    </row>
    <row r="2132" spans="1:25" ht="60.75" x14ac:dyDescent="0.25">
      <c r="A2132" s="3" t="s">
        <v>26</v>
      </c>
      <c r="B2132" s="3" t="s">
        <v>27</v>
      </c>
      <c r="C2132" s="3" t="s">
        <v>28</v>
      </c>
      <c r="D2132" s="3" t="s">
        <v>29</v>
      </c>
      <c r="E2132" s="3" t="s">
        <v>136</v>
      </c>
      <c r="F2132" s="3" t="s">
        <v>31</v>
      </c>
      <c r="G2132" s="3" t="s">
        <v>136</v>
      </c>
      <c r="H2132" s="3" t="s">
        <v>48</v>
      </c>
      <c r="I2132" s="3">
        <v>2025</v>
      </c>
      <c r="J2132" s="3" t="str">
        <f>CONCATENATE("54820180989")</f>
        <v>54820180989</v>
      </c>
      <c r="K2132" s="3" t="s">
        <v>33</v>
      </c>
      <c r="L2132" s="3"/>
      <c r="M2132" s="3" t="s">
        <v>131</v>
      </c>
      <c r="N2132" s="3" t="str">
        <f>CONCATENATE("SNTNRC58B17I461U")</f>
        <v>SNTNRC58B17I461U</v>
      </c>
      <c r="O2132" s="3" t="s">
        <v>2268</v>
      </c>
      <c r="P2132" s="3" t="s">
        <v>36</v>
      </c>
      <c r="Q2132" s="3"/>
      <c r="R2132" s="4">
        <v>45996</v>
      </c>
      <c r="S2132" s="3" t="s">
        <v>37</v>
      </c>
      <c r="T2132" s="3" t="s">
        <v>38</v>
      </c>
      <c r="U2132" s="3" t="s">
        <v>39</v>
      </c>
      <c r="V2132" s="3">
        <v>391.86</v>
      </c>
      <c r="W2132" s="3">
        <v>166.54</v>
      </c>
      <c r="X2132" s="3">
        <v>157.72</v>
      </c>
      <c r="Y2132" s="3">
        <v>67.599999999999994</v>
      </c>
    </row>
    <row r="2133" spans="1:25" ht="60.75" x14ac:dyDescent="0.25">
      <c r="A2133" s="3" t="s">
        <v>26</v>
      </c>
      <c r="B2133" s="3" t="s">
        <v>27</v>
      </c>
      <c r="C2133" s="3" t="s">
        <v>28</v>
      </c>
      <c r="D2133" s="3" t="s">
        <v>29</v>
      </c>
      <c r="E2133" s="3" t="s">
        <v>228</v>
      </c>
      <c r="F2133" s="3" t="s">
        <v>31</v>
      </c>
      <c r="G2133" s="3" t="s">
        <v>228</v>
      </c>
      <c r="H2133" s="3" t="s">
        <v>45</v>
      </c>
      <c r="I2133" s="3">
        <v>2025</v>
      </c>
      <c r="J2133" s="3" t="str">
        <f>CONCATENATE("54820146436")</f>
        <v>54820146436</v>
      </c>
      <c r="K2133" s="3" t="s">
        <v>33</v>
      </c>
      <c r="L2133" s="3"/>
      <c r="M2133" s="3" t="s">
        <v>131</v>
      </c>
      <c r="N2133" s="3" t="str">
        <f>CONCATENATE("GRRFNN58E65D749Q")</f>
        <v>GRRFNN58E65D749Q</v>
      </c>
      <c r="O2133" s="3" t="s">
        <v>2269</v>
      </c>
      <c r="P2133" s="3" t="s">
        <v>36</v>
      </c>
      <c r="Q2133" s="3"/>
      <c r="R2133" s="4">
        <v>45996</v>
      </c>
      <c r="S2133" s="3" t="s">
        <v>37</v>
      </c>
      <c r="T2133" s="3" t="s">
        <v>38</v>
      </c>
      <c r="U2133" s="3" t="s">
        <v>39</v>
      </c>
      <c r="V2133" s="3">
        <v>858.83</v>
      </c>
      <c r="W2133" s="3">
        <v>365</v>
      </c>
      <c r="X2133" s="3">
        <v>345.68</v>
      </c>
      <c r="Y2133" s="3">
        <v>148.15</v>
      </c>
    </row>
    <row r="2134" spans="1:25" ht="60.75" x14ac:dyDescent="0.25">
      <c r="A2134" s="3" t="s">
        <v>26</v>
      </c>
      <c r="B2134" s="3" t="s">
        <v>27</v>
      </c>
      <c r="C2134" s="3" t="s">
        <v>28</v>
      </c>
      <c r="D2134" s="3" t="s">
        <v>91</v>
      </c>
      <c r="E2134" s="3" t="s">
        <v>92</v>
      </c>
      <c r="F2134" s="3" t="s">
        <v>93</v>
      </c>
      <c r="G2134" s="3" t="s">
        <v>92</v>
      </c>
      <c r="H2134" s="3" t="s">
        <v>48</v>
      </c>
      <c r="I2134" s="3">
        <v>2025</v>
      </c>
      <c r="J2134" s="3" t="str">
        <f>CONCATENATE("54820180732")</f>
        <v>54820180732</v>
      </c>
      <c r="K2134" s="3" t="s">
        <v>33</v>
      </c>
      <c r="L2134" s="3"/>
      <c r="M2134" s="3" t="s">
        <v>131</v>
      </c>
      <c r="N2134" s="3" t="str">
        <f>CONCATENATE("ZMPSVN64S53L746N")</f>
        <v>ZMPSVN64S53L746N</v>
      </c>
      <c r="O2134" s="3" t="s">
        <v>2270</v>
      </c>
      <c r="P2134" s="3" t="s">
        <v>36</v>
      </c>
      <c r="Q2134" s="3"/>
      <c r="R2134" s="4">
        <v>45996</v>
      </c>
      <c r="S2134" s="3" t="s">
        <v>37</v>
      </c>
      <c r="T2134" s="3" t="s">
        <v>38</v>
      </c>
      <c r="U2134" s="3" t="s">
        <v>39</v>
      </c>
      <c r="V2134" s="3">
        <v>284.2</v>
      </c>
      <c r="W2134" s="3">
        <v>120.79</v>
      </c>
      <c r="X2134" s="3">
        <v>114.39</v>
      </c>
      <c r="Y2134" s="3">
        <v>49.02</v>
      </c>
    </row>
    <row r="2135" spans="1:25" ht="60.75" x14ac:dyDescent="0.25">
      <c r="A2135" s="3" t="s">
        <v>26</v>
      </c>
      <c r="B2135" s="3" t="s">
        <v>27</v>
      </c>
      <c r="C2135" s="3" t="s">
        <v>28</v>
      </c>
      <c r="D2135" s="3" t="s">
        <v>50</v>
      </c>
      <c r="E2135" s="3" t="s">
        <v>149</v>
      </c>
      <c r="F2135" s="3" t="s">
        <v>52</v>
      </c>
      <c r="G2135" s="3" t="s">
        <v>149</v>
      </c>
      <c r="H2135" s="3" t="s">
        <v>96</v>
      </c>
      <c r="I2135" s="3">
        <v>2025</v>
      </c>
      <c r="J2135" s="3" t="str">
        <f>CONCATENATE("54820237011")</f>
        <v>54820237011</v>
      </c>
      <c r="K2135" s="3" t="s">
        <v>33</v>
      </c>
      <c r="L2135" s="3"/>
      <c r="M2135" s="3" t="s">
        <v>131</v>
      </c>
      <c r="N2135" s="3" t="str">
        <f>CONCATENATE("PRLLVC94R11A462X")</f>
        <v>PRLLVC94R11A462X</v>
      </c>
      <c r="O2135" s="3" t="s">
        <v>2271</v>
      </c>
      <c r="P2135" s="3" t="s">
        <v>36</v>
      </c>
      <c r="Q2135" s="3"/>
      <c r="R2135" s="4">
        <v>45996</v>
      </c>
      <c r="S2135" s="3" t="s">
        <v>37</v>
      </c>
      <c r="T2135" s="3" t="s">
        <v>38</v>
      </c>
      <c r="U2135" s="3" t="s">
        <v>39</v>
      </c>
      <c r="V2135" s="3">
        <v>94.88</v>
      </c>
      <c r="W2135" s="3">
        <v>40.32</v>
      </c>
      <c r="X2135" s="3">
        <v>38.19</v>
      </c>
      <c r="Y2135" s="3">
        <v>16.37</v>
      </c>
    </row>
    <row r="2136" spans="1:25" ht="36.75" x14ac:dyDescent="0.25">
      <c r="A2136" s="3" t="s">
        <v>26</v>
      </c>
      <c r="B2136" s="3" t="s">
        <v>27</v>
      </c>
      <c r="C2136" s="3" t="s">
        <v>28</v>
      </c>
      <c r="D2136" s="3" t="s">
        <v>29</v>
      </c>
      <c r="E2136" s="3" t="s">
        <v>56</v>
      </c>
      <c r="F2136" s="3" t="s">
        <v>31</v>
      </c>
      <c r="G2136" s="3" t="s">
        <v>56</v>
      </c>
      <c r="H2136" s="3" t="s">
        <v>32</v>
      </c>
      <c r="I2136" s="3">
        <v>2025</v>
      </c>
      <c r="J2136" s="3" t="str">
        <f>CONCATENATE("54820288964")</f>
        <v>54820288964</v>
      </c>
      <c r="K2136" s="3" t="s">
        <v>33</v>
      </c>
      <c r="L2136" s="3"/>
      <c r="M2136" s="3" t="s">
        <v>131</v>
      </c>
      <c r="N2136" s="3" t="str">
        <f>CONCATENATE("01297880435")</f>
        <v>01297880435</v>
      </c>
      <c r="O2136" s="3" t="s">
        <v>2272</v>
      </c>
      <c r="P2136" s="3" t="s">
        <v>36</v>
      </c>
      <c r="Q2136" s="3"/>
      <c r="R2136" s="4">
        <v>45996</v>
      </c>
      <c r="S2136" s="3" t="s">
        <v>37</v>
      </c>
      <c r="T2136" s="3" t="s">
        <v>38</v>
      </c>
      <c r="U2136" s="3" t="s">
        <v>39</v>
      </c>
      <c r="V2136" s="5">
        <v>1098.44</v>
      </c>
      <c r="W2136" s="3">
        <v>466.84</v>
      </c>
      <c r="X2136" s="3">
        <v>442.12</v>
      </c>
      <c r="Y2136" s="3">
        <v>189.48</v>
      </c>
    </row>
    <row r="2137" spans="1:25" ht="72.75" x14ac:dyDescent="0.25">
      <c r="A2137" s="3" t="s">
        <v>26</v>
      </c>
      <c r="B2137" s="3" t="s">
        <v>27</v>
      </c>
      <c r="C2137" s="3" t="s">
        <v>28</v>
      </c>
      <c r="D2137" s="3" t="s">
        <v>29</v>
      </c>
      <c r="E2137" s="3" t="s">
        <v>47</v>
      </c>
      <c r="F2137" s="3" t="s">
        <v>31</v>
      </c>
      <c r="G2137" s="3" t="s">
        <v>47</v>
      </c>
      <c r="H2137" s="3" t="s">
        <v>48</v>
      </c>
      <c r="I2137" s="3">
        <v>2025</v>
      </c>
      <c r="J2137" s="3" t="str">
        <f>CONCATENATE("54820206610")</f>
        <v>54820206610</v>
      </c>
      <c r="K2137" s="3" t="s">
        <v>33</v>
      </c>
      <c r="L2137" s="3"/>
      <c r="M2137" s="3" t="s">
        <v>131</v>
      </c>
      <c r="N2137" s="3" t="str">
        <f>CONCATENATE("GMBNNA62D66D211K")</f>
        <v>GMBNNA62D66D211K</v>
      </c>
      <c r="O2137" s="3" t="s">
        <v>2273</v>
      </c>
      <c r="P2137" s="3" t="s">
        <v>36</v>
      </c>
      <c r="Q2137" s="3"/>
      <c r="R2137" s="4">
        <v>45996</v>
      </c>
      <c r="S2137" s="3" t="s">
        <v>37</v>
      </c>
      <c r="T2137" s="3" t="s">
        <v>38</v>
      </c>
      <c r="U2137" s="3" t="s">
        <v>39</v>
      </c>
      <c r="V2137" s="3">
        <v>333.66</v>
      </c>
      <c r="W2137" s="3">
        <v>141.81</v>
      </c>
      <c r="X2137" s="3">
        <v>134.30000000000001</v>
      </c>
      <c r="Y2137" s="3">
        <v>57.55</v>
      </c>
    </row>
    <row r="2138" spans="1:25" ht="60.75" x14ac:dyDescent="0.25">
      <c r="A2138" s="3" t="s">
        <v>26</v>
      </c>
      <c r="B2138" s="3" t="s">
        <v>27</v>
      </c>
      <c r="C2138" s="3" t="s">
        <v>28</v>
      </c>
      <c r="D2138" s="3" t="s">
        <v>50</v>
      </c>
      <c r="E2138" s="3" t="s">
        <v>147</v>
      </c>
      <c r="F2138" s="3" t="s">
        <v>52</v>
      </c>
      <c r="G2138" s="3" t="s">
        <v>147</v>
      </c>
      <c r="H2138" s="3" t="s">
        <v>45</v>
      </c>
      <c r="I2138" s="3">
        <v>2025</v>
      </c>
      <c r="J2138" s="3" t="str">
        <f>CONCATENATE("54820197405")</f>
        <v>54820197405</v>
      </c>
      <c r="K2138" s="3" t="s">
        <v>33</v>
      </c>
      <c r="L2138" s="3"/>
      <c r="M2138" s="3" t="s">
        <v>131</v>
      </c>
      <c r="N2138" s="3" t="str">
        <f>CONCATENATE("PLTMTT81D07L500M")</f>
        <v>PLTMTT81D07L500M</v>
      </c>
      <c r="O2138" s="3" t="s">
        <v>2274</v>
      </c>
      <c r="P2138" s="3" t="s">
        <v>36</v>
      </c>
      <c r="Q2138" s="3"/>
      <c r="R2138" s="4">
        <v>45996</v>
      </c>
      <c r="S2138" s="3" t="s">
        <v>37</v>
      </c>
      <c r="T2138" s="3" t="s">
        <v>38</v>
      </c>
      <c r="U2138" s="3" t="s">
        <v>39</v>
      </c>
      <c r="V2138" s="3">
        <v>153.38</v>
      </c>
      <c r="W2138" s="3">
        <v>65.19</v>
      </c>
      <c r="X2138" s="3">
        <v>61.74</v>
      </c>
      <c r="Y2138" s="3">
        <v>26.45</v>
      </c>
    </row>
    <row r="2139" spans="1:25" ht="60.75" x14ac:dyDescent="0.25">
      <c r="A2139" s="3" t="s">
        <v>26</v>
      </c>
      <c r="B2139" s="3" t="s">
        <v>27</v>
      </c>
      <c r="C2139" s="3" t="s">
        <v>28</v>
      </c>
      <c r="D2139" s="3" t="s">
        <v>29</v>
      </c>
      <c r="E2139" s="3" t="s">
        <v>47</v>
      </c>
      <c r="F2139" s="3" t="s">
        <v>31</v>
      </c>
      <c r="G2139" s="3" t="s">
        <v>47</v>
      </c>
      <c r="H2139" s="3" t="s">
        <v>48</v>
      </c>
      <c r="I2139" s="3">
        <v>2025</v>
      </c>
      <c r="J2139" s="3" t="str">
        <f>CONCATENATE("54820218946")</f>
        <v>54820218946</v>
      </c>
      <c r="K2139" s="3" t="s">
        <v>33</v>
      </c>
      <c r="L2139" s="3"/>
      <c r="M2139" s="3" t="s">
        <v>131</v>
      </c>
      <c r="N2139" s="3" t="str">
        <f>CONCATENATE("SPRNLL48R65D451U")</f>
        <v>SPRNLL48R65D451U</v>
      </c>
      <c r="O2139" s="3" t="s">
        <v>2275</v>
      </c>
      <c r="P2139" s="3" t="s">
        <v>36</v>
      </c>
      <c r="Q2139" s="3"/>
      <c r="R2139" s="4">
        <v>45996</v>
      </c>
      <c r="S2139" s="3" t="s">
        <v>37</v>
      </c>
      <c r="T2139" s="3" t="s">
        <v>38</v>
      </c>
      <c r="U2139" s="3" t="s">
        <v>39</v>
      </c>
      <c r="V2139" s="3">
        <v>59.91</v>
      </c>
      <c r="W2139" s="3">
        <v>25.46</v>
      </c>
      <c r="X2139" s="3">
        <v>24.11</v>
      </c>
      <c r="Y2139" s="3">
        <v>10.34</v>
      </c>
    </row>
    <row r="2140" spans="1:25" ht="36.75" x14ac:dyDescent="0.25">
      <c r="A2140" s="3" t="s">
        <v>26</v>
      </c>
      <c r="B2140" s="3" t="s">
        <v>27</v>
      </c>
      <c r="C2140" s="3" t="s">
        <v>28</v>
      </c>
      <c r="D2140" s="3" t="s">
        <v>29</v>
      </c>
      <c r="E2140" s="3" t="s">
        <v>1975</v>
      </c>
      <c r="F2140" s="3" t="s">
        <v>31</v>
      </c>
      <c r="G2140" s="3" t="s">
        <v>1975</v>
      </c>
      <c r="H2140" s="3" t="s">
        <v>32</v>
      </c>
      <c r="I2140" s="3">
        <v>2025</v>
      </c>
      <c r="J2140" s="3" t="str">
        <f>CONCATENATE("54820191697")</f>
        <v>54820191697</v>
      </c>
      <c r="K2140" s="3" t="s">
        <v>33</v>
      </c>
      <c r="L2140" s="3"/>
      <c r="M2140" s="3" t="s">
        <v>131</v>
      </c>
      <c r="N2140" s="3" t="str">
        <f>CONCATENATE("01988400436")</f>
        <v>01988400436</v>
      </c>
      <c r="O2140" s="3" t="s">
        <v>2276</v>
      </c>
      <c r="P2140" s="3" t="s">
        <v>36</v>
      </c>
      <c r="Q2140" s="3"/>
      <c r="R2140" s="4">
        <v>45996</v>
      </c>
      <c r="S2140" s="3" t="s">
        <v>37</v>
      </c>
      <c r="T2140" s="3" t="s">
        <v>38</v>
      </c>
      <c r="U2140" s="3" t="s">
        <v>39</v>
      </c>
      <c r="V2140" s="3">
        <v>197.07</v>
      </c>
      <c r="W2140" s="3">
        <v>83.75</v>
      </c>
      <c r="X2140" s="3">
        <v>79.319999999999993</v>
      </c>
      <c r="Y2140" s="3">
        <v>34</v>
      </c>
    </row>
    <row r="2141" spans="1:25" ht="72.75" x14ac:dyDescent="0.25">
      <c r="A2141" s="3" t="s">
        <v>26</v>
      </c>
      <c r="B2141" s="3" t="s">
        <v>27</v>
      </c>
      <c r="C2141" s="3" t="s">
        <v>28</v>
      </c>
      <c r="D2141" s="3" t="s">
        <v>29</v>
      </c>
      <c r="E2141" s="3" t="s">
        <v>136</v>
      </c>
      <c r="F2141" s="3" t="s">
        <v>31</v>
      </c>
      <c r="G2141" s="3" t="s">
        <v>136</v>
      </c>
      <c r="H2141" s="3" t="s">
        <v>48</v>
      </c>
      <c r="I2141" s="3">
        <v>2025</v>
      </c>
      <c r="J2141" s="3" t="str">
        <f>CONCATENATE("54820232673")</f>
        <v>54820232673</v>
      </c>
      <c r="K2141" s="3" t="s">
        <v>33</v>
      </c>
      <c r="L2141" s="3"/>
      <c r="M2141" s="3" t="s">
        <v>131</v>
      </c>
      <c r="N2141" s="3" t="str">
        <f>CONCATENATE("MGNRCR98C15A271N")</f>
        <v>MGNRCR98C15A271N</v>
      </c>
      <c r="O2141" s="3" t="s">
        <v>2277</v>
      </c>
      <c r="P2141" s="3" t="s">
        <v>36</v>
      </c>
      <c r="Q2141" s="3"/>
      <c r="R2141" s="4">
        <v>45996</v>
      </c>
      <c r="S2141" s="3" t="s">
        <v>37</v>
      </c>
      <c r="T2141" s="3" t="s">
        <v>38</v>
      </c>
      <c r="U2141" s="3" t="s">
        <v>39</v>
      </c>
      <c r="V2141" s="3">
        <v>321.88</v>
      </c>
      <c r="W2141" s="3">
        <v>136.80000000000001</v>
      </c>
      <c r="X2141" s="3">
        <v>129.56</v>
      </c>
      <c r="Y2141" s="3">
        <v>55.52</v>
      </c>
    </row>
    <row r="2142" spans="1:25" ht="60.75" x14ac:dyDescent="0.25">
      <c r="A2142" s="3" t="s">
        <v>26</v>
      </c>
      <c r="B2142" s="3" t="s">
        <v>27</v>
      </c>
      <c r="C2142" s="3" t="s">
        <v>28</v>
      </c>
      <c r="D2142" s="3" t="s">
        <v>29</v>
      </c>
      <c r="E2142" s="3" t="s">
        <v>80</v>
      </c>
      <c r="F2142" s="3" t="s">
        <v>31</v>
      </c>
      <c r="G2142" s="3" t="s">
        <v>80</v>
      </c>
      <c r="H2142" s="3" t="s">
        <v>45</v>
      </c>
      <c r="I2142" s="3">
        <v>2025</v>
      </c>
      <c r="J2142" s="3" t="str">
        <f>CONCATENATE("54820210711")</f>
        <v>54820210711</v>
      </c>
      <c r="K2142" s="3" t="s">
        <v>33</v>
      </c>
      <c r="L2142" s="3"/>
      <c r="M2142" s="3" t="s">
        <v>131</v>
      </c>
      <c r="N2142" s="3" t="str">
        <f>CONCATENATE("VNCRRT59P06G453J")</f>
        <v>VNCRRT59P06G453J</v>
      </c>
      <c r="O2142" s="3" t="s">
        <v>2278</v>
      </c>
      <c r="P2142" s="3" t="s">
        <v>36</v>
      </c>
      <c r="Q2142" s="3"/>
      <c r="R2142" s="4">
        <v>45996</v>
      </c>
      <c r="S2142" s="3" t="s">
        <v>37</v>
      </c>
      <c r="T2142" s="3" t="s">
        <v>38</v>
      </c>
      <c r="U2142" s="3" t="s">
        <v>39</v>
      </c>
      <c r="V2142" s="3">
        <v>404.46</v>
      </c>
      <c r="W2142" s="3">
        <v>171.9</v>
      </c>
      <c r="X2142" s="3">
        <v>162.80000000000001</v>
      </c>
      <c r="Y2142" s="3">
        <v>69.760000000000005</v>
      </c>
    </row>
    <row r="2143" spans="1:25" ht="60.75" x14ac:dyDescent="0.25">
      <c r="A2143" s="3" t="s">
        <v>26</v>
      </c>
      <c r="B2143" s="3" t="s">
        <v>27</v>
      </c>
      <c r="C2143" s="3" t="s">
        <v>28</v>
      </c>
      <c r="D2143" s="3" t="s">
        <v>50</v>
      </c>
      <c r="E2143" s="3" t="s">
        <v>60</v>
      </c>
      <c r="F2143" s="3" t="s">
        <v>52</v>
      </c>
      <c r="G2143" s="3" t="s">
        <v>60</v>
      </c>
      <c r="H2143" s="3" t="s">
        <v>45</v>
      </c>
      <c r="I2143" s="3">
        <v>2025</v>
      </c>
      <c r="J2143" s="3" t="str">
        <f>CONCATENATE("54820161880")</f>
        <v>54820161880</v>
      </c>
      <c r="K2143" s="3" t="s">
        <v>33</v>
      </c>
      <c r="L2143" s="3"/>
      <c r="M2143" s="3" t="s">
        <v>131</v>
      </c>
      <c r="N2143" s="3" t="str">
        <f>CONCATENATE("GBRNVE59D30B352Y")</f>
        <v>GBRNVE59D30B352Y</v>
      </c>
      <c r="O2143" s="3" t="s">
        <v>2279</v>
      </c>
      <c r="P2143" s="3" t="s">
        <v>36</v>
      </c>
      <c r="Q2143" s="3"/>
      <c r="R2143" s="4">
        <v>45996</v>
      </c>
      <c r="S2143" s="3" t="s">
        <v>37</v>
      </c>
      <c r="T2143" s="3" t="s">
        <v>38</v>
      </c>
      <c r="U2143" s="3" t="s">
        <v>39</v>
      </c>
      <c r="V2143" s="3">
        <v>420.6</v>
      </c>
      <c r="W2143" s="3">
        <v>178.76</v>
      </c>
      <c r="X2143" s="3">
        <v>169.29</v>
      </c>
      <c r="Y2143" s="3">
        <v>72.55</v>
      </c>
    </row>
    <row r="2144" spans="1:25" ht="60.75" x14ac:dyDescent="0.25">
      <c r="A2144" s="3" t="s">
        <v>26</v>
      </c>
      <c r="B2144" s="3" t="s">
        <v>27</v>
      </c>
      <c r="C2144" s="3" t="s">
        <v>28</v>
      </c>
      <c r="D2144" s="3" t="s">
        <v>29</v>
      </c>
      <c r="E2144" s="3" t="s">
        <v>72</v>
      </c>
      <c r="F2144" s="3" t="s">
        <v>31</v>
      </c>
      <c r="G2144" s="3" t="s">
        <v>72</v>
      </c>
      <c r="H2144" s="3" t="s">
        <v>45</v>
      </c>
      <c r="I2144" s="3">
        <v>2025</v>
      </c>
      <c r="J2144" s="3" t="str">
        <f>CONCATENATE("54820208871")</f>
        <v>54820208871</v>
      </c>
      <c r="K2144" s="3" t="s">
        <v>33</v>
      </c>
      <c r="L2144" s="3"/>
      <c r="M2144" s="3" t="s">
        <v>131</v>
      </c>
      <c r="N2144" s="3" t="str">
        <f>CONCATENATE("PCAMRS55E58G479I")</f>
        <v>PCAMRS55E58G479I</v>
      </c>
      <c r="O2144" s="3" t="s">
        <v>2280</v>
      </c>
      <c r="P2144" s="3" t="s">
        <v>36</v>
      </c>
      <c r="Q2144" s="3"/>
      <c r="R2144" s="4">
        <v>45996</v>
      </c>
      <c r="S2144" s="3" t="s">
        <v>37</v>
      </c>
      <c r="T2144" s="3" t="s">
        <v>38</v>
      </c>
      <c r="U2144" s="3" t="s">
        <v>39</v>
      </c>
      <c r="V2144" s="3">
        <v>357.43</v>
      </c>
      <c r="W2144" s="3">
        <v>151.91</v>
      </c>
      <c r="X2144" s="3">
        <v>143.87</v>
      </c>
      <c r="Y2144" s="3">
        <v>61.65</v>
      </c>
    </row>
    <row r="2145" spans="1:25" ht="60.75" x14ac:dyDescent="0.25">
      <c r="A2145" s="3" t="s">
        <v>26</v>
      </c>
      <c r="B2145" s="3" t="s">
        <v>27</v>
      </c>
      <c r="C2145" s="3" t="s">
        <v>28</v>
      </c>
      <c r="D2145" s="3" t="s">
        <v>29</v>
      </c>
      <c r="E2145" s="3" t="s">
        <v>136</v>
      </c>
      <c r="F2145" s="3" t="s">
        <v>31</v>
      </c>
      <c r="G2145" s="3" t="s">
        <v>136</v>
      </c>
      <c r="H2145" s="3" t="s">
        <v>48</v>
      </c>
      <c r="I2145" s="3">
        <v>2025</v>
      </c>
      <c r="J2145" s="3" t="str">
        <f>CONCATENATE("54820180252")</f>
        <v>54820180252</v>
      </c>
      <c r="K2145" s="3" t="s">
        <v>33</v>
      </c>
      <c r="L2145" s="3"/>
      <c r="M2145" s="3" t="s">
        <v>131</v>
      </c>
      <c r="N2145" s="3" t="str">
        <f>CONCATENATE("SNTNDR53S09D451M")</f>
        <v>SNTNDR53S09D451M</v>
      </c>
      <c r="O2145" s="3" t="s">
        <v>2281</v>
      </c>
      <c r="P2145" s="3" t="s">
        <v>36</v>
      </c>
      <c r="Q2145" s="3"/>
      <c r="R2145" s="4">
        <v>45996</v>
      </c>
      <c r="S2145" s="3" t="s">
        <v>37</v>
      </c>
      <c r="T2145" s="3" t="s">
        <v>38</v>
      </c>
      <c r="U2145" s="3" t="s">
        <v>39</v>
      </c>
      <c r="V2145" s="3">
        <v>66.13</v>
      </c>
      <c r="W2145" s="3">
        <v>28.11</v>
      </c>
      <c r="X2145" s="3">
        <v>26.62</v>
      </c>
      <c r="Y2145" s="3">
        <v>11.4</v>
      </c>
    </row>
    <row r="2146" spans="1:25" ht="60.75" x14ac:dyDescent="0.25">
      <c r="A2146" s="3" t="s">
        <v>26</v>
      </c>
      <c r="B2146" s="3" t="s">
        <v>27</v>
      </c>
      <c r="C2146" s="3" t="s">
        <v>28</v>
      </c>
      <c r="D2146" s="3" t="s">
        <v>91</v>
      </c>
      <c r="E2146" s="3" t="s">
        <v>151</v>
      </c>
      <c r="F2146" s="3" t="s">
        <v>93</v>
      </c>
      <c r="G2146" s="3" t="s">
        <v>151</v>
      </c>
      <c r="H2146" s="3" t="s">
        <v>45</v>
      </c>
      <c r="I2146" s="3">
        <v>2025</v>
      </c>
      <c r="J2146" s="3" t="str">
        <f>CONCATENATE("54820200944")</f>
        <v>54820200944</v>
      </c>
      <c r="K2146" s="3" t="s">
        <v>33</v>
      </c>
      <c r="L2146" s="3"/>
      <c r="M2146" s="3" t="s">
        <v>131</v>
      </c>
      <c r="N2146" s="3" t="str">
        <f>CONCATENATE("CCCSFN59T20D488E")</f>
        <v>CCCSFN59T20D488E</v>
      </c>
      <c r="O2146" s="3" t="s">
        <v>2282</v>
      </c>
      <c r="P2146" s="3" t="s">
        <v>36</v>
      </c>
      <c r="Q2146" s="3"/>
      <c r="R2146" s="4">
        <v>45996</v>
      </c>
      <c r="S2146" s="3" t="s">
        <v>37</v>
      </c>
      <c r="T2146" s="3" t="s">
        <v>38</v>
      </c>
      <c r="U2146" s="3" t="s">
        <v>39</v>
      </c>
      <c r="V2146" s="3">
        <v>76.62</v>
      </c>
      <c r="W2146" s="3">
        <v>32.56</v>
      </c>
      <c r="X2146" s="3">
        <v>30.84</v>
      </c>
      <c r="Y2146" s="3">
        <v>13.22</v>
      </c>
    </row>
    <row r="2147" spans="1:25" ht="60.75" x14ac:dyDescent="0.25">
      <c r="A2147" s="3" t="s">
        <v>26</v>
      </c>
      <c r="B2147" s="3" t="s">
        <v>27</v>
      </c>
      <c r="C2147" s="3" t="s">
        <v>28</v>
      </c>
      <c r="D2147" s="3" t="s">
        <v>29</v>
      </c>
      <c r="E2147" s="3" t="s">
        <v>56</v>
      </c>
      <c r="F2147" s="3" t="s">
        <v>31</v>
      </c>
      <c r="G2147" s="3" t="s">
        <v>56</v>
      </c>
      <c r="H2147" s="3" t="s">
        <v>32</v>
      </c>
      <c r="I2147" s="3">
        <v>2025</v>
      </c>
      <c r="J2147" s="3" t="str">
        <f>CONCATENATE("54820178116")</f>
        <v>54820178116</v>
      </c>
      <c r="K2147" s="3" t="s">
        <v>33</v>
      </c>
      <c r="L2147" s="3"/>
      <c r="M2147" s="3" t="s">
        <v>131</v>
      </c>
      <c r="N2147" s="3" t="str">
        <f>CONCATENATE("SLVNNT61H62B474Z")</f>
        <v>SLVNNT61H62B474Z</v>
      </c>
      <c r="O2147" s="3" t="s">
        <v>2283</v>
      </c>
      <c r="P2147" s="3" t="s">
        <v>36</v>
      </c>
      <c r="Q2147" s="3"/>
      <c r="R2147" s="4">
        <v>45996</v>
      </c>
      <c r="S2147" s="3" t="s">
        <v>37</v>
      </c>
      <c r="T2147" s="3" t="s">
        <v>38</v>
      </c>
      <c r="U2147" s="3" t="s">
        <v>39</v>
      </c>
      <c r="V2147" s="3">
        <v>145.5</v>
      </c>
      <c r="W2147" s="3">
        <v>61.84</v>
      </c>
      <c r="X2147" s="3">
        <v>58.56</v>
      </c>
      <c r="Y2147" s="3">
        <v>25.1</v>
      </c>
    </row>
    <row r="2148" spans="1:25" ht="60.75" x14ac:dyDescent="0.25">
      <c r="A2148" s="3" t="s">
        <v>26</v>
      </c>
      <c r="B2148" s="3" t="s">
        <v>27</v>
      </c>
      <c r="C2148" s="3" t="s">
        <v>28</v>
      </c>
      <c r="D2148" s="3" t="s">
        <v>29</v>
      </c>
      <c r="E2148" s="3" t="s">
        <v>56</v>
      </c>
      <c r="F2148" s="3" t="s">
        <v>31</v>
      </c>
      <c r="G2148" s="3" t="s">
        <v>56</v>
      </c>
      <c r="H2148" s="3" t="s">
        <v>32</v>
      </c>
      <c r="I2148" s="3">
        <v>2025</v>
      </c>
      <c r="J2148" s="3" t="str">
        <f>CONCATENATE("54820162417")</f>
        <v>54820162417</v>
      </c>
      <c r="K2148" s="3" t="s">
        <v>33</v>
      </c>
      <c r="L2148" s="3"/>
      <c r="M2148" s="3" t="s">
        <v>131</v>
      </c>
      <c r="N2148" s="3" t="str">
        <f>CONCATENATE("SCFLDN48A59A947O")</f>
        <v>SCFLDN48A59A947O</v>
      </c>
      <c r="O2148" s="3" t="s">
        <v>2284</v>
      </c>
      <c r="P2148" s="3" t="s">
        <v>36</v>
      </c>
      <c r="Q2148" s="3"/>
      <c r="R2148" s="4">
        <v>45996</v>
      </c>
      <c r="S2148" s="3" t="s">
        <v>37</v>
      </c>
      <c r="T2148" s="3" t="s">
        <v>38</v>
      </c>
      <c r="U2148" s="3" t="s">
        <v>39</v>
      </c>
      <c r="V2148" s="3">
        <v>253.3</v>
      </c>
      <c r="W2148" s="3">
        <v>107.65</v>
      </c>
      <c r="X2148" s="3">
        <v>101.95</v>
      </c>
      <c r="Y2148" s="3">
        <v>43.7</v>
      </c>
    </row>
    <row r="2149" spans="1:25" ht="60.75" x14ac:dyDescent="0.25">
      <c r="A2149" s="3" t="s">
        <v>26</v>
      </c>
      <c r="B2149" s="3" t="s">
        <v>27</v>
      </c>
      <c r="C2149" s="3" t="s">
        <v>28</v>
      </c>
      <c r="D2149" s="3" t="s">
        <v>29</v>
      </c>
      <c r="E2149" s="3" t="s">
        <v>228</v>
      </c>
      <c r="F2149" s="3" t="s">
        <v>31</v>
      </c>
      <c r="G2149" s="3" t="s">
        <v>228</v>
      </c>
      <c r="H2149" s="3" t="s">
        <v>45</v>
      </c>
      <c r="I2149" s="3">
        <v>2025</v>
      </c>
      <c r="J2149" s="3" t="str">
        <f>CONCATENATE("54820200142")</f>
        <v>54820200142</v>
      </c>
      <c r="K2149" s="3" t="s">
        <v>33</v>
      </c>
      <c r="L2149" s="3"/>
      <c r="M2149" s="3" t="s">
        <v>131</v>
      </c>
      <c r="N2149" s="3" t="str">
        <f>CONCATENATE("CCCPLA67R27D488P")</f>
        <v>CCCPLA67R27D488P</v>
      </c>
      <c r="O2149" s="3" t="s">
        <v>2285</v>
      </c>
      <c r="P2149" s="3" t="s">
        <v>36</v>
      </c>
      <c r="Q2149" s="3"/>
      <c r="R2149" s="4">
        <v>45996</v>
      </c>
      <c r="S2149" s="3" t="s">
        <v>37</v>
      </c>
      <c r="T2149" s="3" t="s">
        <v>38</v>
      </c>
      <c r="U2149" s="3" t="s">
        <v>39</v>
      </c>
      <c r="V2149" s="3">
        <v>554.80999999999995</v>
      </c>
      <c r="W2149" s="3">
        <v>235.79</v>
      </c>
      <c r="X2149" s="3">
        <v>223.31</v>
      </c>
      <c r="Y2149" s="3">
        <v>95.71</v>
      </c>
    </row>
    <row r="2150" spans="1:25" ht="60.75" x14ac:dyDescent="0.25">
      <c r="A2150" s="3" t="s">
        <v>26</v>
      </c>
      <c r="B2150" s="3" t="s">
        <v>27</v>
      </c>
      <c r="C2150" s="3" t="s">
        <v>28</v>
      </c>
      <c r="D2150" s="3" t="s">
        <v>29</v>
      </c>
      <c r="E2150" s="3" t="s">
        <v>136</v>
      </c>
      <c r="F2150" s="3" t="s">
        <v>31</v>
      </c>
      <c r="G2150" s="3" t="s">
        <v>136</v>
      </c>
      <c r="H2150" s="3" t="s">
        <v>48</v>
      </c>
      <c r="I2150" s="3">
        <v>2025</v>
      </c>
      <c r="J2150" s="3" t="str">
        <f>CONCATENATE("54820127683")</f>
        <v>54820127683</v>
      </c>
      <c r="K2150" s="3" t="s">
        <v>33</v>
      </c>
      <c r="L2150" s="3"/>
      <c r="M2150" s="3" t="s">
        <v>131</v>
      </c>
      <c r="N2150" s="3" t="str">
        <f>CONCATENATE("CPPSMN78L09I461P")</f>
        <v>CPPSMN78L09I461P</v>
      </c>
      <c r="O2150" s="3" t="s">
        <v>2286</v>
      </c>
      <c r="P2150" s="3" t="s">
        <v>36</v>
      </c>
      <c r="Q2150" s="3"/>
      <c r="R2150" s="4">
        <v>45996</v>
      </c>
      <c r="S2150" s="3" t="s">
        <v>37</v>
      </c>
      <c r="T2150" s="3" t="s">
        <v>38</v>
      </c>
      <c r="U2150" s="3" t="s">
        <v>39</v>
      </c>
      <c r="V2150" s="3">
        <v>219.61</v>
      </c>
      <c r="W2150" s="3">
        <v>93.33</v>
      </c>
      <c r="X2150" s="3">
        <v>88.39</v>
      </c>
      <c r="Y2150" s="3">
        <v>37.89</v>
      </c>
    </row>
    <row r="2151" spans="1:25" ht="60.75" x14ac:dyDescent="0.25">
      <c r="A2151" s="3" t="s">
        <v>26</v>
      </c>
      <c r="B2151" s="3" t="s">
        <v>27</v>
      </c>
      <c r="C2151" s="3" t="s">
        <v>28</v>
      </c>
      <c r="D2151" s="3" t="s">
        <v>29</v>
      </c>
      <c r="E2151" s="3" t="s">
        <v>47</v>
      </c>
      <c r="F2151" s="3" t="s">
        <v>31</v>
      </c>
      <c r="G2151" s="3" t="s">
        <v>47</v>
      </c>
      <c r="H2151" s="3" t="s">
        <v>48</v>
      </c>
      <c r="I2151" s="3">
        <v>2025</v>
      </c>
      <c r="J2151" s="3" t="str">
        <f>CONCATENATE("54820192398")</f>
        <v>54820192398</v>
      </c>
      <c r="K2151" s="3" t="s">
        <v>33</v>
      </c>
      <c r="L2151" s="3"/>
      <c r="M2151" s="3" t="s">
        <v>131</v>
      </c>
      <c r="N2151" s="3" t="str">
        <f>CONCATENATE("DLEPLM38A24F051S")</f>
        <v>DLEPLM38A24F051S</v>
      </c>
      <c r="O2151" s="3" t="s">
        <v>2287</v>
      </c>
      <c r="P2151" s="3" t="s">
        <v>36</v>
      </c>
      <c r="Q2151" s="3"/>
      <c r="R2151" s="4">
        <v>45996</v>
      </c>
      <c r="S2151" s="3" t="s">
        <v>37</v>
      </c>
      <c r="T2151" s="3" t="s">
        <v>38</v>
      </c>
      <c r="U2151" s="3" t="s">
        <v>39</v>
      </c>
      <c r="V2151" s="3">
        <v>736.02</v>
      </c>
      <c r="W2151" s="3">
        <v>312.81</v>
      </c>
      <c r="X2151" s="3">
        <v>296.25</v>
      </c>
      <c r="Y2151" s="3">
        <v>126.96</v>
      </c>
    </row>
    <row r="2152" spans="1:25" ht="36.75" x14ac:dyDescent="0.25">
      <c r="A2152" s="3" t="s">
        <v>26</v>
      </c>
      <c r="B2152" s="3" t="s">
        <v>27</v>
      </c>
      <c r="C2152" s="3" t="s">
        <v>28</v>
      </c>
      <c r="D2152" s="3" t="s">
        <v>29</v>
      </c>
      <c r="E2152" s="3" t="s">
        <v>233</v>
      </c>
      <c r="F2152" s="3" t="s">
        <v>31</v>
      </c>
      <c r="G2152" s="3" t="s">
        <v>233</v>
      </c>
      <c r="H2152" s="3" t="s">
        <v>96</v>
      </c>
      <c r="I2152" s="3">
        <v>2025</v>
      </c>
      <c r="J2152" s="3" t="str">
        <f>CONCATENATE("54820090733")</f>
        <v>54820090733</v>
      </c>
      <c r="K2152" s="3" t="s">
        <v>33</v>
      </c>
      <c r="L2152" s="3"/>
      <c r="M2152" s="3" t="s">
        <v>131</v>
      </c>
      <c r="N2152" s="3" t="str">
        <f>CONCATENATE("02341960447")</f>
        <v>02341960447</v>
      </c>
      <c r="O2152" s="3" t="s">
        <v>2288</v>
      </c>
      <c r="P2152" s="3" t="s">
        <v>36</v>
      </c>
      <c r="Q2152" s="3"/>
      <c r="R2152" s="4">
        <v>45996</v>
      </c>
      <c r="S2152" s="3" t="s">
        <v>37</v>
      </c>
      <c r="T2152" s="3" t="s">
        <v>38</v>
      </c>
      <c r="U2152" s="3" t="s">
        <v>39</v>
      </c>
      <c r="V2152" s="3">
        <v>882.79</v>
      </c>
      <c r="W2152" s="3">
        <v>375.19</v>
      </c>
      <c r="X2152" s="3">
        <v>355.32</v>
      </c>
      <c r="Y2152" s="3">
        <v>152.28</v>
      </c>
    </row>
    <row r="2153" spans="1:25" ht="60.75" x14ac:dyDescent="0.25">
      <c r="A2153" s="3" t="s">
        <v>26</v>
      </c>
      <c r="B2153" s="3" t="s">
        <v>27</v>
      </c>
      <c r="C2153" s="3" t="s">
        <v>28</v>
      </c>
      <c r="D2153" s="3" t="s">
        <v>50</v>
      </c>
      <c r="E2153" s="3" t="s">
        <v>51</v>
      </c>
      <c r="F2153" s="3" t="s">
        <v>52</v>
      </c>
      <c r="G2153" s="3" t="s">
        <v>51</v>
      </c>
      <c r="H2153" s="3" t="s">
        <v>48</v>
      </c>
      <c r="I2153" s="3">
        <v>2025</v>
      </c>
      <c r="J2153" s="3" t="str">
        <f>CONCATENATE("54820141098")</f>
        <v>54820141098</v>
      </c>
      <c r="K2153" s="3" t="s">
        <v>33</v>
      </c>
      <c r="L2153" s="3"/>
      <c r="M2153" s="3" t="s">
        <v>131</v>
      </c>
      <c r="N2153" s="3" t="str">
        <f>CONCATENATE("CRQLRT76H11D451U")</f>
        <v>CRQLRT76H11D451U</v>
      </c>
      <c r="O2153" s="3" t="s">
        <v>2289</v>
      </c>
      <c r="P2153" s="3" t="s">
        <v>36</v>
      </c>
      <c r="Q2153" s="3"/>
      <c r="R2153" s="4">
        <v>45996</v>
      </c>
      <c r="S2153" s="3" t="s">
        <v>37</v>
      </c>
      <c r="T2153" s="3" t="s">
        <v>38</v>
      </c>
      <c r="U2153" s="3" t="s">
        <v>39</v>
      </c>
      <c r="V2153" s="3">
        <v>143.52000000000001</v>
      </c>
      <c r="W2153" s="3">
        <v>61</v>
      </c>
      <c r="X2153" s="3">
        <v>57.77</v>
      </c>
      <c r="Y2153" s="3">
        <v>24.75</v>
      </c>
    </row>
    <row r="2154" spans="1:25" ht="60.75" x14ac:dyDescent="0.25">
      <c r="A2154" s="3" t="s">
        <v>26</v>
      </c>
      <c r="B2154" s="3" t="s">
        <v>27</v>
      </c>
      <c r="C2154" s="3" t="s">
        <v>28</v>
      </c>
      <c r="D2154" s="3" t="s">
        <v>29</v>
      </c>
      <c r="E2154" s="3" t="s">
        <v>182</v>
      </c>
      <c r="F2154" s="3" t="s">
        <v>31</v>
      </c>
      <c r="G2154" s="3" t="s">
        <v>182</v>
      </c>
      <c r="H2154" s="3" t="s">
        <v>45</v>
      </c>
      <c r="I2154" s="3">
        <v>2025</v>
      </c>
      <c r="J2154" s="3" t="str">
        <f>CONCATENATE("54820087143")</f>
        <v>54820087143</v>
      </c>
      <c r="K2154" s="3" t="s">
        <v>33</v>
      </c>
      <c r="L2154" s="3"/>
      <c r="M2154" s="3" t="s">
        <v>131</v>
      </c>
      <c r="N2154" s="3" t="str">
        <f>CONCATENATE("CPPVNT64E09L500B")</f>
        <v>CPPVNT64E09L500B</v>
      </c>
      <c r="O2154" s="3" t="s">
        <v>2290</v>
      </c>
      <c r="P2154" s="3" t="s">
        <v>36</v>
      </c>
      <c r="Q2154" s="3"/>
      <c r="R2154" s="4">
        <v>45996</v>
      </c>
      <c r="S2154" s="3" t="s">
        <v>37</v>
      </c>
      <c r="T2154" s="3" t="s">
        <v>38</v>
      </c>
      <c r="U2154" s="3" t="s">
        <v>39</v>
      </c>
      <c r="V2154" s="3">
        <v>55.49</v>
      </c>
      <c r="W2154" s="3">
        <v>23.58</v>
      </c>
      <c r="X2154" s="3">
        <v>22.33</v>
      </c>
      <c r="Y2154" s="3">
        <v>9.58</v>
      </c>
    </row>
    <row r="2155" spans="1:25" ht="60.75" x14ac:dyDescent="0.25">
      <c r="A2155" s="3" t="s">
        <v>26</v>
      </c>
      <c r="B2155" s="3" t="s">
        <v>27</v>
      </c>
      <c r="C2155" s="3" t="s">
        <v>28</v>
      </c>
      <c r="D2155" s="3" t="s">
        <v>104</v>
      </c>
      <c r="E2155" s="3" t="s">
        <v>141</v>
      </c>
      <c r="F2155" s="3" t="s">
        <v>104</v>
      </c>
      <c r="G2155" s="3" t="s">
        <v>141</v>
      </c>
      <c r="H2155" s="3" t="s">
        <v>96</v>
      </c>
      <c r="I2155" s="3">
        <v>2025</v>
      </c>
      <c r="J2155" s="3" t="str">
        <f>CONCATENATE("54820137039")</f>
        <v>54820137039</v>
      </c>
      <c r="K2155" s="3" t="s">
        <v>33</v>
      </c>
      <c r="L2155" s="3"/>
      <c r="M2155" s="3" t="s">
        <v>131</v>
      </c>
      <c r="N2155" s="3" t="str">
        <f>CONCATENATE("CNTRTR75S05A252M")</f>
        <v>CNTRTR75S05A252M</v>
      </c>
      <c r="O2155" s="3" t="s">
        <v>2291</v>
      </c>
      <c r="P2155" s="3" t="s">
        <v>36</v>
      </c>
      <c r="Q2155" s="3"/>
      <c r="R2155" s="4">
        <v>45996</v>
      </c>
      <c r="S2155" s="3" t="s">
        <v>37</v>
      </c>
      <c r="T2155" s="3" t="s">
        <v>38</v>
      </c>
      <c r="U2155" s="3" t="s">
        <v>39</v>
      </c>
      <c r="V2155" s="3">
        <v>100.73</v>
      </c>
      <c r="W2155" s="3">
        <v>42.81</v>
      </c>
      <c r="X2155" s="3">
        <v>40.54</v>
      </c>
      <c r="Y2155" s="3">
        <v>17.38</v>
      </c>
    </row>
    <row r="2156" spans="1:25" ht="60.75" x14ac:dyDescent="0.25">
      <c r="A2156" s="3" t="s">
        <v>26</v>
      </c>
      <c r="B2156" s="3" t="s">
        <v>27</v>
      </c>
      <c r="C2156" s="3" t="s">
        <v>28</v>
      </c>
      <c r="D2156" s="3" t="s">
        <v>50</v>
      </c>
      <c r="E2156" s="3" t="s">
        <v>147</v>
      </c>
      <c r="F2156" s="3" t="s">
        <v>52</v>
      </c>
      <c r="G2156" s="3" t="s">
        <v>147</v>
      </c>
      <c r="H2156" s="3" t="s">
        <v>45</v>
      </c>
      <c r="I2156" s="3">
        <v>2025</v>
      </c>
      <c r="J2156" s="3" t="str">
        <f>CONCATENATE("54820182126")</f>
        <v>54820182126</v>
      </c>
      <c r="K2156" s="3" t="s">
        <v>33</v>
      </c>
      <c r="L2156" s="3"/>
      <c r="M2156" s="3" t="s">
        <v>131</v>
      </c>
      <c r="N2156" s="3" t="str">
        <f>CONCATENATE("PGLLCU68B10Z133F")</f>
        <v>PGLLCU68B10Z133F</v>
      </c>
      <c r="O2156" s="3" t="s">
        <v>2292</v>
      </c>
      <c r="P2156" s="3" t="s">
        <v>36</v>
      </c>
      <c r="Q2156" s="3"/>
      <c r="R2156" s="4">
        <v>45996</v>
      </c>
      <c r="S2156" s="3" t="s">
        <v>37</v>
      </c>
      <c r="T2156" s="3" t="s">
        <v>38</v>
      </c>
      <c r="U2156" s="3" t="s">
        <v>39</v>
      </c>
      <c r="V2156" s="3">
        <v>134.30000000000001</v>
      </c>
      <c r="W2156" s="3">
        <v>57.08</v>
      </c>
      <c r="X2156" s="3">
        <v>54.06</v>
      </c>
      <c r="Y2156" s="3">
        <v>23.16</v>
      </c>
    </row>
    <row r="2157" spans="1:25" ht="60.75" x14ac:dyDescent="0.25">
      <c r="A2157" s="3" t="s">
        <v>26</v>
      </c>
      <c r="B2157" s="3" t="s">
        <v>27</v>
      </c>
      <c r="C2157" s="3" t="s">
        <v>28</v>
      </c>
      <c r="D2157" s="3" t="s">
        <v>50</v>
      </c>
      <c r="E2157" s="3" t="s">
        <v>147</v>
      </c>
      <c r="F2157" s="3" t="s">
        <v>52</v>
      </c>
      <c r="G2157" s="3" t="s">
        <v>147</v>
      </c>
      <c r="H2157" s="3" t="s">
        <v>45</v>
      </c>
      <c r="I2157" s="3">
        <v>2025</v>
      </c>
      <c r="J2157" s="3" t="str">
        <f>CONCATENATE("54820148507")</f>
        <v>54820148507</v>
      </c>
      <c r="K2157" s="3" t="s">
        <v>33</v>
      </c>
      <c r="L2157" s="3"/>
      <c r="M2157" s="3" t="s">
        <v>131</v>
      </c>
      <c r="N2157" s="3" t="str">
        <f>CONCATENATE("FDDSML79P08L500N")</f>
        <v>FDDSML79P08L500N</v>
      </c>
      <c r="O2157" s="3" t="s">
        <v>2293</v>
      </c>
      <c r="P2157" s="3" t="s">
        <v>36</v>
      </c>
      <c r="Q2157" s="3"/>
      <c r="R2157" s="4">
        <v>45996</v>
      </c>
      <c r="S2157" s="3" t="s">
        <v>37</v>
      </c>
      <c r="T2157" s="3" t="s">
        <v>38</v>
      </c>
      <c r="U2157" s="3" t="s">
        <v>39</v>
      </c>
      <c r="V2157" s="3">
        <v>326.32</v>
      </c>
      <c r="W2157" s="3">
        <v>138.69</v>
      </c>
      <c r="X2157" s="3">
        <v>131.34</v>
      </c>
      <c r="Y2157" s="3">
        <v>56.29</v>
      </c>
    </row>
    <row r="2158" spans="1:25" ht="72.75" x14ac:dyDescent="0.25">
      <c r="A2158" s="3" t="s">
        <v>26</v>
      </c>
      <c r="B2158" s="3" t="s">
        <v>27</v>
      </c>
      <c r="C2158" s="3" t="s">
        <v>28</v>
      </c>
      <c r="D2158" s="3" t="s">
        <v>29</v>
      </c>
      <c r="E2158" s="3" t="s">
        <v>80</v>
      </c>
      <c r="F2158" s="3" t="s">
        <v>31</v>
      </c>
      <c r="G2158" s="3" t="s">
        <v>80</v>
      </c>
      <c r="H2158" s="3" t="s">
        <v>45</v>
      </c>
      <c r="I2158" s="3">
        <v>2025</v>
      </c>
      <c r="J2158" s="3" t="str">
        <f>CONCATENATE("54820141486")</f>
        <v>54820141486</v>
      </c>
      <c r="K2158" s="3" t="s">
        <v>33</v>
      </c>
      <c r="L2158" s="3"/>
      <c r="M2158" s="3" t="s">
        <v>131</v>
      </c>
      <c r="N2158" s="3" t="str">
        <f>CONCATENATE("VLNMNN82P42G453Q")</f>
        <v>VLNMNN82P42G453Q</v>
      </c>
      <c r="O2158" s="3" t="s">
        <v>2294</v>
      </c>
      <c r="P2158" s="3" t="s">
        <v>36</v>
      </c>
      <c r="Q2158" s="3"/>
      <c r="R2158" s="4">
        <v>45996</v>
      </c>
      <c r="S2158" s="3" t="s">
        <v>37</v>
      </c>
      <c r="T2158" s="3" t="s">
        <v>38</v>
      </c>
      <c r="U2158" s="3" t="s">
        <v>39</v>
      </c>
      <c r="V2158" s="3">
        <v>283.89</v>
      </c>
      <c r="W2158" s="3">
        <v>120.65</v>
      </c>
      <c r="X2158" s="3">
        <v>114.27</v>
      </c>
      <c r="Y2158" s="3">
        <v>48.97</v>
      </c>
    </row>
    <row r="2159" spans="1:25" ht="60.75" x14ac:dyDescent="0.25">
      <c r="A2159" s="3" t="s">
        <v>26</v>
      </c>
      <c r="B2159" s="3" t="s">
        <v>27</v>
      </c>
      <c r="C2159" s="3" t="s">
        <v>28</v>
      </c>
      <c r="D2159" s="3" t="s">
        <v>50</v>
      </c>
      <c r="E2159" s="3" t="s">
        <v>60</v>
      </c>
      <c r="F2159" s="3" t="s">
        <v>52</v>
      </c>
      <c r="G2159" s="3" t="s">
        <v>60</v>
      </c>
      <c r="H2159" s="3" t="s">
        <v>45</v>
      </c>
      <c r="I2159" s="3">
        <v>2025</v>
      </c>
      <c r="J2159" s="3" t="str">
        <f>CONCATENATE("54820108261")</f>
        <v>54820108261</v>
      </c>
      <c r="K2159" s="3" t="s">
        <v>33</v>
      </c>
      <c r="L2159" s="3"/>
      <c r="M2159" s="3" t="s">
        <v>131</v>
      </c>
      <c r="N2159" s="3" t="str">
        <f>CONCATENATE("CNNGNI38D14B352S")</f>
        <v>CNNGNI38D14B352S</v>
      </c>
      <c r="O2159" s="3" t="s">
        <v>2295</v>
      </c>
      <c r="P2159" s="3" t="s">
        <v>36</v>
      </c>
      <c r="Q2159" s="3"/>
      <c r="R2159" s="4">
        <v>45996</v>
      </c>
      <c r="S2159" s="3" t="s">
        <v>37</v>
      </c>
      <c r="T2159" s="3" t="s">
        <v>38</v>
      </c>
      <c r="U2159" s="3" t="s">
        <v>39</v>
      </c>
      <c r="V2159" s="3">
        <v>103.76</v>
      </c>
      <c r="W2159" s="3">
        <v>44.1</v>
      </c>
      <c r="X2159" s="3">
        <v>41.76</v>
      </c>
      <c r="Y2159" s="3">
        <v>17.899999999999999</v>
      </c>
    </row>
    <row r="2160" spans="1:25" ht="60.75" x14ac:dyDescent="0.25">
      <c r="A2160" s="3" t="s">
        <v>26</v>
      </c>
      <c r="B2160" s="3" t="s">
        <v>27</v>
      </c>
      <c r="C2160" s="3" t="s">
        <v>28</v>
      </c>
      <c r="D2160" s="3" t="s">
        <v>29</v>
      </c>
      <c r="E2160" s="3" t="s">
        <v>56</v>
      </c>
      <c r="F2160" s="3" t="s">
        <v>31</v>
      </c>
      <c r="G2160" s="3" t="s">
        <v>56</v>
      </c>
      <c r="H2160" s="3" t="s">
        <v>32</v>
      </c>
      <c r="I2160" s="3">
        <v>2025</v>
      </c>
      <c r="J2160" s="3" t="str">
        <f>CONCATENATE("54820236179")</f>
        <v>54820236179</v>
      </c>
      <c r="K2160" s="3" t="s">
        <v>33</v>
      </c>
      <c r="L2160" s="3"/>
      <c r="M2160" s="3" t="s">
        <v>131</v>
      </c>
      <c r="N2160" s="3" t="str">
        <f>CONCATENATE("CRDFRC84P23I156D")</f>
        <v>CRDFRC84P23I156D</v>
      </c>
      <c r="O2160" s="3" t="s">
        <v>2296</v>
      </c>
      <c r="P2160" s="3" t="s">
        <v>36</v>
      </c>
      <c r="Q2160" s="3"/>
      <c r="R2160" s="4">
        <v>45996</v>
      </c>
      <c r="S2160" s="3" t="s">
        <v>37</v>
      </c>
      <c r="T2160" s="3" t="s">
        <v>38</v>
      </c>
      <c r="U2160" s="3" t="s">
        <v>39</v>
      </c>
      <c r="V2160" s="3">
        <v>305.91000000000003</v>
      </c>
      <c r="W2160" s="3">
        <v>130.01</v>
      </c>
      <c r="X2160" s="3">
        <v>123.13</v>
      </c>
      <c r="Y2160" s="3">
        <v>52.77</v>
      </c>
    </row>
    <row r="2161" spans="1:25" ht="60.75" x14ac:dyDescent="0.25">
      <c r="A2161" s="3" t="s">
        <v>26</v>
      </c>
      <c r="B2161" s="3" t="s">
        <v>27</v>
      </c>
      <c r="C2161" s="3" t="s">
        <v>28</v>
      </c>
      <c r="D2161" s="3" t="s">
        <v>29</v>
      </c>
      <c r="E2161" s="3" t="s">
        <v>182</v>
      </c>
      <c r="F2161" s="3" t="s">
        <v>31</v>
      </c>
      <c r="G2161" s="3" t="s">
        <v>182</v>
      </c>
      <c r="H2161" s="3" t="s">
        <v>45</v>
      </c>
      <c r="I2161" s="3">
        <v>2025</v>
      </c>
      <c r="J2161" s="3" t="str">
        <f>CONCATENATE("54820167135")</f>
        <v>54820167135</v>
      </c>
      <c r="K2161" s="3" t="s">
        <v>33</v>
      </c>
      <c r="L2161" s="3"/>
      <c r="M2161" s="3" t="s">
        <v>131</v>
      </c>
      <c r="N2161" s="3" t="str">
        <f>CONCATENATE("FRMLCU96E06G479W")</f>
        <v>FRMLCU96E06G479W</v>
      </c>
      <c r="O2161" s="3" t="s">
        <v>2297</v>
      </c>
      <c r="P2161" s="3" t="s">
        <v>36</v>
      </c>
      <c r="Q2161" s="3"/>
      <c r="R2161" s="4">
        <v>45996</v>
      </c>
      <c r="S2161" s="3" t="s">
        <v>37</v>
      </c>
      <c r="T2161" s="3" t="s">
        <v>38</v>
      </c>
      <c r="U2161" s="3" t="s">
        <v>39</v>
      </c>
      <c r="V2161" s="3">
        <v>407.84</v>
      </c>
      <c r="W2161" s="3">
        <v>173.33</v>
      </c>
      <c r="X2161" s="3">
        <v>164.16</v>
      </c>
      <c r="Y2161" s="3">
        <v>70.349999999999994</v>
      </c>
    </row>
    <row r="2162" spans="1:25" ht="60.75" x14ac:dyDescent="0.25">
      <c r="A2162" s="3" t="s">
        <v>26</v>
      </c>
      <c r="B2162" s="3" t="s">
        <v>27</v>
      </c>
      <c r="C2162" s="3" t="s">
        <v>28</v>
      </c>
      <c r="D2162" s="3" t="s">
        <v>50</v>
      </c>
      <c r="E2162" s="3" t="s">
        <v>147</v>
      </c>
      <c r="F2162" s="3" t="s">
        <v>52</v>
      </c>
      <c r="G2162" s="3" t="s">
        <v>147</v>
      </c>
      <c r="H2162" s="3" t="s">
        <v>45</v>
      </c>
      <c r="I2162" s="3">
        <v>2025</v>
      </c>
      <c r="J2162" s="3" t="str">
        <f>CONCATENATE("54820163746")</f>
        <v>54820163746</v>
      </c>
      <c r="K2162" s="3" t="s">
        <v>33</v>
      </c>
      <c r="L2162" s="3"/>
      <c r="M2162" s="3" t="s">
        <v>131</v>
      </c>
      <c r="N2162" s="3" t="str">
        <f>CONCATENATE("FRTGZL64C60F533N")</f>
        <v>FRTGZL64C60F533N</v>
      </c>
      <c r="O2162" s="3" t="s">
        <v>2298</v>
      </c>
      <c r="P2162" s="3" t="s">
        <v>36</v>
      </c>
      <c r="Q2162" s="3"/>
      <c r="R2162" s="4">
        <v>45996</v>
      </c>
      <c r="S2162" s="3" t="s">
        <v>37</v>
      </c>
      <c r="T2162" s="3" t="s">
        <v>38</v>
      </c>
      <c r="U2162" s="3" t="s">
        <v>39</v>
      </c>
      <c r="V2162" s="3">
        <v>202.66</v>
      </c>
      <c r="W2162" s="3">
        <v>86.13</v>
      </c>
      <c r="X2162" s="3">
        <v>81.569999999999993</v>
      </c>
      <c r="Y2162" s="3">
        <v>34.96</v>
      </c>
    </row>
    <row r="2163" spans="1:25" ht="60.75" x14ac:dyDescent="0.25">
      <c r="A2163" s="3" t="s">
        <v>26</v>
      </c>
      <c r="B2163" s="3" t="s">
        <v>27</v>
      </c>
      <c r="C2163" s="3" t="s">
        <v>28</v>
      </c>
      <c r="D2163" s="3" t="s">
        <v>29</v>
      </c>
      <c r="E2163" s="3" t="s">
        <v>47</v>
      </c>
      <c r="F2163" s="3" t="s">
        <v>31</v>
      </c>
      <c r="G2163" s="3" t="s">
        <v>47</v>
      </c>
      <c r="H2163" s="3" t="s">
        <v>48</v>
      </c>
      <c r="I2163" s="3">
        <v>2025</v>
      </c>
      <c r="J2163" s="3" t="str">
        <f>CONCATENATE("54820198320")</f>
        <v>54820198320</v>
      </c>
      <c r="K2163" s="3" t="s">
        <v>33</v>
      </c>
      <c r="L2163" s="3"/>
      <c r="M2163" s="3" t="s">
        <v>131</v>
      </c>
      <c r="N2163" s="3" t="str">
        <f>CONCATENATE("GBRVNZ60D23D451I")</f>
        <v>GBRVNZ60D23D451I</v>
      </c>
      <c r="O2163" s="3" t="s">
        <v>2299</v>
      </c>
      <c r="P2163" s="3" t="s">
        <v>36</v>
      </c>
      <c r="Q2163" s="3"/>
      <c r="R2163" s="4">
        <v>45996</v>
      </c>
      <c r="S2163" s="3" t="s">
        <v>37</v>
      </c>
      <c r="T2163" s="3" t="s">
        <v>38</v>
      </c>
      <c r="U2163" s="3" t="s">
        <v>39</v>
      </c>
      <c r="V2163" s="3">
        <v>112.79</v>
      </c>
      <c r="W2163" s="3">
        <v>47.94</v>
      </c>
      <c r="X2163" s="3">
        <v>45.4</v>
      </c>
      <c r="Y2163" s="3">
        <v>19.45</v>
      </c>
    </row>
    <row r="2164" spans="1:25" ht="60.75" x14ac:dyDescent="0.25">
      <c r="A2164" s="3" t="s">
        <v>26</v>
      </c>
      <c r="B2164" s="3" t="s">
        <v>27</v>
      </c>
      <c r="C2164" s="3" t="s">
        <v>28</v>
      </c>
      <c r="D2164" s="3" t="s">
        <v>29</v>
      </c>
      <c r="E2164" s="3" t="s">
        <v>72</v>
      </c>
      <c r="F2164" s="3" t="s">
        <v>31</v>
      </c>
      <c r="G2164" s="3" t="s">
        <v>72</v>
      </c>
      <c r="H2164" s="3" t="s">
        <v>45</v>
      </c>
      <c r="I2164" s="3">
        <v>2025</v>
      </c>
      <c r="J2164" s="3" t="str">
        <f>CONCATENATE("54820132485")</f>
        <v>54820132485</v>
      </c>
      <c r="K2164" s="3" t="s">
        <v>33</v>
      </c>
      <c r="L2164" s="3"/>
      <c r="M2164" s="3" t="s">
        <v>131</v>
      </c>
      <c r="N2164" s="3" t="str">
        <f>CONCATENATE("PLCLCN53A25B352U")</f>
        <v>PLCLCN53A25B352U</v>
      </c>
      <c r="O2164" s="3" t="s">
        <v>2300</v>
      </c>
      <c r="P2164" s="3" t="s">
        <v>36</v>
      </c>
      <c r="Q2164" s="3"/>
      <c r="R2164" s="4">
        <v>45996</v>
      </c>
      <c r="S2164" s="3" t="s">
        <v>37</v>
      </c>
      <c r="T2164" s="3" t="s">
        <v>38</v>
      </c>
      <c r="U2164" s="3" t="s">
        <v>39</v>
      </c>
      <c r="V2164" s="3">
        <v>213.61</v>
      </c>
      <c r="W2164" s="3">
        <v>90.78</v>
      </c>
      <c r="X2164" s="3">
        <v>85.98</v>
      </c>
      <c r="Y2164" s="3">
        <v>36.85</v>
      </c>
    </row>
    <row r="2165" spans="1:25" ht="60.75" x14ac:dyDescent="0.25">
      <c r="A2165" s="3" t="s">
        <v>26</v>
      </c>
      <c r="B2165" s="3" t="s">
        <v>27</v>
      </c>
      <c r="C2165" s="3" t="s">
        <v>28</v>
      </c>
      <c r="D2165" s="3" t="s">
        <v>50</v>
      </c>
      <c r="E2165" s="3" t="s">
        <v>252</v>
      </c>
      <c r="F2165" s="3" t="s">
        <v>52</v>
      </c>
      <c r="G2165" s="3" t="s">
        <v>252</v>
      </c>
      <c r="H2165" s="3" t="s">
        <v>45</v>
      </c>
      <c r="I2165" s="3">
        <v>2025</v>
      </c>
      <c r="J2165" s="3" t="str">
        <f>CONCATENATE("54820190665")</f>
        <v>54820190665</v>
      </c>
      <c r="K2165" s="3" t="s">
        <v>33</v>
      </c>
      <c r="L2165" s="3"/>
      <c r="M2165" s="3" t="s">
        <v>131</v>
      </c>
      <c r="N2165" s="3" t="str">
        <f>CONCATENATE("GRRRNZ54M24I344U")</f>
        <v>GRRRNZ54M24I344U</v>
      </c>
      <c r="O2165" s="3" t="s">
        <v>2301</v>
      </c>
      <c r="P2165" s="3" t="s">
        <v>36</v>
      </c>
      <c r="Q2165" s="3"/>
      <c r="R2165" s="4">
        <v>45996</v>
      </c>
      <c r="S2165" s="3" t="s">
        <v>37</v>
      </c>
      <c r="T2165" s="3" t="s">
        <v>38</v>
      </c>
      <c r="U2165" s="3" t="s">
        <v>39</v>
      </c>
      <c r="V2165" s="3">
        <v>101.55</v>
      </c>
      <c r="W2165" s="3">
        <v>43.16</v>
      </c>
      <c r="X2165" s="3">
        <v>40.869999999999997</v>
      </c>
      <c r="Y2165" s="3">
        <v>17.52</v>
      </c>
    </row>
    <row r="2166" spans="1:25" ht="60.75" x14ac:dyDescent="0.25">
      <c r="A2166" s="3" t="s">
        <v>26</v>
      </c>
      <c r="B2166" s="3" t="s">
        <v>27</v>
      </c>
      <c r="C2166" s="3" t="s">
        <v>28</v>
      </c>
      <c r="D2166" s="3" t="s">
        <v>29</v>
      </c>
      <c r="E2166" s="3" t="s">
        <v>136</v>
      </c>
      <c r="F2166" s="3" t="s">
        <v>31</v>
      </c>
      <c r="G2166" s="3" t="s">
        <v>136</v>
      </c>
      <c r="H2166" s="3" t="s">
        <v>48</v>
      </c>
      <c r="I2166" s="3">
        <v>2025</v>
      </c>
      <c r="J2166" s="3" t="str">
        <f>CONCATENATE("54820174982")</f>
        <v>54820174982</v>
      </c>
      <c r="K2166" s="3" t="s">
        <v>33</v>
      </c>
      <c r="L2166" s="3"/>
      <c r="M2166" s="3" t="s">
        <v>131</v>
      </c>
      <c r="N2166" s="3" t="str">
        <f>CONCATENATE("RSCDNC34P21H501O")</f>
        <v>RSCDNC34P21H501O</v>
      </c>
      <c r="O2166" s="3" t="s">
        <v>2302</v>
      </c>
      <c r="P2166" s="3" t="s">
        <v>36</v>
      </c>
      <c r="Q2166" s="3"/>
      <c r="R2166" s="4">
        <v>45996</v>
      </c>
      <c r="S2166" s="3" t="s">
        <v>37</v>
      </c>
      <c r="T2166" s="3" t="s">
        <v>38</v>
      </c>
      <c r="U2166" s="3" t="s">
        <v>39</v>
      </c>
      <c r="V2166" s="3">
        <v>152.97</v>
      </c>
      <c r="W2166" s="3">
        <v>65.010000000000005</v>
      </c>
      <c r="X2166" s="3">
        <v>61.57</v>
      </c>
      <c r="Y2166" s="3">
        <v>26.39</v>
      </c>
    </row>
    <row r="2167" spans="1:25" ht="60.75" x14ac:dyDescent="0.25">
      <c r="A2167" s="3" t="s">
        <v>26</v>
      </c>
      <c r="B2167" s="3" t="s">
        <v>27</v>
      </c>
      <c r="C2167" s="3" t="s">
        <v>28</v>
      </c>
      <c r="D2167" s="3" t="s">
        <v>29</v>
      </c>
      <c r="E2167" s="3" t="s">
        <v>47</v>
      </c>
      <c r="F2167" s="3" t="s">
        <v>31</v>
      </c>
      <c r="G2167" s="3" t="s">
        <v>47</v>
      </c>
      <c r="H2167" s="3" t="s">
        <v>48</v>
      </c>
      <c r="I2167" s="3">
        <v>2025</v>
      </c>
      <c r="J2167" s="3" t="str">
        <f>CONCATENATE("54820173612")</f>
        <v>54820173612</v>
      </c>
      <c r="K2167" s="3" t="s">
        <v>33</v>
      </c>
      <c r="L2167" s="3"/>
      <c r="M2167" s="3" t="s">
        <v>131</v>
      </c>
      <c r="N2167" s="3" t="str">
        <f>CONCATENATE("NGLMCL71D27D451P")</f>
        <v>NGLMCL71D27D451P</v>
      </c>
      <c r="O2167" s="3" t="s">
        <v>2303</v>
      </c>
      <c r="P2167" s="3" t="s">
        <v>36</v>
      </c>
      <c r="Q2167" s="3"/>
      <c r="R2167" s="4">
        <v>45996</v>
      </c>
      <c r="S2167" s="3" t="s">
        <v>37</v>
      </c>
      <c r="T2167" s="3" t="s">
        <v>38</v>
      </c>
      <c r="U2167" s="3" t="s">
        <v>39</v>
      </c>
      <c r="V2167" s="3">
        <v>117.27</v>
      </c>
      <c r="W2167" s="3">
        <v>49.84</v>
      </c>
      <c r="X2167" s="3">
        <v>47.2</v>
      </c>
      <c r="Y2167" s="3">
        <v>20.23</v>
      </c>
    </row>
    <row r="2168" spans="1:25" ht="60.75" x14ac:dyDescent="0.25">
      <c r="A2168" s="3" t="s">
        <v>26</v>
      </c>
      <c r="B2168" s="3" t="s">
        <v>27</v>
      </c>
      <c r="C2168" s="3" t="s">
        <v>28</v>
      </c>
      <c r="D2168" s="3" t="s">
        <v>29</v>
      </c>
      <c r="E2168" s="3" t="s">
        <v>228</v>
      </c>
      <c r="F2168" s="3" t="s">
        <v>31</v>
      </c>
      <c r="G2168" s="3" t="s">
        <v>228</v>
      </c>
      <c r="H2168" s="3" t="s">
        <v>45</v>
      </c>
      <c r="I2168" s="3">
        <v>2025</v>
      </c>
      <c r="J2168" s="3" t="str">
        <f>CONCATENATE("54820108311")</f>
        <v>54820108311</v>
      </c>
      <c r="K2168" s="3" t="s">
        <v>33</v>
      </c>
      <c r="L2168" s="3"/>
      <c r="M2168" s="3" t="s">
        <v>131</v>
      </c>
      <c r="N2168" s="3" t="str">
        <f>CONCATENATE("GRRLRD47M08D749E")</f>
        <v>GRRLRD47M08D749E</v>
      </c>
      <c r="O2168" s="3" t="s">
        <v>2304</v>
      </c>
      <c r="P2168" s="3" t="s">
        <v>36</v>
      </c>
      <c r="Q2168" s="3"/>
      <c r="R2168" s="4">
        <v>45996</v>
      </c>
      <c r="S2168" s="3" t="s">
        <v>37</v>
      </c>
      <c r="T2168" s="3" t="s">
        <v>38</v>
      </c>
      <c r="U2168" s="3" t="s">
        <v>39</v>
      </c>
      <c r="V2168" s="3">
        <v>258.48</v>
      </c>
      <c r="W2168" s="3">
        <v>109.85</v>
      </c>
      <c r="X2168" s="3">
        <v>104.04</v>
      </c>
      <c r="Y2168" s="3">
        <v>44.59</v>
      </c>
    </row>
    <row r="2169" spans="1:25" ht="60.75" x14ac:dyDescent="0.25">
      <c r="A2169" s="3" t="s">
        <v>26</v>
      </c>
      <c r="B2169" s="3" t="s">
        <v>27</v>
      </c>
      <c r="C2169" s="3" t="s">
        <v>28</v>
      </c>
      <c r="D2169" s="3" t="s">
        <v>29</v>
      </c>
      <c r="E2169" s="3" t="s">
        <v>47</v>
      </c>
      <c r="F2169" s="3" t="s">
        <v>31</v>
      </c>
      <c r="G2169" s="3" t="s">
        <v>47</v>
      </c>
      <c r="H2169" s="3" t="s">
        <v>48</v>
      </c>
      <c r="I2169" s="3">
        <v>2025</v>
      </c>
      <c r="J2169" s="3" t="str">
        <f>CONCATENATE("54820214051")</f>
        <v>54820214051</v>
      </c>
      <c r="K2169" s="3" t="s">
        <v>33</v>
      </c>
      <c r="L2169" s="3"/>
      <c r="M2169" s="3" t="s">
        <v>131</v>
      </c>
      <c r="N2169" s="3" t="str">
        <f>CONCATENATE("RSOSFN88H17D451E")</f>
        <v>RSOSFN88H17D451E</v>
      </c>
      <c r="O2169" s="3" t="s">
        <v>2305</v>
      </c>
      <c r="P2169" s="3" t="s">
        <v>36</v>
      </c>
      <c r="Q2169" s="3"/>
      <c r="R2169" s="4">
        <v>45996</v>
      </c>
      <c r="S2169" s="3" t="s">
        <v>37</v>
      </c>
      <c r="T2169" s="3" t="s">
        <v>38</v>
      </c>
      <c r="U2169" s="3" t="s">
        <v>39</v>
      </c>
      <c r="V2169" s="3">
        <v>336.64</v>
      </c>
      <c r="W2169" s="3">
        <v>143.07</v>
      </c>
      <c r="X2169" s="3">
        <v>135.5</v>
      </c>
      <c r="Y2169" s="3">
        <v>58.07</v>
      </c>
    </row>
    <row r="2170" spans="1:25" ht="60.75" x14ac:dyDescent="0.25">
      <c r="A2170" s="3" t="s">
        <v>26</v>
      </c>
      <c r="B2170" s="3" t="s">
        <v>27</v>
      </c>
      <c r="C2170" s="3" t="s">
        <v>28</v>
      </c>
      <c r="D2170" s="3" t="s">
        <v>50</v>
      </c>
      <c r="E2170" s="3" t="s">
        <v>51</v>
      </c>
      <c r="F2170" s="3" t="s">
        <v>52</v>
      </c>
      <c r="G2170" s="3" t="s">
        <v>51</v>
      </c>
      <c r="H2170" s="3" t="s">
        <v>48</v>
      </c>
      <c r="I2170" s="3">
        <v>2025</v>
      </c>
      <c r="J2170" s="3" t="str">
        <f>CONCATENATE("54820101696")</f>
        <v>54820101696</v>
      </c>
      <c r="K2170" s="3" t="s">
        <v>33</v>
      </c>
      <c r="L2170" s="3"/>
      <c r="M2170" s="3" t="s">
        <v>131</v>
      </c>
      <c r="N2170" s="3" t="str">
        <f>CONCATENATE("PRNGRG70S05E388K")</f>
        <v>PRNGRG70S05E388K</v>
      </c>
      <c r="O2170" s="3" t="s">
        <v>2306</v>
      </c>
      <c r="P2170" s="3" t="s">
        <v>36</v>
      </c>
      <c r="Q2170" s="3"/>
      <c r="R2170" s="4">
        <v>45996</v>
      </c>
      <c r="S2170" s="3" t="s">
        <v>37</v>
      </c>
      <c r="T2170" s="3" t="s">
        <v>38</v>
      </c>
      <c r="U2170" s="3" t="s">
        <v>39</v>
      </c>
      <c r="V2170" s="3">
        <v>179.39</v>
      </c>
      <c r="W2170" s="3">
        <v>76.239999999999995</v>
      </c>
      <c r="X2170" s="3">
        <v>72.2</v>
      </c>
      <c r="Y2170" s="3">
        <v>30.95</v>
      </c>
    </row>
    <row r="2171" spans="1:25" ht="72.75" x14ac:dyDescent="0.25">
      <c r="A2171" s="3" t="s">
        <v>26</v>
      </c>
      <c r="B2171" s="3" t="s">
        <v>27</v>
      </c>
      <c r="C2171" s="3" t="s">
        <v>28</v>
      </c>
      <c r="D2171" s="3" t="s">
        <v>50</v>
      </c>
      <c r="E2171" s="3" t="s">
        <v>60</v>
      </c>
      <c r="F2171" s="3" t="s">
        <v>52</v>
      </c>
      <c r="G2171" s="3" t="s">
        <v>60</v>
      </c>
      <c r="H2171" s="3" t="s">
        <v>45</v>
      </c>
      <c r="I2171" s="3">
        <v>2025</v>
      </c>
      <c r="J2171" s="3" t="str">
        <f>CONCATENATE("54820222138")</f>
        <v>54820222138</v>
      </c>
      <c r="K2171" s="3" t="s">
        <v>33</v>
      </c>
      <c r="L2171" s="3"/>
      <c r="M2171" s="3" t="s">
        <v>131</v>
      </c>
      <c r="N2171" s="3" t="str">
        <f>CONCATENATE("CPTMNT56A44D791R")</f>
        <v>CPTMNT56A44D791R</v>
      </c>
      <c r="O2171" s="3" t="s">
        <v>2307</v>
      </c>
      <c r="P2171" s="3" t="s">
        <v>36</v>
      </c>
      <c r="Q2171" s="3"/>
      <c r="R2171" s="4">
        <v>45996</v>
      </c>
      <c r="S2171" s="3" t="s">
        <v>37</v>
      </c>
      <c r="T2171" s="3" t="s">
        <v>38</v>
      </c>
      <c r="U2171" s="3" t="s">
        <v>39</v>
      </c>
      <c r="V2171" s="3">
        <v>393.09</v>
      </c>
      <c r="W2171" s="3">
        <v>167.06</v>
      </c>
      <c r="X2171" s="3">
        <v>158.22</v>
      </c>
      <c r="Y2171" s="3">
        <v>67.81</v>
      </c>
    </row>
    <row r="2172" spans="1:25" ht="36.75" x14ac:dyDescent="0.25">
      <c r="A2172" s="3" t="s">
        <v>26</v>
      </c>
      <c r="B2172" s="3" t="s">
        <v>27</v>
      </c>
      <c r="C2172" s="3" t="s">
        <v>28</v>
      </c>
      <c r="D2172" s="3" t="s">
        <v>40</v>
      </c>
      <c r="E2172" s="3" t="s">
        <v>218</v>
      </c>
      <c r="F2172" s="3" t="s">
        <v>42</v>
      </c>
      <c r="G2172" s="3" t="s">
        <v>218</v>
      </c>
      <c r="H2172" s="3" t="s">
        <v>45</v>
      </c>
      <c r="I2172" s="3">
        <v>2025</v>
      </c>
      <c r="J2172" s="3" t="str">
        <f>CONCATENATE("54820026646")</f>
        <v>54820026646</v>
      </c>
      <c r="K2172" s="3" t="s">
        <v>33</v>
      </c>
      <c r="L2172" s="3"/>
      <c r="M2172" s="3" t="s">
        <v>131</v>
      </c>
      <c r="N2172" s="3" t="str">
        <f>CONCATENATE("02224210415")</f>
        <v>02224210415</v>
      </c>
      <c r="O2172" s="3" t="s">
        <v>2308</v>
      </c>
      <c r="P2172" s="3" t="s">
        <v>36</v>
      </c>
      <c r="Q2172" s="3"/>
      <c r="R2172" s="4">
        <v>45996</v>
      </c>
      <c r="S2172" s="3" t="s">
        <v>37</v>
      </c>
      <c r="T2172" s="3" t="s">
        <v>38</v>
      </c>
      <c r="U2172" s="3" t="s">
        <v>39</v>
      </c>
      <c r="V2172" s="3">
        <v>751.37</v>
      </c>
      <c r="W2172" s="3">
        <v>319.33</v>
      </c>
      <c r="X2172" s="3">
        <v>302.43</v>
      </c>
      <c r="Y2172" s="3">
        <v>129.61000000000001</v>
      </c>
    </row>
    <row r="2173" spans="1:25" ht="60.75" x14ac:dyDescent="0.25">
      <c r="A2173" s="3" t="s">
        <v>26</v>
      </c>
      <c r="B2173" s="3" t="s">
        <v>27</v>
      </c>
      <c r="C2173" s="3" t="s">
        <v>28</v>
      </c>
      <c r="D2173" s="3" t="s">
        <v>50</v>
      </c>
      <c r="E2173" s="3" t="s">
        <v>147</v>
      </c>
      <c r="F2173" s="3" t="s">
        <v>52</v>
      </c>
      <c r="G2173" s="3" t="s">
        <v>147</v>
      </c>
      <c r="H2173" s="3" t="s">
        <v>45</v>
      </c>
      <c r="I2173" s="3">
        <v>2025</v>
      </c>
      <c r="J2173" s="3" t="str">
        <f>CONCATENATE("54820143003")</f>
        <v>54820143003</v>
      </c>
      <c r="K2173" s="3" t="s">
        <v>33</v>
      </c>
      <c r="L2173" s="3"/>
      <c r="M2173" s="3" t="s">
        <v>131</v>
      </c>
      <c r="N2173" s="3" t="str">
        <f>CONCATENATE("DCHNRC61M20L500H")</f>
        <v>DCHNRC61M20L500H</v>
      </c>
      <c r="O2173" s="3" t="s">
        <v>2309</v>
      </c>
      <c r="P2173" s="3" t="s">
        <v>36</v>
      </c>
      <c r="Q2173" s="3"/>
      <c r="R2173" s="4">
        <v>45996</v>
      </c>
      <c r="S2173" s="3" t="s">
        <v>37</v>
      </c>
      <c r="T2173" s="3" t="s">
        <v>38</v>
      </c>
      <c r="U2173" s="3" t="s">
        <v>39</v>
      </c>
      <c r="V2173" s="3">
        <v>516.91999999999996</v>
      </c>
      <c r="W2173" s="3">
        <v>219.69</v>
      </c>
      <c r="X2173" s="3">
        <v>208.06</v>
      </c>
      <c r="Y2173" s="3">
        <v>89.17</v>
      </c>
    </row>
    <row r="2174" spans="1:25" ht="60.75" x14ac:dyDescent="0.25">
      <c r="A2174" s="3" t="s">
        <v>26</v>
      </c>
      <c r="B2174" s="3" t="s">
        <v>27</v>
      </c>
      <c r="C2174" s="3" t="s">
        <v>28</v>
      </c>
      <c r="D2174" s="3" t="s">
        <v>50</v>
      </c>
      <c r="E2174" s="3" t="s">
        <v>252</v>
      </c>
      <c r="F2174" s="3" t="s">
        <v>52</v>
      </c>
      <c r="G2174" s="3" t="s">
        <v>252</v>
      </c>
      <c r="H2174" s="3" t="s">
        <v>45</v>
      </c>
      <c r="I2174" s="3">
        <v>2025</v>
      </c>
      <c r="J2174" s="3" t="str">
        <f>CONCATENATE("54820289921")</f>
        <v>54820289921</v>
      </c>
      <c r="K2174" s="3" t="s">
        <v>33</v>
      </c>
      <c r="L2174" s="3"/>
      <c r="M2174" s="3" t="s">
        <v>131</v>
      </c>
      <c r="N2174" s="3" t="str">
        <f>CONCATENATE("CPRLRA68S51D749C")</f>
        <v>CPRLRA68S51D749C</v>
      </c>
      <c r="O2174" s="3" t="s">
        <v>2310</v>
      </c>
      <c r="P2174" s="3" t="s">
        <v>36</v>
      </c>
      <c r="Q2174" s="3"/>
      <c r="R2174" s="4">
        <v>45996</v>
      </c>
      <c r="S2174" s="3" t="s">
        <v>37</v>
      </c>
      <c r="T2174" s="3" t="s">
        <v>38</v>
      </c>
      <c r="U2174" s="3" t="s">
        <v>39</v>
      </c>
      <c r="V2174" s="3">
        <v>60.1</v>
      </c>
      <c r="W2174" s="3">
        <v>25.54</v>
      </c>
      <c r="X2174" s="3">
        <v>24.19</v>
      </c>
      <c r="Y2174" s="3">
        <v>10.37</v>
      </c>
    </row>
    <row r="2175" spans="1:25" ht="60.75" x14ac:dyDescent="0.25">
      <c r="A2175" s="3" t="s">
        <v>26</v>
      </c>
      <c r="B2175" s="3" t="s">
        <v>27</v>
      </c>
      <c r="C2175" s="3" t="s">
        <v>28</v>
      </c>
      <c r="D2175" s="3" t="s">
        <v>91</v>
      </c>
      <c r="E2175" s="3" t="s">
        <v>92</v>
      </c>
      <c r="F2175" s="3" t="s">
        <v>93</v>
      </c>
      <c r="G2175" s="3" t="s">
        <v>92</v>
      </c>
      <c r="H2175" s="3" t="s">
        <v>48</v>
      </c>
      <c r="I2175" s="3">
        <v>2025</v>
      </c>
      <c r="J2175" s="3" t="str">
        <f>CONCATENATE("54820009022")</f>
        <v>54820009022</v>
      </c>
      <c r="K2175" s="3" t="s">
        <v>33</v>
      </c>
      <c r="L2175" s="3"/>
      <c r="M2175" s="3" t="s">
        <v>131</v>
      </c>
      <c r="N2175" s="3" t="str">
        <f>CONCATENATE("FMSCHR66H62F205P")</f>
        <v>FMSCHR66H62F205P</v>
      </c>
      <c r="O2175" s="3" t="s">
        <v>2311</v>
      </c>
      <c r="P2175" s="3" t="s">
        <v>36</v>
      </c>
      <c r="Q2175" s="3"/>
      <c r="R2175" s="4">
        <v>45996</v>
      </c>
      <c r="S2175" s="3" t="s">
        <v>37</v>
      </c>
      <c r="T2175" s="3" t="s">
        <v>38</v>
      </c>
      <c r="U2175" s="3" t="s">
        <v>39</v>
      </c>
      <c r="V2175" s="5">
        <v>7283.1</v>
      </c>
      <c r="W2175" s="5">
        <v>3095.32</v>
      </c>
      <c r="X2175" s="5">
        <v>2931.45</v>
      </c>
      <c r="Y2175" s="5">
        <v>1256.33</v>
      </c>
    </row>
    <row r="2176" spans="1:25" ht="36.75" x14ac:dyDescent="0.25">
      <c r="A2176" s="3" t="s">
        <v>26</v>
      </c>
      <c r="B2176" s="3" t="s">
        <v>27</v>
      </c>
      <c r="C2176" s="3" t="s">
        <v>28</v>
      </c>
      <c r="D2176" s="3" t="s">
        <v>40</v>
      </c>
      <c r="E2176" s="3" t="s">
        <v>218</v>
      </c>
      <c r="F2176" s="3" t="s">
        <v>42</v>
      </c>
      <c r="G2176" s="3" t="s">
        <v>218</v>
      </c>
      <c r="H2176" s="3" t="s">
        <v>45</v>
      </c>
      <c r="I2176" s="3">
        <v>2025</v>
      </c>
      <c r="J2176" s="3" t="str">
        <f>CONCATENATE("54820026562")</f>
        <v>54820026562</v>
      </c>
      <c r="K2176" s="3" t="s">
        <v>33</v>
      </c>
      <c r="L2176" s="3"/>
      <c r="M2176" s="3" t="s">
        <v>131</v>
      </c>
      <c r="N2176" s="3" t="str">
        <f>CONCATENATE("02402330415")</f>
        <v>02402330415</v>
      </c>
      <c r="O2176" s="3" t="s">
        <v>2312</v>
      </c>
      <c r="P2176" s="3" t="s">
        <v>36</v>
      </c>
      <c r="Q2176" s="3"/>
      <c r="R2176" s="4">
        <v>45996</v>
      </c>
      <c r="S2176" s="3" t="s">
        <v>37</v>
      </c>
      <c r="T2176" s="3" t="s">
        <v>38</v>
      </c>
      <c r="U2176" s="3" t="s">
        <v>39</v>
      </c>
      <c r="V2176" s="3">
        <v>708.06</v>
      </c>
      <c r="W2176" s="3">
        <v>300.93</v>
      </c>
      <c r="X2176" s="3">
        <v>284.99</v>
      </c>
      <c r="Y2176" s="3">
        <v>122.14</v>
      </c>
    </row>
    <row r="2177" spans="1:25" ht="60.75" x14ac:dyDescent="0.25">
      <c r="A2177" s="3" t="s">
        <v>26</v>
      </c>
      <c r="B2177" s="3" t="s">
        <v>27</v>
      </c>
      <c r="C2177" s="3" t="s">
        <v>28</v>
      </c>
      <c r="D2177" s="3" t="s">
        <v>40</v>
      </c>
      <c r="E2177" s="3" t="s">
        <v>287</v>
      </c>
      <c r="F2177" s="3" t="s">
        <v>42</v>
      </c>
      <c r="G2177" s="3" t="s">
        <v>287</v>
      </c>
      <c r="H2177" s="3" t="s">
        <v>32</v>
      </c>
      <c r="I2177" s="3">
        <v>2025</v>
      </c>
      <c r="J2177" s="3" t="str">
        <f>CONCATENATE("54820015219")</f>
        <v>54820015219</v>
      </c>
      <c r="K2177" s="3" t="s">
        <v>33</v>
      </c>
      <c r="L2177" s="3"/>
      <c r="M2177" s="3" t="s">
        <v>131</v>
      </c>
      <c r="N2177" s="3" t="str">
        <f>CONCATENATE("CCCRRT65S08B474D")</f>
        <v>CCCRRT65S08B474D</v>
      </c>
      <c r="O2177" s="3" t="s">
        <v>2313</v>
      </c>
      <c r="P2177" s="3" t="s">
        <v>36</v>
      </c>
      <c r="Q2177" s="3"/>
      <c r="R2177" s="4">
        <v>45996</v>
      </c>
      <c r="S2177" s="3" t="s">
        <v>37</v>
      </c>
      <c r="T2177" s="3" t="s">
        <v>38</v>
      </c>
      <c r="U2177" s="3" t="s">
        <v>39</v>
      </c>
      <c r="V2177" s="3">
        <v>674.46</v>
      </c>
      <c r="W2177" s="3">
        <v>286.64999999999998</v>
      </c>
      <c r="X2177" s="3">
        <v>271.47000000000003</v>
      </c>
      <c r="Y2177" s="3">
        <v>116.34</v>
      </c>
    </row>
    <row r="2178" spans="1:25" ht="60.75" x14ac:dyDescent="0.25">
      <c r="A2178" s="3" t="s">
        <v>26</v>
      </c>
      <c r="B2178" s="3" t="s">
        <v>27</v>
      </c>
      <c r="C2178" s="3" t="s">
        <v>28</v>
      </c>
      <c r="D2178" s="3" t="s">
        <v>29</v>
      </c>
      <c r="E2178" s="3" t="s">
        <v>47</v>
      </c>
      <c r="F2178" s="3" t="s">
        <v>31</v>
      </c>
      <c r="G2178" s="3" t="s">
        <v>47</v>
      </c>
      <c r="H2178" s="3" t="s">
        <v>48</v>
      </c>
      <c r="I2178" s="3">
        <v>2025</v>
      </c>
      <c r="J2178" s="3" t="str">
        <f>CONCATENATE("54820013636")</f>
        <v>54820013636</v>
      </c>
      <c r="K2178" s="3" t="s">
        <v>33</v>
      </c>
      <c r="L2178" s="3"/>
      <c r="M2178" s="3" t="s">
        <v>131</v>
      </c>
      <c r="N2178" s="3" t="str">
        <f>CONCATENATE("RGLMRA53P30I653S")</f>
        <v>RGLMRA53P30I653S</v>
      </c>
      <c r="O2178" s="3" t="s">
        <v>2314</v>
      </c>
      <c r="P2178" s="3" t="s">
        <v>36</v>
      </c>
      <c r="Q2178" s="3"/>
      <c r="R2178" s="4">
        <v>45996</v>
      </c>
      <c r="S2178" s="3" t="s">
        <v>37</v>
      </c>
      <c r="T2178" s="3" t="s">
        <v>38</v>
      </c>
      <c r="U2178" s="3" t="s">
        <v>39</v>
      </c>
      <c r="V2178" s="3">
        <v>78.650000000000006</v>
      </c>
      <c r="W2178" s="3">
        <v>33.43</v>
      </c>
      <c r="X2178" s="3">
        <v>31.66</v>
      </c>
      <c r="Y2178" s="3">
        <v>13.56</v>
      </c>
    </row>
    <row r="2179" spans="1:25" ht="60.75" x14ac:dyDescent="0.25">
      <c r="A2179" s="3" t="s">
        <v>26</v>
      </c>
      <c r="B2179" s="3" t="s">
        <v>27</v>
      </c>
      <c r="C2179" s="3" t="s">
        <v>28</v>
      </c>
      <c r="D2179" s="3" t="s">
        <v>40</v>
      </c>
      <c r="E2179" s="3" t="s">
        <v>287</v>
      </c>
      <c r="F2179" s="3" t="s">
        <v>42</v>
      </c>
      <c r="G2179" s="3" t="s">
        <v>287</v>
      </c>
      <c r="H2179" s="3" t="s">
        <v>32</v>
      </c>
      <c r="I2179" s="3">
        <v>2025</v>
      </c>
      <c r="J2179" s="3" t="str">
        <f>CONCATENATE("54820016266")</f>
        <v>54820016266</v>
      </c>
      <c r="K2179" s="3" t="s">
        <v>33</v>
      </c>
      <c r="L2179" s="3"/>
      <c r="M2179" s="3" t="s">
        <v>131</v>
      </c>
      <c r="N2179" s="3" t="str">
        <f>CONCATENATE("GRDMTR40M59C100I")</f>
        <v>GRDMTR40M59C100I</v>
      </c>
      <c r="O2179" s="3" t="s">
        <v>2315</v>
      </c>
      <c r="P2179" s="3" t="s">
        <v>36</v>
      </c>
      <c r="Q2179" s="3"/>
      <c r="R2179" s="4">
        <v>45996</v>
      </c>
      <c r="S2179" s="3" t="s">
        <v>37</v>
      </c>
      <c r="T2179" s="3" t="s">
        <v>38</v>
      </c>
      <c r="U2179" s="3" t="s">
        <v>39</v>
      </c>
      <c r="V2179" s="3">
        <v>370.8</v>
      </c>
      <c r="W2179" s="3">
        <v>157.59</v>
      </c>
      <c r="X2179" s="3">
        <v>149.25</v>
      </c>
      <c r="Y2179" s="3">
        <v>63.96</v>
      </c>
    </row>
    <row r="2180" spans="1:25" ht="72.75" x14ac:dyDescent="0.25">
      <c r="A2180" s="3" t="s">
        <v>26</v>
      </c>
      <c r="B2180" s="3" t="s">
        <v>27</v>
      </c>
      <c r="C2180" s="3" t="s">
        <v>28</v>
      </c>
      <c r="D2180" s="3" t="s">
        <v>29</v>
      </c>
      <c r="E2180" s="3" t="s">
        <v>119</v>
      </c>
      <c r="F2180" s="3" t="s">
        <v>31</v>
      </c>
      <c r="G2180" s="3" t="s">
        <v>119</v>
      </c>
      <c r="H2180" s="3" t="s">
        <v>96</v>
      </c>
      <c r="I2180" s="3">
        <v>2025</v>
      </c>
      <c r="J2180" s="3" t="str">
        <f>CONCATENATE("54820012257")</f>
        <v>54820012257</v>
      </c>
      <c r="K2180" s="3" t="s">
        <v>33</v>
      </c>
      <c r="L2180" s="3"/>
      <c r="M2180" s="3" t="s">
        <v>131</v>
      </c>
      <c r="N2180" s="3" t="str">
        <f>CONCATENATE("MRNDVD91P24A252S")</f>
        <v>MRNDVD91P24A252S</v>
      </c>
      <c r="O2180" s="3" t="s">
        <v>2316</v>
      </c>
      <c r="P2180" s="3" t="s">
        <v>36</v>
      </c>
      <c r="Q2180" s="3"/>
      <c r="R2180" s="4">
        <v>45996</v>
      </c>
      <c r="S2180" s="3" t="s">
        <v>37</v>
      </c>
      <c r="T2180" s="3" t="s">
        <v>38</v>
      </c>
      <c r="U2180" s="3" t="s">
        <v>39</v>
      </c>
      <c r="V2180" s="3">
        <v>194.64</v>
      </c>
      <c r="W2180" s="3">
        <v>82.72</v>
      </c>
      <c r="X2180" s="3">
        <v>78.34</v>
      </c>
      <c r="Y2180" s="3">
        <v>33.58</v>
      </c>
    </row>
    <row r="2181" spans="1:25" ht="60.75" x14ac:dyDescent="0.25">
      <c r="A2181" s="3" t="s">
        <v>26</v>
      </c>
      <c r="B2181" s="3" t="s">
        <v>27</v>
      </c>
      <c r="C2181" s="3" t="s">
        <v>28</v>
      </c>
      <c r="D2181" s="3" t="s">
        <v>50</v>
      </c>
      <c r="E2181" s="3" t="s">
        <v>173</v>
      </c>
      <c r="F2181" s="3" t="s">
        <v>52</v>
      </c>
      <c r="G2181" s="3" t="s">
        <v>173</v>
      </c>
      <c r="H2181" s="3" t="s">
        <v>45</v>
      </c>
      <c r="I2181" s="3">
        <v>2025</v>
      </c>
      <c r="J2181" s="3" t="str">
        <f>CONCATENATE("54820015748")</f>
        <v>54820015748</v>
      </c>
      <c r="K2181" s="3" t="s">
        <v>33</v>
      </c>
      <c r="L2181" s="3"/>
      <c r="M2181" s="3" t="s">
        <v>131</v>
      </c>
      <c r="N2181" s="3" t="str">
        <f>CONCATENATE("MTACLD64B45G627T")</f>
        <v>MTACLD64B45G627T</v>
      </c>
      <c r="O2181" s="3" t="s">
        <v>2317</v>
      </c>
      <c r="P2181" s="3" t="s">
        <v>36</v>
      </c>
      <c r="Q2181" s="3"/>
      <c r="R2181" s="4">
        <v>45996</v>
      </c>
      <c r="S2181" s="3" t="s">
        <v>37</v>
      </c>
      <c r="T2181" s="3" t="s">
        <v>38</v>
      </c>
      <c r="U2181" s="3" t="s">
        <v>39</v>
      </c>
      <c r="V2181" s="3">
        <v>104.74</v>
      </c>
      <c r="W2181" s="3">
        <v>44.51</v>
      </c>
      <c r="X2181" s="3">
        <v>42.16</v>
      </c>
      <c r="Y2181" s="3">
        <v>18.07</v>
      </c>
    </row>
    <row r="2182" spans="1:25" ht="72.75" x14ac:dyDescent="0.25">
      <c r="A2182" s="3" t="s">
        <v>26</v>
      </c>
      <c r="B2182" s="3" t="s">
        <v>27</v>
      </c>
      <c r="C2182" s="3" t="s">
        <v>28</v>
      </c>
      <c r="D2182" s="3" t="s">
        <v>40</v>
      </c>
      <c r="E2182" s="3" t="s">
        <v>44</v>
      </c>
      <c r="F2182" s="3" t="s">
        <v>42</v>
      </c>
      <c r="G2182" s="3" t="s">
        <v>44</v>
      </c>
      <c r="H2182" s="3" t="s">
        <v>32</v>
      </c>
      <c r="I2182" s="3">
        <v>2025</v>
      </c>
      <c r="J2182" s="3" t="str">
        <f>CONCATENATE("54820016399")</f>
        <v>54820016399</v>
      </c>
      <c r="K2182" s="3" t="s">
        <v>33</v>
      </c>
      <c r="L2182" s="3"/>
      <c r="M2182" s="3" t="s">
        <v>131</v>
      </c>
      <c r="N2182" s="3" t="str">
        <f>CONCATENATE("MNGFNC73E47H501N")</f>
        <v>MNGFNC73E47H501N</v>
      </c>
      <c r="O2182" s="3" t="s">
        <v>2318</v>
      </c>
      <c r="P2182" s="3" t="s">
        <v>36</v>
      </c>
      <c r="Q2182" s="3"/>
      <c r="R2182" s="4">
        <v>45996</v>
      </c>
      <c r="S2182" s="3" t="s">
        <v>37</v>
      </c>
      <c r="T2182" s="3" t="s">
        <v>38</v>
      </c>
      <c r="U2182" s="3" t="s">
        <v>39</v>
      </c>
      <c r="V2182" s="3">
        <v>82.6</v>
      </c>
      <c r="W2182" s="3">
        <v>35.11</v>
      </c>
      <c r="X2182" s="3">
        <v>33.25</v>
      </c>
      <c r="Y2182" s="3">
        <v>14.24</v>
      </c>
    </row>
    <row r="2183" spans="1:25" ht="36.75" x14ac:dyDescent="0.25">
      <c r="A2183" s="3" t="s">
        <v>26</v>
      </c>
      <c r="B2183" s="3" t="s">
        <v>27</v>
      </c>
      <c r="C2183" s="3" t="s">
        <v>28</v>
      </c>
      <c r="D2183" s="3" t="s">
        <v>40</v>
      </c>
      <c r="E2183" s="3" t="s">
        <v>218</v>
      </c>
      <c r="F2183" s="3" t="s">
        <v>42</v>
      </c>
      <c r="G2183" s="3" t="s">
        <v>218</v>
      </c>
      <c r="H2183" s="3" t="s">
        <v>45</v>
      </c>
      <c r="I2183" s="3">
        <v>2025</v>
      </c>
      <c r="J2183" s="3" t="str">
        <f>CONCATENATE("54820026737")</f>
        <v>54820026737</v>
      </c>
      <c r="K2183" s="3" t="s">
        <v>33</v>
      </c>
      <c r="L2183" s="3"/>
      <c r="M2183" s="3" t="s">
        <v>131</v>
      </c>
      <c r="N2183" s="3" t="str">
        <f>CONCATENATE("02351650417")</f>
        <v>02351650417</v>
      </c>
      <c r="O2183" s="3" t="s">
        <v>2319</v>
      </c>
      <c r="P2183" s="3" t="s">
        <v>36</v>
      </c>
      <c r="Q2183" s="3"/>
      <c r="R2183" s="4">
        <v>45996</v>
      </c>
      <c r="S2183" s="3" t="s">
        <v>37</v>
      </c>
      <c r="T2183" s="3" t="s">
        <v>38</v>
      </c>
      <c r="U2183" s="3" t="s">
        <v>39</v>
      </c>
      <c r="V2183" s="3">
        <v>405.29</v>
      </c>
      <c r="W2183" s="3">
        <v>172.25</v>
      </c>
      <c r="X2183" s="3">
        <v>163.13</v>
      </c>
      <c r="Y2183" s="3">
        <v>69.91</v>
      </c>
    </row>
    <row r="2184" spans="1:25" ht="60.75" x14ac:dyDescent="0.25">
      <c r="A2184" s="3" t="s">
        <v>26</v>
      </c>
      <c r="B2184" s="3" t="s">
        <v>27</v>
      </c>
      <c r="C2184" s="3" t="s">
        <v>28</v>
      </c>
      <c r="D2184" s="3" t="s">
        <v>29</v>
      </c>
      <c r="E2184" s="3" t="s">
        <v>136</v>
      </c>
      <c r="F2184" s="3" t="s">
        <v>31</v>
      </c>
      <c r="G2184" s="3" t="s">
        <v>136</v>
      </c>
      <c r="H2184" s="3" t="s">
        <v>48</v>
      </c>
      <c r="I2184" s="3">
        <v>2025</v>
      </c>
      <c r="J2184" s="3" t="str">
        <f>CONCATENATE("54820018759")</f>
        <v>54820018759</v>
      </c>
      <c r="K2184" s="3" t="s">
        <v>33</v>
      </c>
      <c r="L2184" s="3"/>
      <c r="M2184" s="3" t="s">
        <v>131</v>
      </c>
      <c r="N2184" s="3" t="str">
        <f>CONCATENATE("BRNGFR47T11I461X")</f>
        <v>BRNGFR47T11I461X</v>
      </c>
      <c r="O2184" s="3" t="s">
        <v>2320</v>
      </c>
      <c r="P2184" s="3" t="s">
        <v>36</v>
      </c>
      <c r="Q2184" s="3"/>
      <c r="R2184" s="4">
        <v>45996</v>
      </c>
      <c r="S2184" s="3" t="s">
        <v>37</v>
      </c>
      <c r="T2184" s="3" t="s">
        <v>38</v>
      </c>
      <c r="U2184" s="3" t="s">
        <v>39</v>
      </c>
      <c r="V2184" s="3">
        <v>165.03</v>
      </c>
      <c r="W2184" s="3">
        <v>70.14</v>
      </c>
      <c r="X2184" s="3">
        <v>66.42</v>
      </c>
      <c r="Y2184" s="3">
        <v>28.47</v>
      </c>
    </row>
    <row r="2185" spans="1:25" ht="60.75" x14ac:dyDescent="0.25">
      <c r="A2185" s="3" t="s">
        <v>26</v>
      </c>
      <c r="B2185" s="3" t="s">
        <v>27</v>
      </c>
      <c r="C2185" s="3" t="s">
        <v>28</v>
      </c>
      <c r="D2185" s="3" t="s">
        <v>29</v>
      </c>
      <c r="E2185" s="3" t="s">
        <v>136</v>
      </c>
      <c r="F2185" s="3" t="s">
        <v>31</v>
      </c>
      <c r="G2185" s="3" t="s">
        <v>136</v>
      </c>
      <c r="H2185" s="3" t="s">
        <v>48</v>
      </c>
      <c r="I2185" s="3">
        <v>2025</v>
      </c>
      <c r="J2185" s="3" t="str">
        <f>CONCATENATE("54820018866")</f>
        <v>54820018866</v>
      </c>
      <c r="K2185" s="3" t="s">
        <v>33</v>
      </c>
      <c r="L2185" s="3"/>
      <c r="M2185" s="3" t="s">
        <v>131</v>
      </c>
      <c r="N2185" s="3" t="str">
        <f>CONCATENATE("DLNMHL48P29D403K")</f>
        <v>DLNMHL48P29D403K</v>
      </c>
      <c r="O2185" s="3" t="s">
        <v>2321</v>
      </c>
      <c r="P2185" s="3" t="s">
        <v>36</v>
      </c>
      <c r="Q2185" s="3"/>
      <c r="R2185" s="4">
        <v>45996</v>
      </c>
      <c r="S2185" s="3" t="s">
        <v>37</v>
      </c>
      <c r="T2185" s="3" t="s">
        <v>38</v>
      </c>
      <c r="U2185" s="3" t="s">
        <v>39</v>
      </c>
      <c r="V2185" s="3">
        <v>190.35</v>
      </c>
      <c r="W2185" s="3">
        <v>80.900000000000006</v>
      </c>
      <c r="X2185" s="3">
        <v>76.62</v>
      </c>
      <c r="Y2185" s="3">
        <v>32.83</v>
      </c>
    </row>
    <row r="2186" spans="1:25" ht="36.75" x14ac:dyDescent="0.25">
      <c r="A2186" s="3" t="s">
        <v>26</v>
      </c>
      <c r="B2186" s="3" t="s">
        <v>27</v>
      </c>
      <c r="C2186" s="3" t="s">
        <v>28</v>
      </c>
      <c r="D2186" s="3" t="s">
        <v>104</v>
      </c>
      <c r="E2186" s="3" t="s">
        <v>141</v>
      </c>
      <c r="F2186" s="3" t="s">
        <v>104</v>
      </c>
      <c r="G2186" s="3" t="s">
        <v>141</v>
      </c>
      <c r="H2186" s="3" t="s">
        <v>96</v>
      </c>
      <c r="I2186" s="3">
        <v>2025</v>
      </c>
      <c r="J2186" s="3" t="str">
        <f>CONCATENATE("54820281522")</f>
        <v>54820281522</v>
      </c>
      <c r="K2186" s="3" t="s">
        <v>33</v>
      </c>
      <c r="L2186" s="3"/>
      <c r="M2186" s="3" t="s">
        <v>131</v>
      </c>
      <c r="N2186" s="3" t="str">
        <f>CONCATENATE("02361410448")</f>
        <v>02361410448</v>
      </c>
      <c r="O2186" s="3" t="s">
        <v>2322</v>
      </c>
      <c r="P2186" s="3" t="s">
        <v>36</v>
      </c>
      <c r="Q2186" s="3"/>
      <c r="R2186" s="4">
        <v>45996</v>
      </c>
      <c r="S2186" s="3" t="s">
        <v>37</v>
      </c>
      <c r="T2186" s="3" t="s">
        <v>38</v>
      </c>
      <c r="U2186" s="3" t="s">
        <v>39</v>
      </c>
      <c r="V2186" s="3">
        <v>93.49</v>
      </c>
      <c r="W2186" s="3">
        <v>39.729999999999997</v>
      </c>
      <c r="X2186" s="3">
        <v>37.630000000000003</v>
      </c>
      <c r="Y2186" s="3">
        <v>16.13</v>
      </c>
    </row>
    <row r="2187" spans="1:25" ht="60.75" x14ac:dyDescent="0.25">
      <c r="A2187" s="3" t="s">
        <v>26</v>
      </c>
      <c r="B2187" s="3" t="s">
        <v>27</v>
      </c>
      <c r="C2187" s="3" t="s">
        <v>28</v>
      </c>
      <c r="D2187" s="3" t="s">
        <v>50</v>
      </c>
      <c r="E2187" s="3" t="s">
        <v>147</v>
      </c>
      <c r="F2187" s="3" t="s">
        <v>52</v>
      </c>
      <c r="G2187" s="3" t="s">
        <v>147</v>
      </c>
      <c r="H2187" s="3" t="s">
        <v>45</v>
      </c>
      <c r="I2187" s="3">
        <v>2025</v>
      </c>
      <c r="J2187" s="3" t="str">
        <f>CONCATENATE("54820369772")</f>
        <v>54820369772</v>
      </c>
      <c r="K2187" s="3" t="s">
        <v>33</v>
      </c>
      <c r="L2187" s="3"/>
      <c r="M2187" s="3" t="s">
        <v>131</v>
      </c>
      <c r="N2187" s="3" t="str">
        <f>CONCATENATE("BLTCRN56L66D587D")</f>
        <v>BLTCRN56L66D587D</v>
      </c>
      <c r="O2187" s="3" t="s">
        <v>2323</v>
      </c>
      <c r="P2187" s="3" t="s">
        <v>36</v>
      </c>
      <c r="Q2187" s="3"/>
      <c r="R2187" s="4">
        <v>45996</v>
      </c>
      <c r="S2187" s="3" t="s">
        <v>37</v>
      </c>
      <c r="T2187" s="3" t="s">
        <v>38</v>
      </c>
      <c r="U2187" s="3" t="s">
        <v>39</v>
      </c>
      <c r="V2187" s="3">
        <v>229.91</v>
      </c>
      <c r="W2187" s="3">
        <v>97.71</v>
      </c>
      <c r="X2187" s="3">
        <v>92.54</v>
      </c>
      <c r="Y2187" s="3">
        <v>39.659999999999997</v>
      </c>
    </row>
    <row r="2188" spans="1:25" ht="60.75" x14ac:dyDescent="0.25">
      <c r="A2188" s="3" t="s">
        <v>26</v>
      </c>
      <c r="B2188" s="3" t="s">
        <v>27</v>
      </c>
      <c r="C2188" s="3" t="s">
        <v>28</v>
      </c>
      <c r="D2188" s="3" t="s">
        <v>29</v>
      </c>
      <c r="E2188" s="3" t="s">
        <v>47</v>
      </c>
      <c r="F2188" s="3" t="s">
        <v>31</v>
      </c>
      <c r="G2188" s="3" t="s">
        <v>47</v>
      </c>
      <c r="H2188" s="3" t="s">
        <v>48</v>
      </c>
      <c r="I2188" s="3">
        <v>2025</v>
      </c>
      <c r="J2188" s="3" t="str">
        <f>CONCATENATE("54820103056")</f>
        <v>54820103056</v>
      </c>
      <c r="K2188" s="3" t="s">
        <v>33</v>
      </c>
      <c r="L2188" s="3"/>
      <c r="M2188" s="3" t="s">
        <v>131</v>
      </c>
      <c r="N2188" s="3" t="str">
        <f>CONCATENATE("MNCLSN75E08D451J")</f>
        <v>MNCLSN75E08D451J</v>
      </c>
      <c r="O2188" s="3" t="s">
        <v>2324</v>
      </c>
      <c r="P2188" s="3" t="s">
        <v>36</v>
      </c>
      <c r="Q2188" s="3"/>
      <c r="R2188" s="4">
        <v>45996</v>
      </c>
      <c r="S2188" s="3" t="s">
        <v>37</v>
      </c>
      <c r="T2188" s="3" t="s">
        <v>38</v>
      </c>
      <c r="U2188" s="3" t="s">
        <v>39</v>
      </c>
      <c r="V2188" s="3">
        <v>164.34</v>
      </c>
      <c r="W2188" s="3">
        <v>69.84</v>
      </c>
      <c r="X2188" s="3">
        <v>66.150000000000006</v>
      </c>
      <c r="Y2188" s="3">
        <v>28.35</v>
      </c>
    </row>
    <row r="2189" spans="1:25" ht="60.75" x14ac:dyDescent="0.25">
      <c r="A2189" s="3" t="s">
        <v>26</v>
      </c>
      <c r="B2189" s="3" t="s">
        <v>27</v>
      </c>
      <c r="C2189" s="3" t="s">
        <v>28</v>
      </c>
      <c r="D2189" s="3" t="s">
        <v>29</v>
      </c>
      <c r="E2189" s="3" t="s">
        <v>47</v>
      </c>
      <c r="F2189" s="3" t="s">
        <v>31</v>
      </c>
      <c r="G2189" s="3" t="s">
        <v>47</v>
      </c>
      <c r="H2189" s="3" t="s">
        <v>48</v>
      </c>
      <c r="I2189" s="3">
        <v>2025</v>
      </c>
      <c r="J2189" s="3" t="str">
        <f>CONCATENATE("54820366273")</f>
        <v>54820366273</v>
      </c>
      <c r="K2189" s="3" t="s">
        <v>33</v>
      </c>
      <c r="L2189" s="3"/>
      <c r="M2189" s="3" t="s">
        <v>131</v>
      </c>
      <c r="N2189" s="3" t="str">
        <f>CONCATENATE("PCRTTL84T19D451D")</f>
        <v>PCRTTL84T19D451D</v>
      </c>
      <c r="O2189" s="3" t="s">
        <v>2325</v>
      </c>
      <c r="P2189" s="3" t="s">
        <v>36</v>
      </c>
      <c r="Q2189" s="3"/>
      <c r="R2189" s="4">
        <v>45996</v>
      </c>
      <c r="S2189" s="3" t="s">
        <v>37</v>
      </c>
      <c r="T2189" s="3" t="s">
        <v>38</v>
      </c>
      <c r="U2189" s="3" t="s">
        <v>39</v>
      </c>
      <c r="V2189" s="5">
        <v>1515.05</v>
      </c>
      <c r="W2189" s="3">
        <v>643.9</v>
      </c>
      <c r="X2189" s="3">
        <v>609.80999999999995</v>
      </c>
      <c r="Y2189" s="3">
        <v>261.33999999999997</v>
      </c>
    </row>
    <row r="2190" spans="1:25" ht="60.75" x14ac:dyDescent="0.25">
      <c r="A2190" s="3" t="s">
        <v>26</v>
      </c>
      <c r="B2190" s="3" t="s">
        <v>27</v>
      </c>
      <c r="C2190" s="3" t="s">
        <v>28</v>
      </c>
      <c r="D2190" s="3" t="s">
        <v>29</v>
      </c>
      <c r="E2190" s="3" t="s">
        <v>136</v>
      </c>
      <c r="F2190" s="3" t="s">
        <v>31</v>
      </c>
      <c r="G2190" s="3" t="s">
        <v>136</v>
      </c>
      <c r="H2190" s="3" t="s">
        <v>48</v>
      </c>
      <c r="I2190" s="3">
        <v>2025</v>
      </c>
      <c r="J2190" s="3" t="str">
        <f>CONCATENATE("54820236963")</f>
        <v>54820236963</v>
      </c>
      <c r="K2190" s="3" t="s">
        <v>33</v>
      </c>
      <c r="L2190" s="3"/>
      <c r="M2190" s="3" t="s">
        <v>131</v>
      </c>
      <c r="N2190" s="3" t="str">
        <f>CONCATENATE("TRBFNC04S02A271O")</f>
        <v>TRBFNC04S02A271O</v>
      </c>
      <c r="O2190" s="3" t="s">
        <v>2326</v>
      </c>
      <c r="P2190" s="3" t="s">
        <v>36</v>
      </c>
      <c r="Q2190" s="3"/>
      <c r="R2190" s="4">
        <v>45996</v>
      </c>
      <c r="S2190" s="3" t="s">
        <v>37</v>
      </c>
      <c r="T2190" s="3" t="s">
        <v>38</v>
      </c>
      <c r="U2190" s="3" t="s">
        <v>39</v>
      </c>
      <c r="V2190" s="3">
        <v>453.99</v>
      </c>
      <c r="W2190" s="3">
        <v>192.95</v>
      </c>
      <c r="X2190" s="3">
        <v>182.73</v>
      </c>
      <c r="Y2190" s="3">
        <v>78.31</v>
      </c>
    </row>
    <row r="2191" spans="1:25" ht="60.75" x14ac:dyDescent="0.25">
      <c r="A2191" s="3" t="s">
        <v>26</v>
      </c>
      <c r="B2191" s="3" t="s">
        <v>27</v>
      </c>
      <c r="C2191" s="3" t="s">
        <v>28</v>
      </c>
      <c r="D2191" s="3" t="s">
        <v>104</v>
      </c>
      <c r="E2191" s="3" t="s">
        <v>268</v>
      </c>
      <c r="F2191" s="3" t="s">
        <v>104</v>
      </c>
      <c r="G2191" s="3" t="s">
        <v>268</v>
      </c>
      <c r="H2191" s="3" t="s">
        <v>32</v>
      </c>
      <c r="I2191" s="3">
        <v>2025</v>
      </c>
      <c r="J2191" s="3" t="str">
        <f>CONCATENATE("54820103270")</f>
        <v>54820103270</v>
      </c>
      <c r="K2191" s="3" t="s">
        <v>33</v>
      </c>
      <c r="L2191" s="3"/>
      <c r="M2191" s="3" t="s">
        <v>131</v>
      </c>
      <c r="N2191" s="3" t="str">
        <f>CONCATENATE("MGGJTN88E01I156J")</f>
        <v>MGGJTN88E01I156J</v>
      </c>
      <c r="O2191" s="3" t="s">
        <v>2327</v>
      </c>
      <c r="P2191" s="3" t="s">
        <v>36</v>
      </c>
      <c r="Q2191" s="3"/>
      <c r="R2191" s="4">
        <v>45996</v>
      </c>
      <c r="S2191" s="3" t="s">
        <v>37</v>
      </c>
      <c r="T2191" s="3" t="s">
        <v>38</v>
      </c>
      <c r="U2191" s="3" t="s">
        <v>39</v>
      </c>
      <c r="V2191" s="3">
        <v>755.65</v>
      </c>
      <c r="W2191" s="3">
        <v>321.14999999999998</v>
      </c>
      <c r="X2191" s="3">
        <v>304.14999999999998</v>
      </c>
      <c r="Y2191" s="3">
        <v>130.35</v>
      </c>
    </row>
    <row r="2192" spans="1:25" ht="60.75" x14ac:dyDescent="0.25">
      <c r="A2192" s="3" t="s">
        <v>26</v>
      </c>
      <c r="B2192" s="3" t="s">
        <v>27</v>
      </c>
      <c r="C2192" s="3" t="s">
        <v>28</v>
      </c>
      <c r="D2192" s="3" t="s">
        <v>29</v>
      </c>
      <c r="E2192" s="3" t="s">
        <v>47</v>
      </c>
      <c r="F2192" s="3" t="s">
        <v>31</v>
      </c>
      <c r="G2192" s="3" t="s">
        <v>47</v>
      </c>
      <c r="H2192" s="3" t="s">
        <v>48</v>
      </c>
      <c r="I2192" s="3">
        <v>2025</v>
      </c>
      <c r="J2192" s="3" t="str">
        <f>CONCATENATE("54820207329")</f>
        <v>54820207329</v>
      </c>
      <c r="K2192" s="3" t="s">
        <v>33</v>
      </c>
      <c r="L2192" s="3"/>
      <c r="M2192" s="3" t="s">
        <v>131</v>
      </c>
      <c r="N2192" s="3" t="str">
        <f>CONCATENATE("PGLCLD61T03I653Q")</f>
        <v>PGLCLD61T03I653Q</v>
      </c>
      <c r="O2192" s="3" t="s">
        <v>2328</v>
      </c>
      <c r="P2192" s="3" t="s">
        <v>36</v>
      </c>
      <c r="Q2192" s="3"/>
      <c r="R2192" s="4">
        <v>45996</v>
      </c>
      <c r="S2192" s="3" t="s">
        <v>37</v>
      </c>
      <c r="T2192" s="3" t="s">
        <v>38</v>
      </c>
      <c r="U2192" s="3" t="s">
        <v>39</v>
      </c>
      <c r="V2192" s="3">
        <v>361.1</v>
      </c>
      <c r="W2192" s="3">
        <v>153.47</v>
      </c>
      <c r="X2192" s="3">
        <v>145.34</v>
      </c>
      <c r="Y2192" s="3">
        <v>62.29</v>
      </c>
    </row>
    <row r="2193" spans="1:25" ht="60.75" x14ac:dyDescent="0.25">
      <c r="A2193" s="3" t="s">
        <v>26</v>
      </c>
      <c r="B2193" s="3" t="s">
        <v>27</v>
      </c>
      <c r="C2193" s="3" t="s">
        <v>28</v>
      </c>
      <c r="D2193" s="3" t="s">
        <v>50</v>
      </c>
      <c r="E2193" s="3" t="s">
        <v>173</v>
      </c>
      <c r="F2193" s="3" t="s">
        <v>52</v>
      </c>
      <c r="G2193" s="3" t="s">
        <v>173</v>
      </c>
      <c r="H2193" s="3" t="s">
        <v>45</v>
      </c>
      <c r="I2193" s="3">
        <v>2025</v>
      </c>
      <c r="J2193" s="3" t="str">
        <f>CONCATENATE("54820048434")</f>
        <v>54820048434</v>
      </c>
      <c r="K2193" s="3" t="s">
        <v>33</v>
      </c>
      <c r="L2193" s="3"/>
      <c r="M2193" s="3" t="s">
        <v>131</v>
      </c>
      <c r="N2193" s="3" t="str">
        <f>CONCATENATE("BLDMTT93T31I459R")</f>
        <v>BLDMTT93T31I459R</v>
      </c>
      <c r="O2193" s="3" t="s">
        <v>2329</v>
      </c>
      <c r="P2193" s="3" t="s">
        <v>36</v>
      </c>
      <c r="Q2193" s="3"/>
      <c r="R2193" s="4">
        <v>45996</v>
      </c>
      <c r="S2193" s="3" t="s">
        <v>37</v>
      </c>
      <c r="T2193" s="3" t="s">
        <v>38</v>
      </c>
      <c r="U2193" s="3" t="s">
        <v>39</v>
      </c>
      <c r="V2193" s="3">
        <v>82.71</v>
      </c>
      <c r="W2193" s="3">
        <v>35.15</v>
      </c>
      <c r="X2193" s="3">
        <v>33.29</v>
      </c>
      <c r="Y2193" s="3">
        <v>14.27</v>
      </c>
    </row>
    <row r="2194" spans="1:25" ht="60.75" x14ac:dyDescent="0.25">
      <c r="A2194" s="3" t="s">
        <v>26</v>
      </c>
      <c r="B2194" s="3" t="s">
        <v>27</v>
      </c>
      <c r="C2194" s="3" t="s">
        <v>28</v>
      </c>
      <c r="D2194" s="3" t="s">
        <v>29</v>
      </c>
      <c r="E2194" s="3" t="s">
        <v>228</v>
      </c>
      <c r="F2194" s="3" t="s">
        <v>31</v>
      </c>
      <c r="G2194" s="3" t="s">
        <v>228</v>
      </c>
      <c r="H2194" s="3" t="s">
        <v>45</v>
      </c>
      <c r="I2194" s="3">
        <v>2025</v>
      </c>
      <c r="J2194" s="3" t="str">
        <f>CONCATENATE("54820053988")</f>
        <v>54820053988</v>
      </c>
      <c r="K2194" s="3" t="s">
        <v>33</v>
      </c>
      <c r="L2194" s="3"/>
      <c r="M2194" s="3" t="s">
        <v>131</v>
      </c>
      <c r="N2194" s="3" t="str">
        <f>CONCATENATE("FCCFNC44E31D749N")</f>
        <v>FCCFNC44E31D749N</v>
      </c>
      <c r="O2194" s="3" t="s">
        <v>2330</v>
      </c>
      <c r="P2194" s="3" t="s">
        <v>36</v>
      </c>
      <c r="Q2194" s="3"/>
      <c r="R2194" s="4">
        <v>45996</v>
      </c>
      <c r="S2194" s="3" t="s">
        <v>37</v>
      </c>
      <c r="T2194" s="3" t="s">
        <v>38</v>
      </c>
      <c r="U2194" s="3" t="s">
        <v>39</v>
      </c>
      <c r="V2194" s="3">
        <v>144.03</v>
      </c>
      <c r="W2194" s="3">
        <v>61.21</v>
      </c>
      <c r="X2194" s="3">
        <v>57.97</v>
      </c>
      <c r="Y2194" s="3">
        <v>24.85</v>
      </c>
    </row>
    <row r="2195" spans="1:25" ht="60.75" x14ac:dyDescent="0.25">
      <c r="A2195" s="3" t="s">
        <v>26</v>
      </c>
      <c r="B2195" s="3" t="s">
        <v>27</v>
      </c>
      <c r="C2195" s="3" t="s">
        <v>28</v>
      </c>
      <c r="D2195" s="3" t="s">
        <v>50</v>
      </c>
      <c r="E2195" s="3" t="s">
        <v>173</v>
      </c>
      <c r="F2195" s="3" t="s">
        <v>52</v>
      </c>
      <c r="G2195" s="3" t="s">
        <v>173</v>
      </c>
      <c r="H2195" s="3" t="s">
        <v>45</v>
      </c>
      <c r="I2195" s="3">
        <v>2025</v>
      </c>
      <c r="J2195" s="3" t="str">
        <f>CONCATENATE("54820032768")</f>
        <v>54820032768</v>
      </c>
      <c r="K2195" s="3" t="s">
        <v>33</v>
      </c>
      <c r="L2195" s="3"/>
      <c r="M2195" s="3" t="s">
        <v>131</v>
      </c>
      <c r="N2195" s="3" t="str">
        <f>CONCATENATE("MRCLCN62P23I459L")</f>
        <v>MRCLCN62P23I459L</v>
      </c>
      <c r="O2195" s="3" t="s">
        <v>2331</v>
      </c>
      <c r="P2195" s="3" t="s">
        <v>36</v>
      </c>
      <c r="Q2195" s="3"/>
      <c r="R2195" s="4">
        <v>45996</v>
      </c>
      <c r="S2195" s="3" t="s">
        <v>37</v>
      </c>
      <c r="T2195" s="3" t="s">
        <v>38</v>
      </c>
      <c r="U2195" s="3" t="s">
        <v>39</v>
      </c>
      <c r="V2195" s="3">
        <v>182.43</v>
      </c>
      <c r="W2195" s="3">
        <v>77.53</v>
      </c>
      <c r="X2195" s="3">
        <v>73.430000000000007</v>
      </c>
      <c r="Y2195" s="3">
        <v>31.47</v>
      </c>
    </row>
    <row r="2196" spans="1:25" ht="36.75" x14ac:dyDescent="0.25">
      <c r="A2196" s="3" t="s">
        <v>26</v>
      </c>
      <c r="B2196" s="3" t="s">
        <v>27</v>
      </c>
      <c r="C2196" s="3" t="s">
        <v>28</v>
      </c>
      <c r="D2196" s="3" t="s">
        <v>40</v>
      </c>
      <c r="E2196" s="3" t="s">
        <v>54</v>
      </c>
      <c r="F2196" s="3" t="s">
        <v>42</v>
      </c>
      <c r="G2196" s="3" t="s">
        <v>54</v>
      </c>
      <c r="H2196" s="3" t="s">
        <v>45</v>
      </c>
      <c r="I2196" s="3">
        <v>2025</v>
      </c>
      <c r="J2196" s="3" t="str">
        <f>CONCATENATE("54820073234")</f>
        <v>54820073234</v>
      </c>
      <c r="K2196" s="3" t="s">
        <v>33</v>
      </c>
      <c r="L2196" s="3"/>
      <c r="M2196" s="3" t="s">
        <v>131</v>
      </c>
      <c r="N2196" s="3" t="str">
        <f>CONCATENATE("02840140418")</f>
        <v>02840140418</v>
      </c>
      <c r="O2196" s="3" t="s">
        <v>2332</v>
      </c>
      <c r="P2196" s="3" t="s">
        <v>36</v>
      </c>
      <c r="Q2196" s="3"/>
      <c r="R2196" s="4">
        <v>45996</v>
      </c>
      <c r="S2196" s="3" t="s">
        <v>37</v>
      </c>
      <c r="T2196" s="3" t="s">
        <v>38</v>
      </c>
      <c r="U2196" s="3" t="s">
        <v>39</v>
      </c>
      <c r="V2196" s="3">
        <v>844.21</v>
      </c>
      <c r="W2196" s="3">
        <v>358.79</v>
      </c>
      <c r="X2196" s="3">
        <v>339.79</v>
      </c>
      <c r="Y2196" s="3">
        <v>145.63</v>
      </c>
    </row>
    <row r="2197" spans="1:25" ht="60.75" x14ac:dyDescent="0.25">
      <c r="A2197" s="3" t="s">
        <v>26</v>
      </c>
      <c r="B2197" s="3" t="s">
        <v>27</v>
      </c>
      <c r="C2197" s="3" t="s">
        <v>28</v>
      </c>
      <c r="D2197" s="3" t="s">
        <v>29</v>
      </c>
      <c r="E2197" s="3" t="s">
        <v>72</v>
      </c>
      <c r="F2197" s="3" t="s">
        <v>31</v>
      </c>
      <c r="G2197" s="3" t="s">
        <v>72</v>
      </c>
      <c r="H2197" s="3" t="s">
        <v>45</v>
      </c>
      <c r="I2197" s="3">
        <v>2025</v>
      </c>
      <c r="J2197" s="3" t="str">
        <f>CONCATENATE("54820044052")</f>
        <v>54820044052</v>
      </c>
      <c r="K2197" s="3" t="s">
        <v>33</v>
      </c>
      <c r="L2197" s="3"/>
      <c r="M2197" s="3" t="s">
        <v>131</v>
      </c>
      <c r="N2197" s="3" t="str">
        <f>CONCATENATE("MRTMRZ55L04L500U")</f>
        <v>MRTMRZ55L04L500U</v>
      </c>
      <c r="O2197" s="3" t="s">
        <v>2333</v>
      </c>
      <c r="P2197" s="3" t="s">
        <v>36</v>
      </c>
      <c r="Q2197" s="3"/>
      <c r="R2197" s="4">
        <v>45996</v>
      </c>
      <c r="S2197" s="3" t="s">
        <v>37</v>
      </c>
      <c r="T2197" s="3" t="s">
        <v>38</v>
      </c>
      <c r="U2197" s="3" t="s">
        <v>39</v>
      </c>
      <c r="V2197" s="3">
        <v>135.31</v>
      </c>
      <c r="W2197" s="3">
        <v>57.51</v>
      </c>
      <c r="X2197" s="3">
        <v>54.46</v>
      </c>
      <c r="Y2197" s="3">
        <v>23.34</v>
      </c>
    </row>
    <row r="2198" spans="1:25" ht="60.75" x14ac:dyDescent="0.25">
      <c r="A2198" s="3" t="s">
        <v>26</v>
      </c>
      <c r="B2198" s="3" t="s">
        <v>27</v>
      </c>
      <c r="C2198" s="3" t="s">
        <v>28</v>
      </c>
      <c r="D2198" s="3" t="s">
        <v>104</v>
      </c>
      <c r="E2198" s="3" t="s">
        <v>691</v>
      </c>
      <c r="F2198" s="3" t="s">
        <v>104</v>
      </c>
      <c r="G2198" s="3" t="s">
        <v>691</v>
      </c>
      <c r="H2198" s="3" t="s">
        <v>48</v>
      </c>
      <c r="I2198" s="3">
        <v>2025</v>
      </c>
      <c r="J2198" s="3" t="str">
        <f>CONCATENATE("54820013446")</f>
        <v>54820013446</v>
      </c>
      <c r="K2198" s="3" t="s">
        <v>33</v>
      </c>
      <c r="L2198" s="3"/>
      <c r="M2198" s="3" t="s">
        <v>131</v>
      </c>
      <c r="N2198" s="3" t="str">
        <f>CONCATENATE("CRLSMN68H27I653N")</f>
        <v>CRLSMN68H27I653N</v>
      </c>
      <c r="O2198" s="3" t="s">
        <v>2334</v>
      </c>
      <c r="P2198" s="3" t="s">
        <v>36</v>
      </c>
      <c r="Q2198" s="3"/>
      <c r="R2198" s="4">
        <v>45996</v>
      </c>
      <c r="S2198" s="3" t="s">
        <v>37</v>
      </c>
      <c r="T2198" s="3" t="s">
        <v>38</v>
      </c>
      <c r="U2198" s="3" t="s">
        <v>39</v>
      </c>
      <c r="V2198" s="3">
        <v>107.18</v>
      </c>
      <c r="W2198" s="3">
        <v>45.55</v>
      </c>
      <c r="X2198" s="3">
        <v>43.14</v>
      </c>
      <c r="Y2198" s="3">
        <v>18.489999999999998</v>
      </c>
    </row>
    <row r="2199" spans="1:25" ht="60.75" x14ac:dyDescent="0.25">
      <c r="A2199" s="3" t="s">
        <v>26</v>
      </c>
      <c r="B2199" s="3" t="s">
        <v>27</v>
      </c>
      <c r="C2199" s="3" t="s">
        <v>28</v>
      </c>
      <c r="D2199" s="3" t="s">
        <v>40</v>
      </c>
      <c r="E2199" s="3" t="s">
        <v>54</v>
      </c>
      <c r="F2199" s="3" t="s">
        <v>42</v>
      </c>
      <c r="G2199" s="3" t="s">
        <v>54</v>
      </c>
      <c r="H2199" s="3" t="s">
        <v>45</v>
      </c>
      <c r="I2199" s="3">
        <v>2025</v>
      </c>
      <c r="J2199" s="3" t="str">
        <f>CONCATENATE("54820048285")</f>
        <v>54820048285</v>
      </c>
      <c r="K2199" s="3" t="s">
        <v>33</v>
      </c>
      <c r="L2199" s="3"/>
      <c r="M2199" s="3" t="s">
        <v>131</v>
      </c>
      <c r="N2199" s="3" t="str">
        <f>CONCATENATE("MRCMHL71L12G479V")</f>
        <v>MRCMHL71L12G479V</v>
      </c>
      <c r="O2199" s="3" t="s">
        <v>2335</v>
      </c>
      <c r="P2199" s="3" t="s">
        <v>36</v>
      </c>
      <c r="Q2199" s="3"/>
      <c r="R2199" s="4">
        <v>45996</v>
      </c>
      <c r="S2199" s="3" t="s">
        <v>37</v>
      </c>
      <c r="T2199" s="3" t="s">
        <v>38</v>
      </c>
      <c r="U2199" s="3" t="s">
        <v>39</v>
      </c>
      <c r="V2199" s="3">
        <v>282.88</v>
      </c>
      <c r="W2199" s="3">
        <v>120.22</v>
      </c>
      <c r="X2199" s="3">
        <v>113.86</v>
      </c>
      <c r="Y2199" s="3">
        <v>48.8</v>
      </c>
    </row>
    <row r="2200" spans="1:25" ht="60.75" x14ac:dyDescent="0.25">
      <c r="A2200" s="3" t="s">
        <v>26</v>
      </c>
      <c r="B2200" s="3" t="s">
        <v>27</v>
      </c>
      <c r="C2200" s="3" t="s">
        <v>28</v>
      </c>
      <c r="D2200" s="3" t="s">
        <v>29</v>
      </c>
      <c r="E2200" s="3" t="s">
        <v>47</v>
      </c>
      <c r="F2200" s="3" t="s">
        <v>31</v>
      </c>
      <c r="G2200" s="3" t="s">
        <v>47</v>
      </c>
      <c r="H2200" s="3" t="s">
        <v>48</v>
      </c>
      <c r="I2200" s="3">
        <v>2025</v>
      </c>
      <c r="J2200" s="3" t="str">
        <f>CONCATENATE("54820032412")</f>
        <v>54820032412</v>
      </c>
      <c r="K2200" s="3" t="s">
        <v>33</v>
      </c>
      <c r="L2200" s="3"/>
      <c r="M2200" s="3" t="s">
        <v>131</v>
      </c>
      <c r="N2200" s="3" t="str">
        <f>CONCATENATE("CTCLFR60D14D965P")</f>
        <v>CTCLFR60D14D965P</v>
      </c>
      <c r="O2200" s="3" t="s">
        <v>2336</v>
      </c>
      <c r="P2200" s="3" t="s">
        <v>36</v>
      </c>
      <c r="Q2200" s="3"/>
      <c r="R2200" s="4">
        <v>45996</v>
      </c>
      <c r="S2200" s="3" t="s">
        <v>37</v>
      </c>
      <c r="T2200" s="3" t="s">
        <v>38</v>
      </c>
      <c r="U2200" s="3" t="s">
        <v>39</v>
      </c>
      <c r="V2200" s="3">
        <v>544.84</v>
      </c>
      <c r="W2200" s="3">
        <v>231.56</v>
      </c>
      <c r="X2200" s="3">
        <v>219.3</v>
      </c>
      <c r="Y2200" s="3">
        <v>93.98</v>
      </c>
    </row>
    <row r="2201" spans="1:25" ht="60.75" x14ac:dyDescent="0.25">
      <c r="A2201" s="3" t="s">
        <v>26</v>
      </c>
      <c r="B2201" s="3" t="s">
        <v>27</v>
      </c>
      <c r="C2201" s="3" t="s">
        <v>28</v>
      </c>
      <c r="D2201" s="3" t="s">
        <v>40</v>
      </c>
      <c r="E2201" s="3" t="s">
        <v>287</v>
      </c>
      <c r="F2201" s="3" t="s">
        <v>42</v>
      </c>
      <c r="G2201" s="3" t="s">
        <v>287</v>
      </c>
      <c r="H2201" s="3" t="s">
        <v>32</v>
      </c>
      <c r="I2201" s="3">
        <v>2025</v>
      </c>
      <c r="J2201" s="3" t="str">
        <f>CONCATENATE("54820016472")</f>
        <v>54820016472</v>
      </c>
      <c r="K2201" s="3" t="s">
        <v>33</v>
      </c>
      <c r="L2201" s="3"/>
      <c r="M2201" s="3" t="s">
        <v>131</v>
      </c>
      <c r="N2201" s="3" t="str">
        <f>CONCATENATE("MRZPLG50C18B474R")</f>
        <v>MRZPLG50C18B474R</v>
      </c>
      <c r="O2201" s="3" t="s">
        <v>2337</v>
      </c>
      <c r="P2201" s="3" t="s">
        <v>36</v>
      </c>
      <c r="Q2201" s="3"/>
      <c r="R2201" s="4">
        <v>45996</v>
      </c>
      <c r="S2201" s="3" t="s">
        <v>37</v>
      </c>
      <c r="T2201" s="3" t="s">
        <v>38</v>
      </c>
      <c r="U2201" s="3" t="s">
        <v>39</v>
      </c>
      <c r="V2201" s="3">
        <v>190.46</v>
      </c>
      <c r="W2201" s="3">
        <v>80.95</v>
      </c>
      <c r="X2201" s="3">
        <v>76.66</v>
      </c>
      <c r="Y2201" s="3">
        <v>32.85</v>
      </c>
    </row>
    <row r="2202" spans="1:25" ht="60.75" x14ac:dyDescent="0.25">
      <c r="A2202" s="3" t="s">
        <v>26</v>
      </c>
      <c r="B2202" s="3" t="s">
        <v>27</v>
      </c>
      <c r="C2202" s="3" t="s">
        <v>28</v>
      </c>
      <c r="D2202" s="3" t="s">
        <v>29</v>
      </c>
      <c r="E2202" s="3" t="s">
        <v>186</v>
      </c>
      <c r="F2202" s="3" t="s">
        <v>31</v>
      </c>
      <c r="G2202" s="3" t="s">
        <v>186</v>
      </c>
      <c r="H2202" s="3" t="s">
        <v>45</v>
      </c>
      <c r="I2202" s="3">
        <v>2025</v>
      </c>
      <c r="J2202" s="3" t="str">
        <f>CONCATENATE("54820028949")</f>
        <v>54820028949</v>
      </c>
      <c r="K2202" s="3" t="s">
        <v>33</v>
      </c>
      <c r="L2202" s="3"/>
      <c r="M2202" s="3" t="s">
        <v>131</v>
      </c>
      <c r="N2202" s="3" t="str">
        <f>CONCATENATE("GGGNTN48T24F467Z")</f>
        <v>GGGNTN48T24F467Z</v>
      </c>
      <c r="O2202" s="3" t="s">
        <v>2338</v>
      </c>
      <c r="P2202" s="3" t="s">
        <v>36</v>
      </c>
      <c r="Q2202" s="3"/>
      <c r="R2202" s="4">
        <v>45996</v>
      </c>
      <c r="S2202" s="3" t="s">
        <v>37</v>
      </c>
      <c r="T2202" s="3" t="s">
        <v>38</v>
      </c>
      <c r="U2202" s="3" t="s">
        <v>39</v>
      </c>
      <c r="V2202" s="3">
        <v>672.32</v>
      </c>
      <c r="W2202" s="3">
        <v>285.74</v>
      </c>
      <c r="X2202" s="3">
        <v>270.61</v>
      </c>
      <c r="Y2202" s="3">
        <v>115.97</v>
      </c>
    </row>
    <row r="2203" spans="1:25" ht="60.75" x14ac:dyDescent="0.25">
      <c r="A2203" s="3" t="s">
        <v>26</v>
      </c>
      <c r="B2203" s="3" t="s">
        <v>27</v>
      </c>
      <c r="C2203" s="3" t="s">
        <v>28</v>
      </c>
      <c r="D2203" s="3" t="s">
        <v>29</v>
      </c>
      <c r="E2203" s="3" t="s">
        <v>119</v>
      </c>
      <c r="F2203" s="3" t="s">
        <v>31</v>
      </c>
      <c r="G2203" s="3" t="s">
        <v>119</v>
      </c>
      <c r="H2203" s="3" t="s">
        <v>96</v>
      </c>
      <c r="I2203" s="3">
        <v>2025</v>
      </c>
      <c r="J2203" s="3" t="str">
        <f>CONCATENATE("54820038831")</f>
        <v>54820038831</v>
      </c>
      <c r="K2203" s="3" t="s">
        <v>33</v>
      </c>
      <c r="L2203" s="3"/>
      <c r="M2203" s="3" t="s">
        <v>131</v>
      </c>
      <c r="N2203" s="3" t="str">
        <f>CONCATENATE("TSRDIA40T60C935B")</f>
        <v>TSRDIA40T60C935B</v>
      </c>
      <c r="O2203" s="3" t="s">
        <v>2339</v>
      </c>
      <c r="P2203" s="3" t="s">
        <v>36</v>
      </c>
      <c r="Q2203" s="3"/>
      <c r="R2203" s="4">
        <v>45996</v>
      </c>
      <c r="S2203" s="3" t="s">
        <v>37</v>
      </c>
      <c r="T2203" s="3" t="s">
        <v>38</v>
      </c>
      <c r="U2203" s="3" t="s">
        <v>39</v>
      </c>
      <c r="V2203" s="3">
        <v>49.3</v>
      </c>
      <c r="W2203" s="3">
        <v>20.95</v>
      </c>
      <c r="X2203" s="3">
        <v>19.84</v>
      </c>
      <c r="Y2203" s="3">
        <v>8.51</v>
      </c>
    </row>
    <row r="2204" spans="1:25" ht="60.75" x14ac:dyDescent="0.25">
      <c r="A2204" s="3" t="s">
        <v>26</v>
      </c>
      <c r="B2204" s="3" t="s">
        <v>27</v>
      </c>
      <c r="C2204" s="3" t="s">
        <v>28</v>
      </c>
      <c r="D2204" s="3" t="s">
        <v>29</v>
      </c>
      <c r="E2204" s="3" t="s">
        <v>233</v>
      </c>
      <c r="F2204" s="3" t="s">
        <v>31</v>
      </c>
      <c r="G2204" s="3" t="s">
        <v>233</v>
      </c>
      <c r="H2204" s="3" t="s">
        <v>96</v>
      </c>
      <c r="I2204" s="3">
        <v>2025</v>
      </c>
      <c r="J2204" s="3" t="str">
        <f>CONCATENATE("54820061981")</f>
        <v>54820061981</v>
      </c>
      <c r="K2204" s="3" t="s">
        <v>33</v>
      </c>
      <c r="L2204" s="3"/>
      <c r="M2204" s="3" t="s">
        <v>131</v>
      </c>
      <c r="N2204" s="3" t="str">
        <f>CONCATENATE("MSSGLI63T06A462D")</f>
        <v>MSSGLI63T06A462D</v>
      </c>
      <c r="O2204" s="3" t="s">
        <v>2340</v>
      </c>
      <c r="P2204" s="3" t="s">
        <v>36</v>
      </c>
      <c r="Q2204" s="3"/>
      <c r="R2204" s="4">
        <v>45996</v>
      </c>
      <c r="S2204" s="3" t="s">
        <v>37</v>
      </c>
      <c r="T2204" s="3" t="s">
        <v>38</v>
      </c>
      <c r="U2204" s="3" t="s">
        <v>39</v>
      </c>
      <c r="V2204" s="3">
        <v>192.91</v>
      </c>
      <c r="W2204" s="3">
        <v>81.99</v>
      </c>
      <c r="X2204" s="3">
        <v>77.650000000000006</v>
      </c>
      <c r="Y2204" s="3">
        <v>33.270000000000003</v>
      </c>
    </row>
    <row r="2205" spans="1:25" ht="60.75" x14ac:dyDescent="0.25">
      <c r="A2205" s="3" t="s">
        <v>26</v>
      </c>
      <c r="B2205" s="3" t="s">
        <v>27</v>
      </c>
      <c r="C2205" s="3" t="s">
        <v>28</v>
      </c>
      <c r="D2205" s="3" t="s">
        <v>29</v>
      </c>
      <c r="E2205" s="3" t="s">
        <v>228</v>
      </c>
      <c r="F2205" s="3" t="s">
        <v>31</v>
      </c>
      <c r="G2205" s="3" t="s">
        <v>228</v>
      </c>
      <c r="H2205" s="3" t="s">
        <v>45</v>
      </c>
      <c r="I2205" s="3">
        <v>2025</v>
      </c>
      <c r="J2205" s="3" t="str">
        <f>CONCATENATE("54820020094")</f>
        <v>54820020094</v>
      </c>
      <c r="K2205" s="3" t="s">
        <v>33</v>
      </c>
      <c r="L2205" s="3"/>
      <c r="M2205" s="3" t="s">
        <v>131</v>
      </c>
      <c r="N2205" s="3" t="str">
        <f>CONCATENATE("BLDFNC95A71L500A")</f>
        <v>BLDFNC95A71L500A</v>
      </c>
      <c r="O2205" s="3" t="s">
        <v>2341</v>
      </c>
      <c r="P2205" s="3" t="s">
        <v>36</v>
      </c>
      <c r="Q2205" s="3"/>
      <c r="R2205" s="4">
        <v>45996</v>
      </c>
      <c r="S2205" s="3" t="s">
        <v>37</v>
      </c>
      <c r="T2205" s="3" t="s">
        <v>38</v>
      </c>
      <c r="U2205" s="3" t="s">
        <v>39</v>
      </c>
      <c r="V2205" s="3">
        <v>213.53</v>
      </c>
      <c r="W2205" s="3">
        <v>90.75</v>
      </c>
      <c r="X2205" s="3">
        <v>85.95</v>
      </c>
      <c r="Y2205" s="3">
        <v>36.83</v>
      </c>
    </row>
    <row r="2206" spans="1:25" ht="60.75" x14ac:dyDescent="0.25">
      <c r="A2206" s="3" t="s">
        <v>26</v>
      </c>
      <c r="B2206" s="3" t="s">
        <v>27</v>
      </c>
      <c r="C2206" s="3" t="s">
        <v>28</v>
      </c>
      <c r="D2206" s="3" t="s">
        <v>50</v>
      </c>
      <c r="E2206" s="3" t="s">
        <v>60</v>
      </c>
      <c r="F2206" s="3" t="s">
        <v>52</v>
      </c>
      <c r="G2206" s="3" t="s">
        <v>60</v>
      </c>
      <c r="H2206" s="3" t="s">
        <v>45</v>
      </c>
      <c r="I2206" s="3">
        <v>2025</v>
      </c>
      <c r="J2206" s="3" t="str">
        <f>CONCATENATE("54820086533")</f>
        <v>54820086533</v>
      </c>
      <c r="K2206" s="3" t="s">
        <v>33</v>
      </c>
      <c r="L2206" s="3"/>
      <c r="M2206" s="3" t="s">
        <v>131</v>
      </c>
      <c r="N2206" s="3" t="str">
        <f>CONCATENATE("PDLSNT71C31G453Q")</f>
        <v>PDLSNT71C31G453Q</v>
      </c>
      <c r="O2206" s="3" t="s">
        <v>2342</v>
      </c>
      <c r="P2206" s="3" t="s">
        <v>36</v>
      </c>
      <c r="Q2206" s="3"/>
      <c r="R2206" s="4">
        <v>45996</v>
      </c>
      <c r="S2206" s="3" t="s">
        <v>37</v>
      </c>
      <c r="T2206" s="3" t="s">
        <v>38</v>
      </c>
      <c r="U2206" s="3" t="s">
        <v>39</v>
      </c>
      <c r="V2206" s="3">
        <v>102.91</v>
      </c>
      <c r="W2206" s="3">
        <v>43.74</v>
      </c>
      <c r="X2206" s="3">
        <v>41.42</v>
      </c>
      <c r="Y2206" s="3">
        <v>17.75</v>
      </c>
    </row>
    <row r="2207" spans="1:25" ht="60.75" x14ac:dyDescent="0.25">
      <c r="A2207" s="3" t="s">
        <v>26</v>
      </c>
      <c r="B2207" s="3" t="s">
        <v>27</v>
      </c>
      <c r="C2207" s="3" t="s">
        <v>28</v>
      </c>
      <c r="D2207" s="3" t="s">
        <v>29</v>
      </c>
      <c r="E2207" s="3" t="s">
        <v>119</v>
      </c>
      <c r="F2207" s="3" t="s">
        <v>31</v>
      </c>
      <c r="G2207" s="3" t="s">
        <v>119</v>
      </c>
      <c r="H2207" s="3" t="s">
        <v>96</v>
      </c>
      <c r="I2207" s="3">
        <v>2025</v>
      </c>
      <c r="J2207" s="3" t="str">
        <f>CONCATENATE("54820020979")</f>
        <v>54820020979</v>
      </c>
      <c r="K2207" s="3" t="s">
        <v>33</v>
      </c>
      <c r="L2207" s="3"/>
      <c r="M2207" s="3" t="s">
        <v>131</v>
      </c>
      <c r="N2207" s="3" t="str">
        <f>CONCATENATE("CPNLCN43M71H588X")</f>
        <v>CPNLCN43M71H588X</v>
      </c>
      <c r="O2207" s="3" t="s">
        <v>2343</v>
      </c>
      <c r="P2207" s="3" t="s">
        <v>36</v>
      </c>
      <c r="Q2207" s="3"/>
      <c r="R2207" s="4">
        <v>45996</v>
      </c>
      <c r="S2207" s="3" t="s">
        <v>37</v>
      </c>
      <c r="T2207" s="3" t="s">
        <v>38</v>
      </c>
      <c r="U2207" s="3" t="s">
        <v>39</v>
      </c>
      <c r="V2207" s="3">
        <v>130.21</v>
      </c>
      <c r="W2207" s="3">
        <v>55.34</v>
      </c>
      <c r="X2207" s="3">
        <v>52.41</v>
      </c>
      <c r="Y2207" s="3">
        <v>22.46</v>
      </c>
    </row>
    <row r="2208" spans="1:25" ht="60.75" x14ac:dyDescent="0.25">
      <c r="A2208" s="3" t="s">
        <v>26</v>
      </c>
      <c r="B2208" s="3" t="s">
        <v>27</v>
      </c>
      <c r="C2208" s="3" t="s">
        <v>28</v>
      </c>
      <c r="D2208" s="3" t="s">
        <v>29</v>
      </c>
      <c r="E2208" s="3" t="s">
        <v>80</v>
      </c>
      <c r="F2208" s="3" t="s">
        <v>31</v>
      </c>
      <c r="G2208" s="3" t="s">
        <v>80</v>
      </c>
      <c r="H2208" s="3" t="s">
        <v>45</v>
      </c>
      <c r="I2208" s="3">
        <v>2025</v>
      </c>
      <c r="J2208" s="3" t="str">
        <f>CONCATENATE("54820032164")</f>
        <v>54820032164</v>
      </c>
      <c r="K2208" s="3" t="s">
        <v>33</v>
      </c>
      <c r="L2208" s="3"/>
      <c r="M2208" s="3" t="s">
        <v>131</v>
      </c>
      <c r="N2208" s="3" t="str">
        <f>CONCATENATE("TTVVTR43P04D809G")</f>
        <v>TTVVTR43P04D809G</v>
      </c>
      <c r="O2208" s="3" t="s">
        <v>2344</v>
      </c>
      <c r="P2208" s="3" t="s">
        <v>36</v>
      </c>
      <c r="Q2208" s="3"/>
      <c r="R2208" s="4">
        <v>45996</v>
      </c>
      <c r="S2208" s="3" t="s">
        <v>37</v>
      </c>
      <c r="T2208" s="3" t="s">
        <v>38</v>
      </c>
      <c r="U2208" s="3" t="s">
        <v>39</v>
      </c>
      <c r="V2208" s="3">
        <v>130.43</v>
      </c>
      <c r="W2208" s="3">
        <v>55.43</v>
      </c>
      <c r="X2208" s="3">
        <v>52.5</v>
      </c>
      <c r="Y2208" s="3">
        <v>22.5</v>
      </c>
    </row>
    <row r="2209" spans="1:25" ht="60.75" x14ac:dyDescent="0.25">
      <c r="A2209" s="3" t="s">
        <v>26</v>
      </c>
      <c r="B2209" s="3" t="s">
        <v>27</v>
      </c>
      <c r="C2209" s="3" t="s">
        <v>28</v>
      </c>
      <c r="D2209" s="3" t="s">
        <v>50</v>
      </c>
      <c r="E2209" s="3" t="s">
        <v>173</v>
      </c>
      <c r="F2209" s="3" t="s">
        <v>52</v>
      </c>
      <c r="G2209" s="3" t="s">
        <v>173</v>
      </c>
      <c r="H2209" s="3" t="s">
        <v>45</v>
      </c>
      <c r="I2209" s="3">
        <v>2025</v>
      </c>
      <c r="J2209" s="3" t="str">
        <f>CONCATENATE("54820078910")</f>
        <v>54820078910</v>
      </c>
      <c r="K2209" s="3" t="s">
        <v>33</v>
      </c>
      <c r="L2209" s="3"/>
      <c r="M2209" s="3" t="s">
        <v>131</v>
      </c>
      <c r="N2209" s="3" t="str">
        <f>CONCATENATE("BRRGCR61R30Z130G")</f>
        <v>BRRGCR61R30Z130G</v>
      </c>
      <c r="O2209" s="3" t="s">
        <v>2345</v>
      </c>
      <c r="P2209" s="3" t="s">
        <v>36</v>
      </c>
      <c r="Q2209" s="3"/>
      <c r="R2209" s="4">
        <v>45996</v>
      </c>
      <c r="S2209" s="3" t="s">
        <v>37</v>
      </c>
      <c r="T2209" s="3" t="s">
        <v>38</v>
      </c>
      <c r="U2209" s="3" t="s">
        <v>39</v>
      </c>
      <c r="V2209" s="3">
        <v>545.26</v>
      </c>
      <c r="W2209" s="3">
        <v>231.74</v>
      </c>
      <c r="X2209" s="3">
        <v>219.47</v>
      </c>
      <c r="Y2209" s="3">
        <v>94.05</v>
      </c>
    </row>
    <row r="2210" spans="1:25" ht="60.75" x14ac:dyDescent="0.25">
      <c r="A2210" s="3" t="s">
        <v>26</v>
      </c>
      <c r="B2210" s="3" t="s">
        <v>27</v>
      </c>
      <c r="C2210" s="3" t="s">
        <v>28</v>
      </c>
      <c r="D2210" s="3" t="s">
        <v>29</v>
      </c>
      <c r="E2210" s="3" t="s">
        <v>72</v>
      </c>
      <c r="F2210" s="3" t="s">
        <v>31</v>
      </c>
      <c r="G2210" s="3" t="s">
        <v>72</v>
      </c>
      <c r="H2210" s="3" t="s">
        <v>45</v>
      </c>
      <c r="I2210" s="3">
        <v>2025</v>
      </c>
      <c r="J2210" s="3" t="str">
        <f>CONCATENATE("54820026182")</f>
        <v>54820026182</v>
      </c>
      <c r="K2210" s="3" t="s">
        <v>33</v>
      </c>
      <c r="L2210" s="3"/>
      <c r="M2210" s="3" t="s">
        <v>131</v>
      </c>
      <c r="N2210" s="3" t="str">
        <f>CONCATENATE("CSLMRZ69B04C745L")</f>
        <v>CSLMRZ69B04C745L</v>
      </c>
      <c r="O2210" s="3" t="s">
        <v>2346</v>
      </c>
      <c r="P2210" s="3" t="s">
        <v>36</v>
      </c>
      <c r="Q2210" s="3"/>
      <c r="R2210" s="4">
        <v>45996</v>
      </c>
      <c r="S2210" s="3" t="s">
        <v>37</v>
      </c>
      <c r="T2210" s="3" t="s">
        <v>38</v>
      </c>
      <c r="U2210" s="3" t="s">
        <v>39</v>
      </c>
      <c r="V2210" s="3">
        <v>90.88</v>
      </c>
      <c r="W2210" s="3">
        <v>38.619999999999997</v>
      </c>
      <c r="X2210" s="3">
        <v>36.58</v>
      </c>
      <c r="Y2210" s="3">
        <v>15.68</v>
      </c>
    </row>
    <row r="2211" spans="1:25" ht="72.75" x14ac:dyDescent="0.25">
      <c r="A2211" s="3" t="s">
        <v>26</v>
      </c>
      <c r="B2211" s="3" t="s">
        <v>27</v>
      </c>
      <c r="C2211" s="3" t="s">
        <v>28</v>
      </c>
      <c r="D2211" s="3" t="s">
        <v>29</v>
      </c>
      <c r="E2211" s="3" t="s">
        <v>228</v>
      </c>
      <c r="F2211" s="3" t="s">
        <v>31</v>
      </c>
      <c r="G2211" s="3" t="s">
        <v>228</v>
      </c>
      <c r="H2211" s="3" t="s">
        <v>45</v>
      </c>
      <c r="I2211" s="3">
        <v>2025</v>
      </c>
      <c r="J2211" s="3" t="str">
        <f>CONCATENATE("54820054721")</f>
        <v>54820054721</v>
      </c>
      <c r="K2211" s="3" t="s">
        <v>33</v>
      </c>
      <c r="L2211" s="3"/>
      <c r="M2211" s="3" t="s">
        <v>131</v>
      </c>
      <c r="N2211" s="3" t="str">
        <f>CONCATENATE("TMSDNL67B24D749U")</f>
        <v>TMSDNL67B24D749U</v>
      </c>
      <c r="O2211" s="3" t="s">
        <v>2347</v>
      </c>
      <c r="P2211" s="3" t="s">
        <v>36</v>
      </c>
      <c r="Q2211" s="3"/>
      <c r="R2211" s="4">
        <v>45996</v>
      </c>
      <c r="S2211" s="3" t="s">
        <v>37</v>
      </c>
      <c r="T2211" s="3" t="s">
        <v>38</v>
      </c>
      <c r="U2211" s="3" t="s">
        <v>39</v>
      </c>
      <c r="V2211" s="3">
        <v>780.56</v>
      </c>
      <c r="W2211" s="3">
        <v>331.74</v>
      </c>
      <c r="X2211" s="3">
        <v>314.18</v>
      </c>
      <c r="Y2211" s="3">
        <v>134.63999999999999</v>
      </c>
    </row>
    <row r="2212" spans="1:25" ht="60.75" x14ac:dyDescent="0.25">
      <c r="A2212" s="3" t="s">
        <v>26</v>
      </c>
      <c r="B2212" s="3" t="s">
        <v>27</v>
      </c>
      <c r="C2212" s="3" t="s">
        <v>28</v>
      </c>
      <c r="D2212" s="3" t="s">
        <v>29</v>
      </c>
      <c r="E2212" s="3" t="s">
        <v>56</v>
      </c>
      <c r="F2212" s="3" t="s">
        <v>31</v>
      </c>
      <c r="G2212" s="3" t="s">
        <v>56</v>
      </c>
      <c r="H2212" s="3" t="s">
        <v>32</v>
      </c>
      <c r="I2212" s="3">
        <v>2025</v>
      </c>
      <c r="J2212" s="3" t="str">
        <f>CONCATENATE("54820080932")</f>
        <v>54820080932</v>
      </c>
      <c r="K2212" s="3" t="s">
        <v>33</v>
      </c>
      <c r="L2212" s="3"/>
      <c r="M2212" s="3" t="s">
        <v>131</v>
      </c>
      <c r="N2212" s="3" t="str">
        <f>CONCATENATE("FCCLVC66M27F460S")</f>
        <v>FCCLVC66M27F460S</v>
      </c>
      <c r="O2212" s="3" t="s">
        <v>2348</v>
      </c>
      <c r="P2212" s="3" t="s">
        <v>36</v>
      </c>
      <c r="Q2212" s="3"/>
      <c r="R2212" s="4">
        <v>45996</v>
      </c>
      <c r="S2212" s="3" t="s">
        <v>37</v>
      </c>
      <c r="T2212" s="3" t="s">
        <v>38</v>
      </c>
      <c r="U2212" s="3" t="s">
        <v>39</v>
      </c>
      <c r="V2212" s="5">
        <v>1018.26</v>
      </c>
      <c r="W2212" s="3">
        <v>432.76</v>
      </c>
      <c r="X2212" s="3">
        <v>409.85</v>
      </c>
      <c r="Y2212" s="3">
        <v>175.65</v>
      </c>
    </row>
    <row r="2213" spans="1:25" ht="60.75" x14ac:dyDescent="0.25">
      <c r="A2213" s="3" t="s">
        <v>26</v>
      </c>
      <c r="B2213" s="3" t="s">
        <v>27</v>
      </c>
      <c r="C2213" s="3" t="s">
        <v>28</v>
      </c>
      <c r="D2213" s="3" t="s">
        <v>29</v>
      </c>
      <c r="E2213" s="3" t="s">
        <v>136</v>
      </c>
      <c r="F2213" s="3" t="s">
        <v>31</v>
      </c>
      <c r="G2213" s="3" t="s">
        <v>136</v>
      </c>
      <c r="H2213" s="3" t="s">
        <v>48</v>
      </c>
      <c r="I2213" s="3">
        <v>2025</v>
      </c>
      <c r="J2213" s="3" t="str">
        <f>CONCATENATE("54820068515")</f>
        <v>54820068515</v>
      </c>
      <c r="K2213" s="3" t="s">
        <v>33</v>
      </c>
      <c r="L2213" s="3"/>
      <c r="M2213" s="3" t="s">
        <v>131</v>
      </c>
      <c r="N2213" s="3" t="str">
        <f>CONCATENATE("FRIVNT94P04D451H")</f>
        <v>FRIVNT94P04D451H</v>
      </c>
      <c r="O2213" s="3" t="s">
        <v>2349</v>
      </c>
      <c r="P2213" s="3" t="s">
        <v>36</v>
      </c>
      <c r="Q2213" s="3"/>
      <c r="R2213" s="4">
        <v>45996</v>
      </c>
      <c r="S2213" s="3" t="s">
        <v>37</v>
      </c>
      <c r="T2213" s="3" t="s">
        <v>38</v>
      </c>
      <c r="U2213" s="3" t="s">
        <v>39</v>
      </c>
      <c r="V2213" s="3">
        <v>91.06</v>
      </c>
      <c r="W2213" s="3">
        <v>38.700000000000003</v>
      </c>
      <c r="X2213" s="3">
        <v>36.65</v>
      </c>
      <c r="Y2213" s="3">
        <v>15.71</v>
      </c>
    </row>
    <row r="2214" spans="1:25" ht="60.75" x14ac:dyDescent="0.25">
      <c r="A2214" s="3" t="s">
        <v>26</v>
      </c>
      <c r="B2214" s="3" t="s">
        <v>27</v>
      </c>
      <c r="C2214" s="3" t="s">
        <v>28</v>
      </c>
      <c r="D2214" s="3" t="s">
        <v>104</v>
      </c>
      <c r="E2214" s="3" t="s">
        <v>268</v>
      </c>
      <c r="F2214" s="3" t="s">
        <v>104</v>
      </c>
      <c r="G2214" s="3" t="s">
        <v>268</v>
      </c>
      <c r="H2214" s="3" t="s">
        <v>32</v>
      </c>
      <c r="I2214" s="3">
        <v>2025</v>
      </c>
      <c r="J2214" s="3" t="str">
        <f>CONCATENATE("54820089917")</f>
        <v>54820089917</v>
      </c>
      <c r="K2214" s="3" t="s">
        <v>33</v>
      </c>
      <c r="L2214" s="3"/>
      <c r="M2214" s="3" t="s">
        <v>131</v>
      </c>
      <c r="N2214" s="3" t="str">
        <f>CONCATENATE("QDRSDR60A03I651G")</f>
        <v>QDRSDR60A03I651G</v>
      </c>
      <c r="O2214" s="3" t="s">
        <v>2350</v>
      </c>
      <c r="P2214" s="3" t="s">
        <v>36</v>
      </c>
      <c r="Q2214" s="3"/>
      <c r="R2214" s="4">
        <v>45996</v>
      </c>
      <c r="S2214" s="3" t="s">
        <v>37</v>
      </c>
      <c r="T2214" s="3" t="s">
        <v>38</v>
      </c>
      <c r="U2214" s="3" t="s">
        <v>39</v>
      </c>
      <c r="V2214" s="3">
        <v>165.88</v>
      </c>
      <c r="W2214" s="3">
        <v>70.5</v>
      </c>
      <c r="X2214" s="3">
        <v>66.77</v>
      </c>
      <c r="Y2214" s="3">
        <v>28.61</v>
      </c>
    </row>
    <row r="2215" spans="1:25" ht="72.75" x14ac:dyDescent="0.25">
      <c r="A2215" s="3" t="s">
        <v>26</v>
      </c>
      <c r="B2215" s="3" t="s">
        <v>27</v>
      </c>
      <c r="C2215" s="3" t="s">
        <v>28</v>
      </c>
      <c r="D2215" s="3" t="s">
        <v>29</v>
      </c>
      <c r="E2215" s="3" t="s">
        <v>72</v>
      </c>
      <c r="F2215" s="3" t="s">
        <v>31</v>
      </c>
      <c r="G2215" s="3" t="s">
        <v>72</v>
      </c>
      <c r="H2215" s="3" t="s">
        <v>45</v>
      </c>
      <c r="I2215" s="3">
        <v>2025</v>
      </c>
      <c r="J2215" s="3" t="str">
        <f>CONCATENATE("54820081252")</f>
        <v>54820081252</v>
      </c>
      <c r="K2215" s="3" t="s">
        <v>33</v>
      </c>
      <c r="L2215" s="3"/>
      <c r="M2215" s="3" t="s">
        <v>131</v>
      </c>
      <c r="N2215" s="3" t="str">
        <f>CONCATENATE("CNCMSM69R04A327W")</f>
        <v>CNCMSM69R04A327W</v>
      </c>
      <c r="O2215" s="3" t="s">
        <v>2351</v>
      </c>
      <c r="P2215" s="3" t="s">
        <v>36</v>
      </c>
      <c r="Q2215" s="3"/>
      <c r="R2215" s="4">
        <v>45996</v>
      </c>
      <c r="S2215" s="3" t="s">
        <v>37</v>
      </c>
      <c r="T2215" s="3" t="s">
        <v>38</v>
      </c>
      <c r="U2215" s="3" t="s">
        <v>39</v>
      </c>
      <c r="V2215" s="3">
        <v>393.73</v>
      </c>
      <c r="W2215" s="3">
        <v>167.34</v>
      </c>
      <c r="X2215" s="3">
        <v>158.47999999999999</v>
      </c>
      <c r="Y2215" s="3">
        <v>67.91</v>
      </c>
    </row>
    <row r="2216" spans="1:25" ht="60.75" x14ac:dyDescent="0.25">
      <c r="A2216" s="3" t="s">
        <v>26</v>
      </c>
      <c r="B2216" s="3" t="s">
        <v>27</v>
      </c>
      <c r="C2216" s="3" t="s">
        <v>28</v>
      </c>
      <c r="D2216" s="3" t="s">
        <v>29</v>
      </c>
      <c r="E2216" s="3" t="s">
        <v>228</v>
      </c>
      <c r="F2216" s="3" t="s">
        <v>31</v>
      </c>
      <c r="G2216" s="3" t="s">
        <v>228</v>
      </c>
      <c r="H2216" s="3" t="s">
        <v>45</v>
      </c>
      <c r="I2216" s="3">
        <v>2025</v>
      </c>
      <c r="J2216" s="3" t="str">
        <f>CONCATENATE("54820051776")</f>
        <v>54820051776</v>
      </c>
      <c r="K2216" s="3" t="s">
        <v>33</v>
      </c>
      <c r="L2216" s="3"/>
      <c r="M2216" s="3" t="s">
        <v>131</v>
      </c>
      <c r="N2216" s="3" t="str">
        <f>CONCATENATE("PGNRFL76H56D749T")</f>
        <v>PGNRFL76H56D749T</v>
      </c>
      <c r="O2216" s="3" t="s">
        <v>2352</v>
      </c>
      <c r="P2216" s="3" t="s">
        <v>36</v>
      </c>
      <c r="Q2216" s="3"/>
      <c r="R2216" s="4">
        <v>45996</v>
      </c>
      <c r="S2216" s="3" t="s">
        <v>37</v>
      </c>
      <c r="T2216" s="3" t="s">
        <v>38</v>
      </c>
      <c r="U2216" s="3" t="s">
        <v>39</v>
      </c>
      <c r="V2216" s="3">
        <v>57.85</v>
      </c>
      <c r="W2216" s="3">
        <v>24.59</v>
      </c>
      <c r="X2216" s="3">
        <v>23.28</v>
      </c>
      <c r="Y2216" s="3">
        <v>9.98</v>
      </c>
    </row>
    <row r="2217" spans="1:25" ht="60.75" x14ac:dyDescent="0.25">
      <c r="A2217" s="3" t="s">
        <v>26</v>
      </c>
      <c r="B2217" s="3" t="s">
        <v>27</v>
      </c>
      <c r="C2217" s="3" t="s">
        <v>28</v>
      </c>
      <c r="D2217" s="3" t="s">
        <v>29</v>
      </c>
      <c r="E2217" s="3" t="s">
        <v>47</v>
      </c>
      <c r="F2217" s="3" t="s">
        <v>31</v>
      </c>
      <c r="G2217" s="3" t="s">
        <v>47</v>
      </c>
      <c r="H2217" s="3" t="s">
        <v>48</v>
      </c>
      <c r="I2217" s="3">
        <v>2025</v>
      </c>
      <c r="J2217" s="3" t="str">
        <f>CONCATENATE("54820049390")</f>
        <v>54820049390</v>
      </c>
      <c r="K2217" s="3" t="s">
        <v>33</v>
      </c>
      <c r="L2217" s="3"/>
      <c r="M2217" s="3" t="s">
        <v>131</v>
      </c>
      <c r="N2217" s="3" t="str">
        <f>CONCATENATE("CMRSNM77E07D451M")</f>
        <v>CMRSNM77E07D451M</v>
      </c>
      <c r="O2217" s="3" t="s">
        <v>2353</v>
      </c>
      <c r="P2217" s="3" t="s">
        <v>36</v>
      </c>
      <c r="Q2217" s="3"/>
      <c r="R2217" s="4">
        <v>45996</v>
      </c>
      <c r="S2217" s="3" t="s">
        <v>37</v>
      </c>
      <c r="T2217" s="3" t="s">
        <v>38</v>
      </c>
      <c r="U2217" s="3" t="s">
        <v>39</v>
      </c>
      <c r="V2217" s="3">
        <v>54.6</v>
      </c>
      <c r="W2217" s="3">
        <v>23.21</v>
      </c>
      <c r="X2217" s="3">
        <v>21.98</v>
      </c>
      <c r="Y2217" s="3">
        <v>9.41</v>
      </c>
    </row>
    <row r="2218" spans="1:25" ht="36.75" x14ac:dyDescent="0.25">
      <c r="A2218" s="3" t="s">
        <v>26</v>
      </c>
      <c r="B2218" s="3" t="s">
        <v>27</v>
      </c>
      <c r="C2218" s="3" t="s">
        <v>28</v>
      </c>
      <c r="D2218" s="3" t="s">
        <v>40</v>
      </c>
      <c r="E2218" s="3" t="s">
        <v>218</v>
      </c>
      <c r="F2218" s="3" t="s">
        <v>42</v>
      </c>
      <c r="G2218" s="3" t="s">
        <v>218</v>
      </c>
      <c r="H2218" s="3" t="s">
        <v>45</v>
      </c>
      <c r="I2218" s="3">
        <v>2025</v>
      </c>
      <c r="J2218" s="3" t="str">
        <f>CONCATENATE("54820079504")</f>
        <v>54820079504</v>
      </c>
      <c r="K2218" s="3" t="s">
        <v>33</v>
      </c>
      <c r="L2218" s="3"/>
      <c r="M2218" s="3" t="s">
        <v>131</v>
      </c>
      <c r="N2218" s="3" t="str">
        <f>CONCATENATE("02361800416")</f>
        <v>02361800416</v>
      </c>
      <c r="O2218" s="3" t="s">
        <v>2354</v>
      </c>
      <c r="P2218" s="3" t="s">
        <v>36</v>
      </c>
      <c r="Q2218" s="3"/>
      <c r="R2218" s="4">
        <v>45996</v>
      </c>
      <c r="S2218" s="3" t="s">
        <v>37</v>
      </c>
      <c r="T2218" s="3" t="s">
        <v>38</v>
      </c>
      <c r="U2218" s="3" t="s">
        <v>39</v>
      </c>
      <c r="V2218" s="3">
        <v>878.05</v>
      </c>
      <c r="W2218" s="3">
        <v>373.17</v>
      </c>
      <c r="X2218" s="3">
        <v>353.42</v>
      </c>
      <c r="Y2218" s="3">
        <v>151.46</v>
      </c>
    </row>
    <row r="2219" spans="1:25" ht="60.75" x14ac:dyDescent="0.25">
      <c r="A2219" s="3" t="s">
        <v>26</v>
      </c>
      <c r="B2219" s="3" t="s">
        <v>27</v>
      </c>
      <c r="C2219" s="3" t="s">
        <v>28</v>
      </c>
      <c r="D2219" s="3" t="s">
        <v>29</v>
      </c>
      <c r="E2219" s="3" t="s">
        <v>228</v>
      </c>
      <c r="F2219" s="3" t="s">
        <v>31</v>
      </c>
      <c r="G2219" s="3" t="s">
        <v>228</v>
      </c>
      <c r="H2219" s="3" t="s">
        <v>45</v>
      </c>
      <c r="I2219" s="3">
        <v>2025</v>
      </c>
      <c r="J2219" s="3" t="str">
        <f>CONCATENATE("54820039599")</f>
        <v>54820039599</v>
      </c>
      <c r="K2219" s="3" t="s">
        <v>33</v>
      </c>
      <c r="L2219" s="3"/>
      <c r="M2219" s="3" t="s">
        <v>131</v>
      </c>
      <c r="N2219" s="3" t="str">
        <f>CONCATENATE("MSCGLE55E51D749C")</f>
        <v>MSCGLE55E51D749C</v>
      </c>
      <c r="O2219" s="3" t="s">
        <v>2355</v>
      </c>
      <c r="P2219" s="3" t="s">
        <v>36</v>
      </c>
      <c r="Q2219" s="3"/>
      <c r="R2219" s="4">
        <v>45996</v>
      </c>
      <c r="S2219" s="3" t="s">
        <v>37</v>
      </c>
      <c r="T2219" s="3" t="s">
        <v>38</v>
      </c>
      <c r="U2219" s="3" t="s">
        <v>39</v>
      </c>
      <c r="V2219" s="3">
        <v>62.29</v>
      </c>
      <c r="W2219" s="3">
        <v>26.47</v>
      </c>
      <c r="X2219" s="3">
        <v>25.07</v>
      </c>
      <c r="Y2219" s="3">
        <v>10.75</v>
      </c>
    </row>
    <row r="2220" spans="1:25" ht="60.75" x14ac:dyDescent="0.25">
      <c r="A2220" s="3" t="s">
        <v>26</v>
      </c>
      <c r="B2220" s="3" t="s">
        <v>27</v>
      </c>
      <c r="C2220" s="3" t="s">
        <v>28</v>
      </c>
      <c r="D2220" s="3" t="s">
        <v>50</v>
      </c>
      <c r="E2220" s="3" t="s">
        <v>51</v>
      </c>
      <c r="F2220" s="3" t="s">
        <v>52</v>
      </c>
      <c r="G2220" s="3" t="s">
        <v>51</v>
      </c>
      <c r="H2220" s="3" t="s">
        <v>48</v>
      </c>
      <c r="I2220" s="3">
        <v>2025</v>
      </c>
      <c r="J2220" s="3" t="str">
        <f>CONCATENATE("54820042213")</f>
        <v>54820042213</v>
      </c>
      <c r="K2220" s="3" t="s">
        <v>33</v>
      </c>
      <c r="L2220" s="3"/>
      <c r="M2220" s="3" t="s">
        <v>131</v>
      </c>
      <c r="N2220" s="3" t="str">
        <f>CONCATENATE("MZZNRC78P23D451N")</f>
        <v>MZZNRC78P23D451N</v>
      </c>
      <c r="O2220" s="3" t="s">
        <v>2356</v>
      </c>
      <c r="P2220" s="3" t="s">
        <v>36</v>
      </c>
      <c r="Q2220" s="3"/>
      <c r="R2220" s="4">
        <v>45996</v>
      </c>
      <c r="S2220" s="3" t="s">
        <v>37</v>
      </c>
      <c r="T2220" s="3" t="s">
        <v>38</v>
      </c>
      <c r="U2220" s="3" t="s">
        <v>39</v>
      </c>
      <c r="V2220" s="3">
        <v>227.75</v>
      </c>
      <c r="W2220" s="3">
        <v>96.79</v>
      </c>
      <c r="X2220" s="3">
        <v>91.67</v>
      </c>
      <c r="Y2220" s="3">
        <v>39.29</v>
      </c>
    </row>
    <row r="2221" spans="1:25" ht="60.75" x14ac:dyDescent="0.25">
      <c r="A2221" s="3" t="s">
        <v>26</v>
      </c>
      <c r="B2221" s="3" t="s">
        <v>27</v>
      </c>
      <c r="C2221" s="3" t="s">
        <v>28</v>
      </c>
      <c r="D2221" s="3" t="s">
        <v>29</v>
      </c>
      <c r="E2221" s="3" t="s">
        <v>56</v>
      </c>
      <c r="F2221" s="3" t="s">
        <v>31</v>
      </c>
      <c r="G2221" s="3" t="s">
        <v>56</v>
      </c>
      <c r="H2221" s="3" t="s">
        <v>32</v>
      </c>
      <c r="I2221" s="3">
        <v>2025</v>
      </c>
      <c r="J2221" s="3" t="str">
        <f>CONCATENATE("54820051479")</f>
        <v>54820051479</v>
      </c>
      <c r="K2221" s="3" t="s">
        <v>33</v>
      </c>
      <c r="L2221" s="3"/>
      <c r="M2221" s="3" t="s">
        <v>131</v>
      </c>
      <c r="N2221" s="3" t="str">
        <f>CONCATENATE("DLCRNT61P18D429X")</f>
        <v>DLCRNT61P18D429X</v>
      </c>
      <c r="O2221" s="3" t="s">
        <v>2357</v>
      </c>
      <c r="P2221" s="3" t="s">
        <v>36</v>
      </c>
      <c r="Q2221" s="3"/>
      <c r="R2221" s="4">
        <v>45996</v>
      </c>
      <c r="S2221" s="3" t="s">
        <v>37</v>
      </c>
      <c r="T2221" s="3" t="s">
        <v>38</v>
      </c>
      <c r="U2221" s="3" t="s">
        <v>39</v>
      </c>
      <c r="V2221" s="3">
        <v>307.38</v>
      </c>
      <c r="W2221" s="3">
        <v>130.63999999999999</v>
      </c>
      <c r="X2221" s="3">
        <v>123.72</v>
      </c>
      <c r="Y2221" s="3">
        <v>53.02</v>
      </c>
    </row>
    <row r="2222" spans="1:25" ht="60.75" x14ac:dyDescent="0.25">
      <c r="A2222" s="3" t="s">
        <v>26</v>
      </c>
      <c r="B2222" s="3" t="s">
        <v>27</v>
      </c>
      <c r="C2222" s="3" t="s">
        <v>28</v>
      </c>
      <c r="D2222" s="3" t="s">
        <v>50</v>
      </c>
      <c r="E2222" s="3" t="s">
        <v>51</v>
      </c>
      <c r="F2222" s="3" t="s">
        <v>52</v>
      </c>
      <c r="G2222" s="3" t="s">
        <v>51</v>
      </c>
      <c r="H2222" s="3" t="s">
        <v>48</v>
      </c>
      <c r="I2222" s="3">
        <v>2025</v>
      </c>
      <c r="J2222" s="3" t="str">
        <f>CONCATENATE("54820051487")</f>
        <v>54820051487</v>
      </c>
      <c r="K2222" s="3" t="s">
        <v>33</v>
      </c>
      <c r="L2222" s="3"/>
      <c r="M2222" s="3" t="s">
        <v>131</v>
      </c>
      <c r="N2222" s="3" t="str">
        <f>CONCATENATE("SRVMRA47C48C524Z")</f>
        <v>SRVMRA47C48C524Z</v>
      </c>
      <c r="O2222" s="3" t="s">
        <v>2358</v>
      </c>
      <c r="P2222" s="3" t="s">
        <v>36</v>
      </c>
      <c r="Q2222" s="3"/>
      <c r="R2222" s="4">
        <v>45996</v>
      </c>
      <c r="S2222" s="3" t="s">
        <v>37</v>
      </c>
      <c r="T2222" s="3" t="s">
        <v>38</v>
      </c>
      <c r="U2222" s="3" t="s">
        <v>39</v>
      </c>
      <c r="V2222" s="3">
        <v>64.25</v>
      </c>
      <c r="W2222" s="3">
        <v>27.31</v>
      </c>
      <c r="X2222" s="3">
        <v>25.86</v>
      </c>
      <c r="Y2222" s="3">
        <v>11.08</v>
      </c>
    </row>
    <row r="2223" spans="1:25" ht="72.75" x14ac:dyDescent="0.25">
      <c r="A2223" s="3" t="s">
        <v>26</v>
      </c>
      <c r="B2223" s="3" t="s">
        <v>27</v>
      </c>
      <c r="C2223" s="3" t="s">
        <v>28</v>
      </c>
      <c r="D2223" s="3" t="s">
        <v>50</v>
      </c>
      <c r="E2223" s="3" t="s">
        <v>212</v>
      </c>
      <c r="F2223" s="3" t="s">
        <v>52</v>
      </c>
      <c r="G2223" s="3" t="s">
        <v>212</v>
      </c>
      <c r="H2223" s="3" t="s">
        <v>32</v>
      </c>
      <c r="I2223" s="3">
        <v>2025</v>
      </c>
      <c r="J2223" s="3" t="str">
        <f>CONCATENATE("54820029772")</f>
        <v>54820029772</v>
      </c>
      <c r="K2223" s="3" t="s">
        <v>33</v>
      </c>
      <c r="L2223" s="3"/>
      <c r="M2223" s="3" t="s">
        <v>131</v>
      </c>
      <c r="N2223" s="3" t="str">
        <f>CONCATENATE("FCCVRE49A41H876U")</f>
        <v>FCCVRE49A41H876U</v>
      </c>
      <c r="O2223" s="3" t="s">
        <v>2359</v>
      </c>
      <c r="P2223" s="3" t="s">
        <v>36</v>
      </c>
      <c r="Q2223" s="3"/>
      <c r="R2223" s="4">
        <v>45996</v>
      </c>
      <c r="S2223" s="3" t="s">
        <v>37</v>
      </c>
      <c r="T2223" s="3" t="s">
        <v>38</v>
      </c>
      <c r="U2223" s="3" t="s">
        <v>39</v>
      </c>
      <c r="V2223" s="3">
        <v>58.47</v>
      </c>
      <c r="W2223" s="3">
        <v>24.85</v>
      </c>
      <c r="X2223" s="3">
        <v>23.53</v>
      </c>
      <c r="Y2223" s="3">
        <v>10.09</v>
      </c>
    </row>
    <row r="2224" spans="1:25" ht="72.75" x14ac:dyDescent="0.25">
      <c r="A2224" s="3" t="s">
        <v>26</v>
      </c>
      <c r="B2224" s="3" t="s">
        <v>27</v>
      </c>
      <c r="C2224" s="3" t="s">
        <v>28</v>
      </c>
      <c r="D2224" s="3" t="s">
        <v>40</v>
      </c>
      <c r="E2224" s="3" t="s">
        <v>287</v>
      </c>
      <c r="F2224" s="3" t="s">
        <v>42</v>
      </c>
      <c r="G2224" s="3" t="s">
        <v>287</v>
      </c>
      <c r="H2224" s="3" t="s">
        <v>32</v>
      </c>
      <c r="I2224" s="3">
        <v>2025</v>
      </c>
      <c r="J2224" s="3" t="str">
        <f>CONCATENATE("54820017348")</f>
        <v>54820017348</v>
      </c>
      <c r="K2224" s="3" t="s">
        <v>33</v>
      </c>
      <c r="L2224" s="3"/>
      <c r="M2224" s="3" t="s">
        <v>131</v>
      </c>
      <c r="N2224" s="3" t="str">
        <f>CONCATENATE("RGNTZN81R14D451O")</f>
        <v>RGNTZN81R14D451O</v>
      </c>
      <c r="O2224" s="3" t="s">
        <v>2360</v>
      </c>
      <c r="P2224" s="3" t="s">
        <v>36</v>
      </c>
      <c r="Q2224" s="3"/>
      <c r="R2224" s="4">
        <v>45996</v>
      </c>
      <c r="S2224" s="3" t="s">
        <v>37</v>
      </c>
      <c r="T2224" s="3" t="s">
        <v>38</v>
      </c>
      <c r="U2224" s="3" t="s">
        <v>39</v>
      </c>
      <c r="V2224" s="3">
        <v>928.15</v>
      </c>
      <c r="W2224" s="3">
        <v>394.46</v>
      </c>
      <c r="X2224" s="3">
        <v>373.58</v>
      </c>
      <c r="Y2224" s="3">
        <v>160.11000000000001</v>
      </c>
    </row>
    <row r="2225" spans="1:25" ht="60.75" x14ac:dyDescent="0.25">
      <c r="A2225" s="3" t="s">
        <v>26</v>
      </c>
      <c r="B2225" s="3" t="s">
        <v>27</v>
      </c>
      <c r="C2225" s="3" t="s">
        <v>28</v>
      </c>
      <c r="D2225" s="3" t="s">
        <v>29</v>
      </c>
      <c r="E2225" s="3" t="s">
        <v>72</v>
      </c>
      <c r="F2225" s="3" t="s">
        <v>31</v>
      </c>
      <c r="G2225" s="3" t="s">
        <v>72</v>
      </c>
      <c r="H2225" s="3" t="s">
        <v>45</v>
      </c>
      <c r="I2225" s="3">
        <v>2025</v>
      </c>
      <c r="J2225" s="3" t="str">
        <f>CONCATENATE("54820040001")</f>
        <v>54820040001</v>
      </c>
      <c r="K2225" s="3" t="s">
        <v>33</v>
      </c>
      <c r="L2225" s="3"/>
      <c r="M2225" s="3" t="s">
        <v>131</v>
      </c>
      <c r="N2225" s="3" t="str">
        <f>CONCATENATE("BCCFRZ62A30A327P")</f>
        <v>BCCFRZ62A30A327P</v>
      </c>
      <c r="O2225" s="3" t="s">
        <v>2361</v>
      </c>
      <c r="P2225" s="3" t="s">
        <v>36</v>
      </c>
      <c r="Q2225" s="3"/>
      <c r="R2225" s="4">
        <v>45996</v>
      </c>
      <c r="S2225" s="3" t="s">
        <v>37</v>
      </c>
      <c r="T2225" s="3" t="s">
        <v>38</v>
      </c>
      <c r="U2225" s="3" t="s">
        <v>39</v>
      </c>
      <c r="V2225" s="3">
        <v>325.68</v>
      </c>
      <c r="W2225" s="3">
        <v>138.41</v>
      </c>
      <c r="X2225" s="3">
        <v>131.09</v>
      </c>
      <c r="Y2225" s="3">
        <v>56.18</v>
      </c>
    </row>
    <row r="2226" spans="1:25" ht="60.75" x14ac:dyDescent="0.25">
      <c r="A2226" s="3" t="s">
        <v>26</v>
      </c>
      <c r="B2226" s="3" t="s">
        <v>27</v>
      </c>
      <c r="C2226" s="3" t="s">
        <v>28</v>
      </c>
      <c r="D2226" s="3" t="s">
        <v>29</v>
      </c>
      <c r="E2226" s="3" t="s">
        <v>182</v>
      </c>
      <c r="F2226" s="3" t="s">
        <v>31</v>
      </c>
      <c r="G2226" s="3" t="s">
        <v>182</v>
      </c>
      <c r="H2226" s="3" t="s">
        <v>45</v>
      </c>
      <c r="I2226" s="3">
        <v>2025</v>
      </c>
      <c r="J2226" s="3" t="str">
        <f>CONCATENATE("54820051347")</f>
        <v>54820051347</v>
      </c>
      <c r="K2226" s="3" t="s">
        <v>33</v>
      </c>
      <c r="L2226" s="3"/>
      <c r="M2226" s="3" t="s">
        <v>131</v>
      </c>
      <c r="N2226" s="3" t="str">
        <f>CONCATENATE("CRBRSN61B54L500P")</f>
        <v>CRBRSN61B54L500P</v>
      </c>
      <c r="O2226" s="3" t="s">
        <v>2362</v>
      </c>
      <c r="P2226" s="3" t="s">
        <v>36</v>
      </c>
      <c r="Q2226" s="3"/>
      <c r="R2226" s="4">
        <v>45996</v>
      </c>
      <c r="S2226" s="3" t="s">
        <v>37</v>
      </c>
      <c r="T2226" s="3" t="s">
        <v>38</v>
      </c>
      <c r="U2226" s="3" t="s">
        <v>39</v>
      </c>
      <c r="V2226" s="3">
        <v>190.96</v>
      </c>
      <c r="W2226" s="3">
        <v>81.16</v>
      </c>
      <c r="X2226" s="3">
        <v>76.86</v>
      </c>
      <c r="Y2226" s="3">
        <v>32.94</v>
      </c>
    </row>
    <row r="2227" spans="1:25" ht="60.75" x14ac:dyDescent="0.25">
      <c r="A2227" s="3" t="s">
        <v>26</v>
      </c>
      <c r="B2227" s="3" t="s">
        <v>27</v>
      </c>
      <c r="C2227" s="3" t="s">
        <v>28</v>
      </c>
      <c r="D2227" s="3" t="s">
        <v>50</v>
      </c>
      <c r="E2227" s="3" t="s">
        <v>173</v>
      </c>
      <c r="F2227" s="3" t="s">
        <v>52</v>
      </c>
      <c r="G2227" s="3" t="s">
        <v>173</v>
      </c>
      <c r="H2227" s="3" t="s">
        <v>45</v>
      </c>
      <c r="I2227" s="3">
        <v>2025</v>
      </c>
      <c r="J2227" s="3" t="str">
        <f>CONCATENATE("54820201660")</f>
        <v>54820201660</v>
      </c>
      <c r="K2227" s="3" t="s">
        <v>33</v>
      </c>
      <c r="L2227" s="3"/>
      <c r="M2227" s="3" t="s">
        <v>131</v>
      </c>
      <c r="N2227" s="3" t="str">
        <f>CONCATENATE("TNNSFN59C21H294U")</f>
        <v>TNNSFN59C21H294U</v>
      </c>
      <c r="O2227" s="3" t="s">
        <v>2363</v>
      </c>
      <c r="P2227" s="3" t="s">
        <v>36</v>
      </c>
      <c r="Q2227" s="3"/>
      <c r="R2227" s="4">
        <v>45996</v>
      </c>
      <c r="S2227" s="3" t="s">
        <v>37</v>
      </c>
      <c r="T2227" s="3" t="s">
        <v>38</v>
      </c>
      <c r="U2227" s="3" t="s">
        <v>39</v>
      </c>
      <c r="V2227" s="3">
        <v>432.11</v>
      </c>
      <c r="W2227" s="3">
        <v>183.65</v>
      </c>
      <c r="X2227" s="3">
        <v>173.92</v>
      </c>
      <c r="Y2227" s="3">
        <v>74.540000000000006</v>
      </c>
    </row>
    <row r="2228" spans="1:25" ht="60.75" x14ac:dyDescent="0.25">
      <c r="A2228" s="3" t="s">
        <v>26</v>
      </c>
      <c r="B2228" s="3" t="s">
        <v>27</v>
      </c>
      <c r="C2228" s="3" t="s">
        <v>28</v>
      </c>
      <c r="D2228" s="3" t="s">
        <v>50</v>
      </c>
      <c r="E2228" s="3" t="s">
        <v>107</v>
      </c>
      <c r="F2228" s="3" t="s">
        <v>52</v>
      </c>
      <c r="G2228" s="3" t="s">
        <v>107</v>
      </c>
      <c r="H2228" s="3" t="s">
        <v>48</v>
      </c>
      <c r="I2228" s="3">
        <v>2025</v>
      </c>
      <c r="J2228" s="3" t="str">
        <f>CONCATENATE("54820081641")</f>
        <v>54820081641</v>
      </c>
      <c r="K2228" s="3" t="s">
        <v>33</v>
      </c>
      <c r="L2228" s="3"/>
      <c r="M2228" s="3" t="s">
        <v>131</v>
      </c>
      <c r="N2228" s="3" t="str">
        <f>CONCATENATE("MTTDNC61R50L219O")</f>
        <v>MTTDNC61R50L219O</v>
      </c>
      <c r="O2228" s="3" t="s">
        <v>2364</v>
      </c>
      <c r="P2228" s="3" t="s">
        <v>36</v>
      </c>
      <c r="Q2228" s="3"/>
      <c r="R2228" s="4">
        <v>45996</v>
      </c>
      <c r="S2228" s="3" t="s">
        <v>37</v>
      </c>
      <c r="T2228" s="3" t="s">
        <v>38</v>
      </c>
      <c r="U2228" s="3" t="s">
        <v>39</v>
      </c>
      <c r="V2228" s="3">
        <v>68.150000000000006</v>
      </c>
      <c r="W2228" s="3">
        <v>28.96</v>
      </c>
      <c r="X2228" s="3">
        <v>27.43</v>
      </c>
      <c r="Y2228" s="3">
        <v>11.76</v>
      </c>
    </row>
    <row r="2229" spans="1:25" ht="60.75" x14ac:dyDescent="0.25">
      <c r="A2229" s="3" t="s">
        <v>26</v>
      </c>
      <c r="B2229" s="3" t="s">
        <v>27</v>
      </c>
      <c r="C2229" s="3" t="s">
        <v>28</v>
      </c>
      <c r="D2229" s="3" t="s">
        <v>29</v>
      </c>
      <c r="E2229" s="3" t="s">
        <v>228</v>
      </c>
      <c r="F2229" s="3" t="s">
        <v>31</v>
      </c>
      <c r="G2229" s="3" t="s">
        <v>228</v>
      </c>
      <c r="H2229" s="3" t="s">
        <v>45</v>
      </c>
      <c r="I2229" s="3">
        <v>2025</v>
      </c>
      <c r="J2229" s="3" t="str">
        <f>CONCATENATE("54820045752")</f>
        <v>54820045752</v>
      </c>
      <c r="K2229" s="3" t="s">
        <v>33</v>
      </c>
      <c r="L2229" s="3"/>
      <c r="M2229" s="3" t="s">
        <v>131</v>
      </c>
      <c r="N2229" s="3" t="str">
        <f>CONCATENATE("DNNLCN33C28D749U")</f>
        <v>DNNLCN33C28D749U</v>
      </c>
      <c r="O2229" s="3" t="s">
        <v>2365</v>
      </c>
      <c r="P2229" s="3" t="s">
        <v>36</v>
      </c>
      <c r="Q2229" s="3"/>
      <c r="R2229" s="4">
        <v>45996</v>
      </c>
      <c r="S2229" s="3" t="s">
        <v>37</v>
      </c>
      <c r="T2229" s="3" t="s">
        <v>38</v>
      </c>
      <c r="U2229" s="3" t="s">
        <v>39</v>
      </c>
      <c r="V2229" s="3">
        <v>139.68</v>
      </c>
      <c r="W2229" s="3">
        <v>59.36</v>
      </c>
      <c r="X2229" s="3">
        <v>56.22</v>
      </c>
      <c r="Y2229" s="3">
        <v>24.1</v>
      </c>
    </row>
    <row r="2230" spans="1:25" ht="60.75" x14ac:dyDescent="0.25">
      <c r="A2230" s="3" t="s">
        <v>26</v>
      </c>
      <c r="B2230" s="3" t="s">
        <v>27</v>
      </c>
      <c r="C2230" s="3" t="s">
        <v>28</v>
      </c>
      <c r="D2230" s="3" t="s">
        <v>50</v>
      </c>
      <c r="E2230" s="3" t="s">
        <v>173</v>
      </c>
      <c r="F2230" s="3" t="s">
        <v>52</v>
      </c>
      <c r="G2230" s="3" t="s">
        <v>173</v>
      </c>
      <c r="H2230" s="3" t="s">
        <v>45</v>
      </c>
      <c r="I2230" s="3">
        <v>2025</v>
      </c>
      <c r="J2230" s="3" t="str">
        <f>CONCATENATE("54820023627")</f>
        <v>54820023627</v>
      </c>
      <c r="K2230" s="3" t="s">
        <v>33</v>
      </c>
      <c r="L2230" s="3"/>
      <c r="M2230" s="3" t="s">
        <v>131</v>
      </c>
      <c r="N2230" s="3" t="str">
        <f>CONCATENATE("CNCFPP43D28E785Y")</f>
        <v>CNCFPP43D28E785Y</v>
      </c>
      <c r="O2230" s="3" t="s">
        <v>2366</v>
      </c>
      <c r="P2230" s="3" t="s">
        <v>36</v>
      </c>
      <c r="Q2230" s="3"/>
      <c r="R2230" s="4">
        <v>45996</v>
      </c>
      <c r="S2230" s="3" t="s">
        <v>37</v>
      </c>
      <c r="T2230" s="3" t="s">
        <v>38</v>
      </c>
      <c r="U2230" s="3" t="s">
        <v>39</v>
      </c>
      <c r="V2230" s="3">
        <v>138.19</v>
      </c>
      <c r="W2230" s="3">
        <v>58.73</v>
      </c>
      <c r="X2230" s="3">
        <v>55.62</v>
      </c>
      <c r="Y2230" s="3">
        <v>23.84</v>
      </c>
    </row>
    <row r="2231" spans="1:25" ht="36.75" x14ac:dyDescent="0.25">
      <c r="A2231" s="3" t="s">
        <v>26</v>
      </c>
      <c r="B2231" s="3" t="s">
        <v>27</v>
      </c>
      <c r="C2231" s="3" t="s">
        <v>28</v>
      </c>
      <c r="D2231" s="3" t="s">
        <v>29</v>
      </c>
      <c r="E2231" s="3" t="s">
        <v>72</v>
      </c>
      <c r="F2231" s="3" t="s">
        <v>31</v>
      </c>
      <c r="G2231" s="3" t="s">
        <v>72</v>
      </c>
      <c r="H2231" s="3" t="s">
        <v>45</v>
      </c>
      <c r="I2231" s="3">
        <v>2025</v>
      </c>
      <c r="J2231" s="3" t="str">
        <f>CONCATENATE("54820195821")</f>
        <v>54820195821</v>
      </c>
      <c r="K2231" s="3" t="s">
        <v>33</v>
      </c>
      <c r="L2231" s="3"/>
      <c r="M2231" s="3" t="s">
        <v>131</v>
      </c>
      <c r="N2231" s="3" t="str">
        <f>CONCATENATE("02030490417")</f>
        <v>02030490417</v>
      </c>
      <c r="O2231" s="3" t="s">
        <v>194</v>
      </c>
      <c r="P2231" s="3" t="s">
        <v>36</v>
      </c>
      <c r="Q2231" s="3"/>
      <c r="R2231" s="4">
        <v>45996</v>
      </c>
      <c r="S2231" s="3" t="s">
        <v>37</v>
      </c>
      <c r="T2231" s="3" t="s">
        <v>38</v>
      </c>
      <c r="U2231" s="3" t="s">
        <v>39</v>
      </c>
      <c r="V2231" s="5">
        <v>1008.09</v>
      </c>
      <c r="W2231" s="3">
        <v>428.44</v>
      </c>
      <c r="X2231" s="3">
        <v>405.76</v>
      </c>
      <c r="Y2231" s="3">
        <v>173.89</v>
      </c>
    </row>
    <row r="2232" spans="1:25" ht="60.75" x14ac:dyDescent="0.25">
      <c r="A2232" s="3" t="s">
        <v>26</v>
      </c>
      <c r="B2232" s="3" t="s">
        <v>27</v>
      </c>
      <c r="C2232" s="3" t="s">
        <v>28</v>
      </c>
      <c r="D2232" s="3" t="s">
        <v>29</v>
      </c>
      <c r="E2232" s="3" t="s">
        <v>119</v>
      </c>
      <c r="F2232" s="3" t="s">
        <v>31</v>
      </c>
      <c r="G2232" s="3" t="s">
        <v>119</v>
      </c>
      <c r="H2232" s="3" t="s">
        <v>96</v>
      </c>
      <c r="I2232" s="3">
        <v>2025</v>
      </c>
      <c r="J2232" s="3" t="str">
        <f>CONCATENATE("54820013743")</f>
        <v>54820013743</v>
      </c>
      <c r="K2232" s="3" t="s">
        <v>33</v>
      </c>
      <c r="L2232" s="3"/>
      <c r="M2232" s="3" t="s">
        <v>131</v>
      </c>
      <c r="N2232" s="3" t="str">
        <f>CONCATENATE("CSTMRA38T42H588M")</f>
        <v>CSTMRA38T42H588M</v>
      </c>
      <c r="O2232" s="3" t="s">
        <v>2367</v>
      </c>
      <c r="P2232" s="3" t="s">
        <v>36</v>
      </c>
      <c r="Q2232" s="3"/>
      <c r="R2232" s="4">
        <v>45996</v>
      </c>
      <c r="S2232" s="3" t="s">
        <v>37</v>
      </c>
      <c r="T2232" s="3" t="s">
        <v>38</v>
      </c>
      <c r="U2232" s="3" t="s">
        <v>39</v>
      </c>
      <c r="V2232" s="3">
        <v>58.9</v>
      </c>
      <c r="W2232" s="3">
        <v>25.03</v>
      </c>
      <c r="X2232" s="3">
        <v>23.71</v>
      </c>
      <c r="Y2232" s="3">
        <v>10.16</v>
      </c>
    </row>
    <row r="2233" spans="1:25" ht="60.75" x14ac:dyDescent="0.25">
      <c r="A2233" s="3" t="s">
        <v>26</v>
      </c>
      <c r="B2233" s="3" t="s">
        <v>27</v>
      </c>
      <c r="C2233" s="3" t="s">
        <v>28</v>
      </c>
      <c r="D2233" s="3" t="s">
        <v>29</v>
      </c>
      <c r="E2233" s="3" t="s">
        <v>186</v>
      </c>
      <c r="F2233" s="3" t="s">
        <v>31</v>
      </c>
      <c r="G2233" s="3" t="s">
        <v>186</v>
      </c>
      <c r="H2233" s="3" t="s">
        <v>45</v>
      </c>
      <c r="I2233" s="3">
        <v>2025</v>
      </c>
      <c r="J2233" s="3" t="str">
        <f>CONCATENATE("54820029525")</f>
        <v>54820029525</v>
      </c>
      <c r="K2233" s="3" t="s">
        <v>33</v>
      </c>
      <c r="L2233" s="3"/>
      <c r="M2233" s="3" t="s">
        <v>131</v>
      </c>
      <c r="N2233" s="3" t="str">
        <f>CONCATENATE("GRSDMN79R10L500J")</f>
        <v>GRSDMN79R10L500J</v>
      </c>
      <c r="O2233" s="3" t="s">
        <v>2368</v>
      </c>
      <c r="P2233" s="3" t="s">
        <v>36</v>
      </c>
      <c r="Q2233" s="3"/>
      <c r="R2233" s="4">
        <v>45996</v>
      </c>
      <c r="S2233" s="3" t="s">
        <v>37</v>
      </c>
      <c r="T2233" s="3" t="s">
        <v>38</v>
      </c>
      <c r="U2233" s="3" t="s">
        <v>39</v>
      </c>
      <c r="V2233" s="3">
        <v>471.79</v>
      </c>
      <c r="W2233" s="3">
        <v>200.51</v>
      </c>
      <c r="X2233" s="3">
        <v>189.9</v>
      </c>
      <c r="Y2233" s="3">
        <v>81.38</v>
      </c>
    </row>
    <row r="2234" spans="1:25" ht="60.75" x14ac:dyDescent="0.25">
      <c r="A2234" s="3" t="s">
        <v>26</v>
      </c>
      <c r="B2234" s="3" t="s">
        <v>27</v>
      </c>
      <c r="C2234" s="3" t="s">
        <v>28</v>
      </c>
      <c r="D2234" s="3" t="s">
        <v>29</v>
      </c>
      <c r="E2234" s="3" t="s">
        <v>80</v>
      </c>
      <c r="F2234" s="3" t="s">
        <v>31</v>
      </c>
      <c r="G2234" s="3" t="s">
        <v>80</v>
      </c>
      <c r="H2234" s="3" t="s">
        <v>45</v>
      </c>
      <c r="I2234" s="3">
        <v>2025</v>
      </c>
      <c r="J2234" s="3" t="str">
        <f>CONCATENATE("54820033170")</f>
        <v>54820033170</v>
      </c>
      <c r="K2234" s="3" t="s">
        <v>33</v>
      </c>
      <c r="L2234" s="3"/>
      <c r="M2234" s="3" t="s">
        <v>131</v>
      </c>
      <c r="N2234" s="3" t="str">
        <f>CONCATENATE("RSSGPP36E43G453S")</f>
        <v>RSSGPP36E43G453S</v>
      </c>
      <c r="O2234" s="3" t="s">
        <v>2369</v>
      </c>
      <c r="P2234" s="3" t="s">
        <v>36</v>
      </c>
      <c r="Q2234" s="3"/>
      <c r="R2234" s="4">
        <v>45996</v>
      </c>
      <c r="S2234" s="3" t="s">
        <v>37</v>
      </c>
      <c r="T2234" s="3" t="s">
        <v>38</v>
      </c>
      <c r="U2234" s="3" t="s">
        <v>39</v>
      </c>
      <c r="V2234" s="3">
        <v>44.51</v>
      </c>
      <c r="W2234" s="3">
        <v>18.920000000000002</v>
      </c>
      <c r="X2234" s="3">
        <v>17.920000000000002</v>
      </c>
      <c r="Y2234" s="3">
        <v>7.67</v>
      </c>
    </row>
    <row r="2235" spans="1:25" ht="60.75" x14ac:dyDescent="0.25">
      <c r="A2235" s="3" t="s">
        <v>26</v>
      </c>
      <c r="B2235" s="3" t="s">
        <v>27</v>
      </c>
      <c r="C2235" s="3" t="s">
        <v>28</v>
      </c>
      <c r="D2235" s="3" t="s">
        <v>50</v>
      </c>
      <c r="E2235" s="3" t="s">
        <v>173</v>
      </c>
      <c r="F2235" s="3" t="s">
        <v>52</v>
      </c>
      <c r="G2235" s="3" t="s">
        <v>173</v>
      </c>
      <c r="H2235" s="3" t="s">
        <v>45</v>
      </c>
      <c r="I2235" s="3">
        <v>2025</v>
      </c>
      <c r="J2235" s="3" t="str">
        <f>CONCATENATE("54820025713")</f>
        <v>54820025713</v>
      </c>
      <c r="K2235" s="3" t="s">
        <v>33</v>
      </c>
      <c r="L2235" s="3"/>
      <c r="M2235" s="3" t="s">
        <v>131</v>
      </c>
      <c r="N2235" s="3" t="str">
        <f>CONCATENATE("SMNMRA47B26E785J")</f>
        <v>SMNMRA47B26E785J</v>
      </c>
      <c r="O2235" s="3" t="s">
        <v>2370</v>
      </c>
      <c r="P2235" s="3" t="s">
        <v>36</v>
      </c>
      <c r="Q2235" s="3"/>
      <c r="R2235" s="4">
        <v>45996</v>
      </c>
      <c r="S2235" s="3" t="s">
        <v>37</v>
      </c>
      <c r="T2235" s="3" t="s">
        <v>38</v>
      </c>
      <c r="U2235" s="3" t="s">
        <v>39</v>
      </c>
      <c r="V2235" s="3">
        <v>77.34</v>
      </c>
      <c r="W2235" s="3">
        <v>32.869999999999997</v>
      </c>
      <c r="X2235" s="3">
        <v>31.13</v>
      </c>
      <c r="Y2235" s="3">
        <v>13.34</v>
      </c>
    </row>
    <row r="2236" spans="1:25" ht="60.75" x14ac:dyDescent="0.25">
      <c r="A2236" s="3" t="s">
        <v>26</v>
      </c>
      <c r="B2236" s="3" t="s">
        <v>27</v>
      </c>
      <c r="C2236" s="3" t="s">
        <v>28</v>
      </c>
      <c r="D2236" s="3" t="s">
        <v>29</v>
      </c>
      <c r="E2236" s="3" t="s">
        <v>47</v>
      </c>
      <c r="F2236" s="3" t="s">
        <v>31</v>
      </c>
      <c r="G2236" s="3" t="s">
        <v>47</v>
      </c>
      <c r="H2236" s="3" t="s">
        <v>48</v>
      </c>
      <c r="I2236" s="3">
        <v>2025</v>
      </c>
      <c r="J2236" s="3" t="str">
        <f>CONCATENATE("54820021878")</f>
        <v>54820021878</v>
      </c>
      <c r="K2236" s="3" t="s">
        <v>33</v>
      </c>
      <c r="L2236" s="3"/>
      <c r="M2236" s="3" t="s">
        <v>131</v>
      </c>
      <c r="N2236" s="3" t="str">
        <f>CONCATENATE("RGNMNC84E51D451S")</f>
        <v>RGNMNC84E51D451S</v>
      </c>
      <c r="O2236" s="3" t="s">
        <v>2371</v>
      </c>
      <c r="P2236" s="3" t="s">
        <v>36</v>
      </c>
      <c r="Q2236" s="3"/>
      <c r="R2236" s="4">
        <v>45996</v>
      </c>
      <c r="S2236" s="3" t="s">
        <v>37</v>
      </c>
      <c r="T2236" s="3" t="s">
        <v>38</v>
      </c>
      <c r="U2236" s="3" t="s">
        <v>39</v>
      </c>
      <c r="V2236" s="3">
        <v>48.33</v>
      </c>
      <c r="W2236" s="3">
        <v>20.54</v>
      </c>
      <c r="X2236" s="3">
        <v>19.45</v>
      </c>
      <c r="Y2236" s="3">
        <v>8.34</v>
      </c>
    </row>
    <row r="2237" spans="1:25" ht="60.75" x14ac:dyDescent="0.25">
      <c r="A2237" s="3" t="s">
        <v>26</v>
      </c>
      <c r="B2237" s="3" t="s">
        <v>27</v>
      </c>
      <c r="C2237" s="3" t="s">
        <v>28</v>
      </c>
      <c r="D2237" s="3" t="s">
        <v>29</v>
      </c>
      <c r="E2237" s="3" t="s">
        <v>80</v>
      </c>
      <c r="F2237" s="3" t="s">
        <v>31</v>
      </c>
      <c r="G2237" s="3" t="s">
        <v>80</v>
      </c>
      <c r="H2237" s="3" t="s">
        <v>45</v>
      </c>
      <c r="I2237" s="3">
        <v>2025</v>
      </c>
      <c r="J2237" s="3" t="str">
        <f>CONCATENATE("54820048178")</f>
        <v>54820048178</v>
      </c>
      <c r="K2237" s="3" t="s">
        <v>33</v>
      </c>
      <c r="L2237" s="3"/>
      <c r="M2237" s="3" t="s">
        <v>131</v>
      </c>
      <c r="N2237" s="3" t="str">
        <f>CONCATENATE("GDCMRA63P23G453W")</f>
        <v>GDCMRA63P23G453W</v>
      </c>
      <c r="O2237" s="3" t="s">
        <v>2372</v>
      </c>
      <c r="P2237" s="3" t="s">
        <v>36</v>
      </c>
      <c r="Q2237" s="3"/>
      <c r="R2237" s="4">
        <v>45996</v>
      </c>
      <c r="S2237" s="3" t="s">
        <v>37</v>
      </c>
      <c r="T2237" s="3" t="s">
        <v>38</v>
      </c>
      <c r="U2237" s="3" t="s">
        <v>39</v>
      </c>
      <c r="V2237" s="3">
        <v>701.93</v>
      </c>
      <c r="W2237" s="3">
        <v>298.32</v>
      </c>
      <c r="X2237" s="3">
        <v>282.52999999999997</v>
      </c>
      <c r="Y2237" s="3">
        <v>121.08</v>
      </c>
    </row>
    <row r="2238" spans="1:25" ht="60.75" x14ac:dyDescent="0.25">
      <c r="A2238" s="3" t="s">
        <v>26</v>
      </c>
      <c r="B2238" s="3" t="s">
        <v>27</v>
      </c>
      <c r="C2238" s="3" t="s">
        <v>28</v>
      </c>
      <c r="D2238" s="3" t="s">
        <v>29</v>
      </c>
      <c r="E2238" s="3" t="s">
        <v>208</v>
      </c>
      <c r="F2238" s="3" t="s">
        <v>31</v>
      </c>
      <c r="G2238" s="3" t="s">
        <v>208</v>
      </c>
      <c r="H2238" s="3" t="s">
        <v>45</v>
      </c>
      <c r="I2238" s="3">
        <v>2025</v>
      </c>
      <c r="J2238" s="3" t="str">
        <f>CONCATENATE("54820050570")</f>
        <v>54820050570</v>
      </c>
      <c r="K2238" s="3" t="s">
        <v>33</v>
      </c>
      <c r="L2238" s="3"/>
      <c r="M2238" s="3" t="s">
        <v>131</v>
      </c>
      <c r="N2238" s="3" t="str">
        <f>CONCATENATE("GMPLVR57E30G416C")</f>
        <v>GMPLVR57E30G416C</v>
      </c>
      <c r="O2238" s="3" t="s">
        <v>2373</v>
      </c>
      <c r="P2238" s="3" t="s">
        <v>36</v>
      </c>
      <c r="Q2238" s="3"/>
      <c r="R2238" s="4">
        <v>45996</v>
      </c>
      <c r="S2238" s="3" t="s">
        <v>37</v>
      </c>
      <c r="T2238" s="3" t="s">
        <v>38</v>
      </c>
      <c r="U2238" s="3" t="s">
        <v>39</v>
      </c>
      <c r="V2238" s="3">
        <v>901.35</v>
      </c>
      <c r="W2238" s="3">
        <v>383.07</v>
      </c>
      <c r="X2238" s="3">
        <v>362.79</v>
      </c>
      <c r="Y2238" s="3">
        <v>155.49</v>
      </c>
    </row>
    <row r="2239" spans="1:25" ht="72.75" x14ac:dyDescent="0.25">
      <c r="A2239" s="3" t="s">
        <v>26</v>
      </c>
      <c r="B2239" s="3" t="s">
        <v>27</v>
      </c>
      <c r="C2239" s="3" t="s">
        <v>28</v>
      </c>
      <c r="D2239" s="3" t="s">
        <v>29</v>
      </c>
      <c r="E2239" s="3" t="s">
        <v>228</v>
      </c>
      <c r="F2239" s="3" t="s">
        <v>31</v>
      </c>
      <c r="G2239" s="3" t="s">
        <v>228</v>
      </c>
      <c r="H2239" s="3" t="s">
        <v>45</v>
      </c>
      <c r="I2239" s="3">
        <v>2025</v>
      </c>
      <c r="J2239" s="3" t="str">
        <f>CONCATENATE("54820027842")</f>
        <v>54820027842</v>
      </c>
      <c r="K2239" s="3" t="s">
        <v>33</v>
      </c>
      <c r="L2239" s="3"/>
      <c r="M2239" s="3" t="s">
        <v>131</v>
      </c>
      <c r="N2239" s="3" t="str">
        <f>CONCATENATE("DAIPRN58H69D749Q")</f>
        <v>DAIPRN58H69D749Q</v>
      </c>
      <c r="O2239" s="3" t="s">
        <v>2374</v>
      </c>
      <c r="P2239" s="3" t="s">
        <v>36</v>
      </c>
      <c r="Q2239" s="3"/>
      <c r="R2239" s="4">
        <v>45996</v>
      </c>
      <c r="S2239" s="3" t="s">
        <v>37</v>
      </c>
      <c r="T2239" s="3" t="s">
        <v>38</v>
      </c>
      <c r="U2239" s="3" t="s">
        <v>39</v>
      </c>
      <c r="V2239" s="3">
        <v>199.69</v>
      </c>
      <c r="W2239" s="3">
        <v>84.87</v>
      </c>
      <c r="X2239" s="3">
        <v>80.38</v>
      </c>
      <c r="Y2239" s="3">
        <v>34.44</v>
      </c>
    </row>
    <row r="2240" spans="1:25" ht="60.75" x14ac:dyDescent="0.25">
      <c r="A2240" s="3" t="s">
        <v>26</v>
      </c>
      <c r="B2240" s="3" t="s">
        <v>27</v>
      </c>
      <c r="C2240" s="3" t="s">
        <v>28</v>
      </c>
      <c r="D2240" s="3" t="s">
        <v>29</v>
      </c>
      <c r="E2240" s="3" t="s">
        <v>80</v>
      </c>
      <c r="F2240" s="3" t="s">
        <v>31</v>
      </c>
      <c r="G2240" s="3" t="s">
        <v>80</v>
      </c>
      <c r="H2240" s="3" t="s">
        <v>45</v>
      </c>
      <c r="I2240" s="3">
        <v>2025</v>
      </c>
      <c r="J2240" s="3" t="str">
        <f>CONCATENATE("54820032172")</f>
        <v>54820032172</v>
      </c>
      <c r="K2240" s="3" t="s">
        <v>33</v>
      </c>
      <c r="L2240" s="3"/>
      <c r="M2240" s="3" t="s">
        <v>131</v>
      </c>
      <c r="N2240" s="3" t="str">
        <f>CONCATENATE("VTIBRN30S29G453J")</f>
        <v>VTIBRN30S29G453J</v>
      </c>
      <c r="O2240" s="3" t="s">
        <v>2375</v>
      </c>
      <c r="P2240" s="3" t="s">
        <v>36</v>
      </c>
      <c r="Q2240" s="3"/>
      <c r="R2240" s="4">
        <v>45996</v>
      </c>
      <c r="S2240" s="3" t="s">
        <v>37</v>
      </c>
      <c r="T2240" s="3" t="s">
        <v>38</v>
      </c>
      <c r="U2240" s="3" t="s">
        <v>39</v>
      </c>
      <c r="V2240" s="3">
        <v>654.65</v>
      </c>
      <c r="W2240" s="3">
        <v>278.23</v>
      </c>
      <c r="X2240" s="3">
        <v>263.5</v>
      </c>
      <c r="Y2240" s="3">
        <v>112.92</v>
      </c>
    </row>
    <row r="2241" spans="1:25" ht="60.75" x14ac:dyDescent="0.25">
      <c r="A2241" s="3" t="s">
        <v>26</v>
      </c>
      <c r="B2241" s="3" t="s">
        <v>27</v>
      </c>
      <c r="C2241" s="3" t="s">
        <v>28</v>
      </c>
      <c r="D2241" s="3" t="s">
        <v>29</v>
      </c>
      <c r="E2241" s="3" t="s">
        <v>119</v>
      </c>
      <c r="F2241" s="3" t="s">
        <v>31</v>
      </c>
      <c r="G2241" s="3" t="s">
        <v>119</v>
      </c>
      <c r="H2241" s="3" t="s">
        <v>96</v>
      </c>
      <c r="I2241" s="3">
        <v>2025</v>
      </c>
      <c r="J2241" s="3" t="str">
        <f>CONCATENATE("54820025200")</f>
        <v>54820025200</v>
      </c>
      <c r="K2241" s="3" t="s">
        <v>33</v>
      </c>
      <c r="L2241" s="3"/>
      <c r="M2241" s="3" t="s">
        <v>131</v>
      </c>
      <c r="N2241" s="3" t="str">
        <f>CONCATENATE("LNDVCN49S24I774P")</f>
        <v>LNDVCN49S24I774P</v>
      </c>
      <c r="O2241" s="3" t="s">
        <v>2376</v>
      </c>
      <c r="P2241" s="3" t="s">
        <v>36</v>
      </c>
      <c r="Q2241" s="3"/>
      <c r="R2241" s="4">
        <v>45996</v>
      </c>
      <c r="S2241" s="3" t="s">
        <v>37</v>
      </c>
      <c r="T2241" s="3" t="s">
        <v>38</v>
      </c>
      <c r="U2241" s="3" t="s">
        <v>39</v>
      </c>
      <c r="V2241" s="3">
        <v>289.02</v>
      </c>
      <c r="W2241" s="3">
        <v>122.83</v>
      </c>
      <c r="X2241" s="3">
        <v>116.33</v>
      </c>
      <c r="Y2241" s="3">
        <v>49.86</v>
      </c>
    </row>
    <row r="2242" spans="1:25" ht="60.75" x14ac:dyDescent="0.25">
      <c r="A2242" s="3" t="s">
        <v>26</v>
      </c>
      <c r="B2242" s="3" t="s">
        <v>27</v>
      </c>
      <c r="C2242" s="3" t="s">
        <v>28</v>
      </c>
      <c r="D2242" s="3" t="s">
        <v>29</v>
      </c>
      <c r="E2242" s="3" t="s">
        <v>72</v>
      </c>
      <c r="F2242" s="3" t="s">
        <v>31</v>
      </c>
      <c r="G2242" s="3" t="s">
        <v>72</v>
      </c>
      <c r="H2242" s="3" t="s">
        <v>45</v>
      </c>
      <c r="I2242" s="3">
        <v>2025</v>
      </c>
      <c r="J2242" s="3" t="str">
        <f>CONCATENATE("54820043583")</f>
        <v>54820043583</v>
      </c>
      <c r="K2242" s="3" t="s">
        <v>33</v>
      </c>
      <c r="L2242" s="3"/>
      <c r="M2242" s="3" t="s">
        <v>131</v>
      </c>
      <c r="N2242" s="3" t="str">
        <f>CONCATENATE("MRTLCU71T11C745Y")</f>
        <v>MRTLCU71T11C745Y</v>
      </c>
      <c r="O2242" s="3" t="s">
        <v>2377</v>
      </c>
      <c r="P2242" s="3" t="s">
        <v>36</v>
      </c>
      <c r="Q2242" s="3"/>
      <c r="R2242" s="4">
        <v>45996</v>
      </c>
      <c r="S2242" s="3" t="s">
        <v>37</v>
      </c>
      <c r="T2242" s="3" t="s">
        <v>38</v>
      </c>
      <c r="U2242" s="3" t="s">
        <v>39</v>
      </c>
      <c r="V2242" s="3">
        <v>761.23</v>
      </c>
      <c r="W2242" s="3">
        <v>323.52</v>
      </c>
      <c r="X2242" s="3">
        <v>306.39999999999998</v>
      </c>
      <c r="Y2242" s="3">
        <v>131.31</v>
      </c>
    </row>
    <row r="2243" spans="1:25" ht="72.75" x14ac:dyDescent="0.25">
      <c r="A2243" s="3" t="s">
        <v>26</v>
      </c>
      <c r="B2243" s="3" t="s">
        <v>27</v>
      </c>
      <c r="C2243" s="3" t="s">
        <v>28</v>
      </c>
      <c r="D2243" s="3" t="s">
        <v>29</v>
      </c>
      <c r="E2243" s="3" t="s">
        <v>101</v>
      </c>
      <c r="F2243" s="3" t="s">
        <v>31</v>
      </c>
      <c r="G2243" s="3" t="s">
        <v>101</v>
      </c>
      <c r="H2243" s="3" t="s">
        <v>32</v>
      </c>
      <c r="I2243" s="3">
        <v>2025</v>
      </c>
      <c r="J2243" s="3" t="str">
        <f>CONCATENATE("54820028733")</f>
        <v>54820028733</v>
      </c>
      <c r="K2243" s="3" t="s">
        <v>33</v>
      </c>
      <c r="L2243" s="3"/>
      <c r="M2243" s="3" t="s">
        <v>131</v>
      </c>
      <c r="N2243" s="3" t="str">
        <f>CONCATENATE("FRRMSM71D16L191F")</f>
        <v>FRRMSM71D16L191F</v>
      </c>
      <c r="O2243" s="3" t="s">
        <v>2378</v>
      </c>
      <c r="P2243" s="3" t="s">
        <v>36</v>
      </c>
      <c r="Q2243" s="3"/>
      <c r="R2243" s="4">
        <v>45996</v>
      </c>
      <c r="S2243" s="3" t="s">
        <v>37</v>
      </c>
      <c r="T2243" s="3" t="s">
        <v>38</v>
      </c>
      <c r="U2243" s="3" t="s">
        <v>39</v>
      </c>
      <c r="V2243" s="3">
        <v>178.17</v>
      </c>
      <c r="W2243" s="3">
        <v>75.72</v>
      </c>
      <c r="X2243" s="3">
        <v>71.709999999999994</v>
      </c>
      <c r="Y2243" s="3">
        <v>30.74</v>
      </c>
    </row>
    <row r="2244" spans="1:25" ht="60.75" x14ac:dyDescent="0.25">
      <c r="A2244" s="3" t="s">
        <v>26</v>
      </c>
      <c r="B2244" s="3" t="s">
        <v>27</v>
      </c>
      <c r="C2244" s="3" t="s">
        <v>28</v>
      </c>
      <c r="D2244" s="3" t="s">
        <v>29</v>
      </c>
      <c r="E2244" s="3" t="s">
        <v>228</v>
      </c>
      <c r="F2244" s="3" t="s">
        <v>31</v>
      </c>
      <c r="G2244" s="3" t="s">
        <v>228</v>
      </c>
      <c r="H2244" s="3" t="s">
        <v>45</v>
      </c>
      <c r="I2244" s="3">
        <v>2025</v>
      </c>
      <c r="J2244" s="3" t="str">
        <f>CONCATENATE("54820039128")</f>
        <v>54820039128</v>
      </c>
      <c r="K2244" s="3" t="s">
        <v>33</v>
      </c>
      <c r="L2244" s="3"/>
      <c r="M2244" s="3" t="s">
        <v>131</v>
      </c>
      <c r="N2244" s="3" t="str">
        <f>CONCATENATE("CRPPTR46E29G453P")</f>
        <v>CRPPTR46E29G453P</v>
      </c>
      <c r="O2244" s="3" t="s">
        <v>2379</v>
      </c>
      <c r="P2244" s="3" t="s">
        <v>36</v>
      </c>
      <c r="Q2244" s="3"/>
      <c r="R2244" s="4">
        <v>45996</v>
      </c>
      <c r="S2244" s="3" t="s">
        <v>37</v>
      </c>
      <c r="T2244" s="3" t="s">
        <v>38</v>
      </c>
      <c r="U2244" s="3" t="s">
        <v>39</v>
      </c>
      <c r="V2244" s="3">
        <v>205.08</v>
      </c>
      <c r="W2244" s="3">
        <v>87.16</v>
      </c>
      <c r="X2244" s="3">
        <v>82.54</v>
      </c>
      <c r="Y2244" s="3">
        <v>35.380000000000003</v>
      </c>
    </row>
    <row r="2245" spans="1:25" ht="60.75" x14ac:dyDescent="0.25">
      <c r="A2245" s="3" t="s">
        <v>26</v>
      </c>
      <c r="B2245" s="3" t="s">
        <v>27</v>
      </c>
      <c r="C2245" s="3" t="s">
        <v>28</v>
      </c>
      <c r="D2245" s="3" t="s">
        <v>29</v>
      </c>
      <c r="E2245" s="3" t="s">
        <v>80</v>
      </c>
      <c r="F2245" s="3" t="s">
        <v>31</v>
      </c>
      <c r="G2245" s="3" t="s">
        <v>80</v>
      </c>
      <c r="H2245" s="3" t="s">
        <v>45</v>
      </c>
      <c r="I2245" s="3">
        <v>2025</v>
      </c>
      <c r="J2245" s="3" t="str">
        <f>CONCATENATE("54820039144")</f>
        <v>54820039144</v>
      </c>
      <c r="K2245" s="3" t="s">
        <v>33</v>
      </c>
      <c r="L2245" s="3"/>
      <c r="M2245" s="3" t="s">
        <v>131</v>
      </c>
      <c r="N2245" s="3" t="str">
        <f>CONCATENATE("BRNLSN67L08G453P")</f>
        <v>BRNLSN67L08G453P</v>
      </c>
      <c r="O2245" s="3" t="s">
        <v>2380</v>
      </c>
      <c r="P2245" s="3" t="s">
        <v>36</v>
      </c>
      <c r="Q2245" s="3"/>
      <c r="R2245" s="4">
        <v>45996</v>
      </c>
      <c r="S2245" s="3" t="s">
        <v>37</v>
      </c>
      <c r="T2245" s="3" t="s">
        <v>38</v>
      </c>
      <c r="U2245" s="3" t="s">
        <v>39</v>
      </c>
      <c r="V2245" s="3">
        <v>249.13</v>
      </c>
      <c r="W2245" s="3">
        <v>105.88</v>
      </c>
      <c r="X2245" s="3">
        <v>100.27</v>
      </c>
      <c r="Y2245" s="3">
        <v>42.98</v>
      </c>
    </row>
    <row r="2246" spans="1:25" ht="60.75" x14ac:dyDescent="0.25">
      <c r="A2246" s="3" t="s">
        <v>26</v>
      </c>
      <c r="B2246" s="3" t="s">
        <v>27</v>
      </c>
      <c r="C2246" s="3" t="s">
        <v>28</v>
      </c>
      <c r="D2246" s="3" t="s">
        <v>29</v>
      </c>
      <c r="E2246" s="3" t="s">
        <v>136</v>
      </c>
      <c r="F2246" s="3" t="s">
        <v>31</v>
      </c>
      <c r="G2246" s="3" t="s">
        <v>136</v>
      </c>
      <c r="H2246" s="3" t="s">
        <v>48</v>
      </c>
      <c r="I2246" s="3">
        <v>2025</v>
      </c>
      <c r="J2246" s="3" t="str">
        <f>CONCATENATE("54820015011")</f>
        <v>54820015011</v>
      </c>
      <c r="K2246" s="3" t="s">
        <v>33</v>
      </c>
      <c r="L2246" s="3"/>
      <c r="M2246" s="3" t="s">
        <v>131</v>
      </c>
      <c r="N2246" s="3" t="str">
        <f>CONCATENATE("LSSGNN49M28I461X")</f>
        <v>LSSGNN49M28I461X</v>
      </c>
      <c r="O2246" s="3" t="s">
        <v>2381</v>
      </c>
      <c r="P2246" s="3" t="s">
        <v>36</v>
      </c>
      <c r="Q2246" s="3"/>
      <c r="R2246" s="4">
        <v>45996</v>
      </c>
      <c r="S2246" s="3" t="s">
        <v>37</v>
      </c>
      <c r="T2246" s="3" t="s">
        <v>38</v>
      </c>
      <c r="U2246" s="3" t="s">
        <v>39</v>
      </c>
      <c r="V2246" s="3">
        <v>235.54</v>
      </c>
      <c r="W2246" s="3">
        <v>100.1</v>
      </c>
      <c r="X2246" s="3">
        <v>94.8</v>
      </c>
      <c r="Y2246" s="3">
        <v>40.64</v>
      </c>
    </row>
    <row r="2247" spans="1:25" ht="60.75" x14ac:dyDescent="0.25">
      <c r="A2247" s="3" t="s">
        <v>26</v>
      </c>
      <c r="B2247" s="3" t="s">
        <v>27</v>
      </c>
      <c r="C2247" s="3" t="s">
        <v>28</v>
      </c>
      <c r="D2247" s="3" t="s">
        <v>29</v>
      </c>
      <c r="E2247" s="3" t="s">
        <v>68</v>
      </c>
      <c r="F2247" s="3" t="s">
        <v>31</v>
      </c>
      <c r="G2247" s="3" t="s">
        <v>68</v>
      </c>
      <c r="H2247" s="3" t="s">
        <v>32</v>
      </c>
      <c r="I2247" s="3">
        <v>2025</v>
      </c>
      <c r="J2247" s="3" t="str">
        <f>CONCATENATE("54820030994")</f>
        <v>54820030994</v>
      </c>
      <c r="K2247" s="3" t="s">
        <v>33</v>
      </c>
      <c r="L2247" s="3"/>
      <c r="M2247" s="3" t="s">
        <v>131</v>
      </c>
      <c r="N2247" s="3" t="str">
        <f>CONCATENATE("FNTFNC63T57I436A")</f>
        <v>FNTFNC63T57I436A</v>
      </c>
      <c r="O2247" s="3" t="s">
        <v>2382</v>
      </c>
      <c r="P2247" s="3" t="s">
        <v>36</v>
      </c>
      <c r="Q2247" s="3"/>
      <c r="R2247" s="4">
        <v>45996</v>
      </c>
      <c r="S2247" s="3" t="s">
        <v>37</v>
      </c>
      <c r="T2247" s="3" t="s">
        <v>38</v>
      </c>
      <c r="U2247" s="3" t="s">
        <v>39</v>
      </c>
      <c r="V2247" s="3">
        <v>105.87</v>
      </c>
      <c r="W2247" s="3">
        <v>44.99</v>
      </c>
      <c r="X2247" s="3">
        <v>42.61</v>
      </c>
      <c r="Y2247" s="3">
        <v>18.27</v>
      </c>
    </row>
    <row r="2248" spans="1:25" ht="72.75" x14ac:dyDescent="0.25">
      <c r="A2248" s="3" t="s">
        <v>26</v>
      </c>
      <c r="B2248" s="3" t="s">
        <v>27</v>
      </c>
      <c r="C2248" s="3" t="s">
        <v>28</v>
      </c>
      <c r="D2248" s="3" t="s">
        <v>29</v>
      </c>
      <c r="E2248" s="3" t="s">
        <v>119</v>
      </c>
      <c r="F2248" s="3" t="s">
        <v>31</v>
      </c>
      <c r="G2248" s="3" t="s">
        <v>119</v>
      </c>
      <c r="H2248" s="3" t="s">
        <v>96</v>
      </c>
      <c r="I2248" s="3">
        <v>2025</v>
      </c>
      <c r="J2248" s="3" t="str">
        <f>CONCATENATE("54820025440")</f>
        <v>54820025440</v>
      </c>
      <c r="K2248" s="3" t="s">
        <v>33</v>
      </c>
      <c r="L2248" s="3"/>
      <c r="M2248" s="3" t="s">
        <v>131</v>
      </c>
      <c r="N2248" s="3" t="str">
        <f>CONCATENATE("SCCGNN71D01A252U")</f>
        <v>SCCGNN71D01A252U</v>
      </c>
      <c r="O2248" s="3" t="s">
        <v>2383</v>
      </c>
      <c r="P2248" s="3" t="s">
        <v>36</v>
      </c>
      <c r="Q2248" s="3"/>
      <c r="R2248" s="4">
        <v>45996</v>
      </c>
      <c r="S2248" s="3" t="s">
        <v>37</v>
      </c>
      <c r="T2248" s="3" t="s">
        <v>38</v>
      </c>
      <c r="U2248" s="3" t="s">
        <v>39</v>
      </c>
      <c r="V2248" s="3">
        <v>211.29</v>
      </c>
      <c r="W2248" s="3">
        <v>89.8</v>
      </c>
      <c r="X2248" s="3">
        <v>85.04</v>
      </c>
      <c r="Y2248" s="3">
        <v>36.450000000000003</v>
      </c>
    </row>
    <row r="2249" spans="1:25" ht="60.75" x14ac:dyDescent="0.25">
      <c r="A2249" s="3" t="s">
        <v>26</v>
      </c>
      <c r="B2249" s="3" t="s">
        <v>27</v>
      </c>
      <c r="C2249" s="3" t="s">
        <v>28</v>
      </c>
      <c r="D2249" s="3" t="s">
        <v>29</v>
      </c>
      <c r="E2249" s="3" t="s">
        <v>80</v>
      </c>
      <c r="F2249" s="3" t="s">
        <v>31</v>
      </c>
      <c r="G2249" s="3" t="s">
        <v>80</v>
      </c>
      <c r="H2249" s="3" t="s">
        <v>45</v>
      </c>
      <c r="I2249" s="3">
        <v>2025</v>
      </c>
      <c r="J2249" s="3" t="str">
        <f>CONCATENATE("54820040753")</f>
        <v>54820040753</v>
      </c>
      <c r="K2249" s="3" t="s">
        <v>33</v>
      </c>
      <c r="L2249" s="3"/>
      <c r="M2249" s="3" t="s">
        <v>131</v>
      </c>
      <c r="N2249" s="3" t="str">
        <f>CONCATENATE("MRCFBA67S10I654O")</f>
        <v>MRCFBA67S10I654O</v>
      </c>
      <c r="O2249" s="3" t="s">
        <v>2384</v>
      </c>
      <c r="P2249" s="3" t="s">
        <v>36</v>
      </c>
      <c r="Q2249" s="3"/>
      <c r="R2249" s="4">
        <v>45996</v>
      </c>
      <c r="S2249" s="3" t="s">
        <v>37</v>
      </c>
      <c r="T2249" s="3" t="s">
        <v>38</v>
      </c>
      <c r="U2249" s="3" t="s">
        <v>39</v>
      </c>
      <c r="V2249" s="3">
        <v>51.84</v>
      </c>
      <c r="W2249" s="3">
        <v>22.03</v>
      </c>
      <c r="X2249" s="3">
        <v>20.87</v>
      </c>
      <c r="Y2249" s="3">
        <v>8.94</v>
      </c>
    </row>
    <row r="2250" spans="1:25" ht="60.75" x14ac:dyDescent="0.25">
      <c r="A2250" s="3" t="s">
        <v>26</v>
      </c>
      <c r="B2250" s="3" t="s">
        <v>27</v>
      </c>
      <c r="C2250" s="3" t="s">
        <v>28</v>
      </c>
      <c r="D2250" s="3" t="s">
        <v>29</v>
      </c>
      <c r="E2250" s="3" t="s">
        <v>186</v>
      </c>
      <c r="F2250" s="3" t="s">
        <v>31</v>
      </c>
      <c r="G2250" s="3" t="s">
        <v>186</v>
      </c>
      <c r="H2250" s="3" t="s">
        <v>45</v>
      </c>
      <c r="I2250" s="3">
        <v>2025</v>
      </c>
      <c r="J2250" s="3" t="str">
        <f>CONCATENATE("54820044995")</f>
        <v>54820044995</v>
      </c>
      <c r="K2250" s="3" t="s">
        <v>33</v>
      </c>
      <c r="L2250" s="3"/>
      <c r="M2250" s="3" t="s">
        <v>131</v>
      </c>
      <c r="N2250" s="3" t="str">
        <f>CONCATENATE("TMBMGS50L57I459X")</f>
        <v>TMBMGS50L57I459X</v>
      </c>
      <c r="O2250" s="3" t="s">
        <v>2385</v>
      </c>
      <c r="P2250" s="3" t="s">
        <v>36</v>
      </c>
      <c r="Q2250" s="3"/>
      <c r="R2250" s="4">
        <v>45996</v>
      </c>
      <c r="S2250" s="3" t="s">
        <v>37</v>
      </c>
      <c r="T2250" s="3" t="s">
        <v>38</v>
      </c>
      <c r="U2250" s="3" t="s">
        <v>39</v>
      </c>
      <c r="V2250" s="3">
        <v>585.41</v>
      </c>
      <c r="W2250" s="3">
        <v>248.8</v>
      </c>
      <c r="X2250" s="3">
        <v>235.63</v>
      </c>
      <c r="Y2250" s="3">
        <v>100.98</v>
      </c>
    </row>
    <row r="2251" spans="1:25" ht="60.75" x14ac:dyDescent="0.25">
      <c r="A2251" s="3" t="s">
        <v>26</v>
      </c>
      <c r="B2251" s="3" t="s">
        <v>27</v>
      </c>
      <c r="C2251" s="3" t="s">
        <v>28</v>
      </c>
      <c r="D2251" s="3" t="s">
        <v>29</v>
      </c>
      <c r="E2251" s="3" t="s">
        <v>72</v>
      </c>
      <c r="F2251" s="3" t="s">
        <v>31</v>
      </c>
      <c r="G2251" s="3" t="s">
        <v>72</v>
      </c>
      <c r="H2251" s="3" t="s">
        <v>45</v>
      </c>
      <c r="I2251" s="3">
        <v>2025</v>
      </c>
      <c r="J2251" s="3" t="str">
        <f>CONCATENATE("54820028600")</f>
        <v>54820028600</v>
      </c>
      <c r="K2251" s="3" t="s">
        <v>33</v>
      </c>
      <c r="L2251" s="3"/>
      <c r="M2251" s="3" t="s">
        <v>131</v>
      </c>
      <c r="N2251" s="3" t="str">
        <f>CONCATENATE("MRTNTN47S08A327G")</f>
        <v>MRTNTN47S08A327G</v>
      </c>
      <c r="O2251" s="3" t="s">
        <v>2386</v>
      </c>
      <c r="P2251" s="3" t="s">
        <v>36</v>
      </c>
      <c r="Q2251" s="3"/>
      <c r="R2251" s="4">
        <v>45996</v>
      </c>
      <c r="S2251" s="3" t="s">
        <v>37</v>
      </c>
      <c r="T2251" s="3" t="s">
        <v>38</v>
      </c>
      <c r="U2251" s="3" t="s">
        <v>39</v>
      </c>
      <c r="V2251" s="3">
        <v>727.61</v>
      </c>
      <c r="W2251" s="3">
        <v>309.23</v>
      </c>
      <c r="X2251" s="3">
        <v>292.86</v>
      </c>
      <c r="Y2251" s="3">
        <v>125.52</v>
      </c>
    </row>
    <row r="2252" spans="1:25" ht="60.75" x14ac:dyDescent="0.25">
      <c r="A2252" s="3" t="s">
        <v>26</v>
      </c>
      <c r="B2252" s="3" t="s">
        <v>27</v>
      </c>
      <c r="C2252" s="3" t="s">
        <v>28</v>
      </c>
      <c r="D2252" s="3" t="s">
        <v>29</v>
      </c>
      <c r="E2252" s="3" t="s">
        <v>228</v>
      </c>
      <c r="F2252" s="3" t="s">
        <v>31</v>
      </c>
      <c r="G2252" s="3" t="s">
        <v>228</v>
      </c>
      <c r="H2252" s="3" t="s">
        <v>45</v>
      </c>
      <c r="I2252" s="3">
        <v>2025</v>
      </c>
      <c r="J2252" s="3" t="str">
        <f>CONCATENATE("54820039508")</f>
        <v>54820039508</v>
      </c>
      <c r="K2252" s="3" t="s">
        <v>33</v>
      </c>
      <c r="L2252" s="3"/>
      <c r="M2252" s="3" t="s">
        <v>131</v>
      </c>
      <c r="N2252" s="3" t="str">
        <f>CONCATENATE("MSCPLN45H46I670Y")</f>
        <v>MSCPLN45H46I670Y</v>
      </c>
      <c r="O2252" s="3" t="s">
        <v>2387</v>
      </c>
      <c r="P2252" s="3" t="s">
        <v>36</v>
      </c>
      <c r="Q2252" s="3"/>
      <c r="R2252" s="4">
        <v>45996</v>
      </c>
      <c r="S2252" s="3" t="s">
        <v>37</v>
      </c>
      <c r="T2252" s="3" t="s">
        <v>38</v>
      </c>
      <c r="U2252" s="3" t="s">
        <v>39</v>
      </c>
      <c r="V2252" s="3">
        <v>49.13</v>
      </c>
      <c r="W2252" s="3">
        <v>20.88</v>
      </c>
      <c r="X2252" s="3">
        <v>19.77</v>
      </c>
      <c r="Y2252" s="3">
        <v>8.48</v>
      </c>
    </row>
    <row r="2253" spans="1:25" ht="60.75" x14ac:dyDescent="0.25">
      <c r="A2253" s="3" t="s">
        <v>26</v>
      </c>
      <c r="B2253" s="3" t="s">
        <v>27</v>
      </c>
      <c r="C2253" s="3" t="s">
        <v>28</v>
      </c>
      <c r="D2253" s="3" t="s">
        <v>50</v>
      </c>
      <c r="E2253" s="3" t="s">
        <v>51</v>
      </c>
      <c r="F2253" s="3" t="s">
        <v>52</v>
      </c>
      <c r="G2253" s="3" t="s">
        <v>51</v>
      </c>
      <c r="H2253" s="3" t="s">
        <v>48</v>
      </c>
      <c r="I2253" s="3">
        <v>2025</v>
      </c>
      <c r="J2253" s="3" t="str">
        <f>CONCATENATE("54820175153")</f>
        <v>54820175153</v>
      </c>
      <c r="K2253" s="3" t="s">
        <v>33</v>
      </c>
      <c r="L2253" s="3"/>
      <c r="M2253" s="3" t="s">
        <v>131</v>
      </c>
      <c r="N2253" s="3" t="str">
        <f>CONCATENATE("RNLGPP65E29F051I")</f>
        <v>RNLGPP65E29F051I</v>
      </c>
      <c r="O2253" s="3" t="s">
        <v>2388</v>
      </c>
      <c r="P2253" s="3" t="s">
        <v>36</v>
      </c>
      <c r="Q2253" s="3"/>
      <c r="R2253" s="4">
        <v>45996</v>
      </c>
      <c r="S2253" s="3" t="s">
        <v>37</v>
      </c>
      <c r="T2253" s="3" t="s">
        <v>38</v>
      </c>
      <c r="U2253" s="3" t="s">
        <v>39</v>
      </c>
      <c r="V2253" s="3">
        <v>610.08000000000004</v>
      </c>
      <c r="W2253" s="3">
        <v>259.27999999999997</v>
      </c>
      <c r="X2253" s="3">
        <v>245.56</v>
      </c>
      <c r="Y2253" s="3">
        <v>105.24</v>
      </c>
    </row>
    <row r="2254" spans="1:25" ht="60.75" x14ac:dyDescent="0.25">
      <c r="A2254" s="3" t="s">
        <v>26</v>
      </c>
      <c r="B2254" s="3" t="s">
        <v>27</v>
      </c>
      <c r="C2254" s="3" t="s">
        <v>28</v>
      </c>
      <c r="D2254" s="3" t="s">
        <v>50</v>
      </c>
      <c r="E2254" s="3" t="s">
        <v>147</v>
      </c>
      <c r="F2254" s="3" t="s">
        <v>52</v>
      </c>
      <c r="G2254" s="3" t="s">
        <v>147</v>
      </c>
      <c r="H2254" s="3" t="s">
        <v>45</v>
      </c>
      <c r="I2254" s="3">
        <v>2025</v>
      </c>
      <c r="J2254" s="3" t="str">
        <f>CONCATENATE("54820131347")</f>
        <v>54820131347</v>
      </c>
      <c r="K2254" s="3" t="s">
        <v>33</v>
      </c>
      <c r="L2254" s="3"/>
      <c r="M2254" s="3" t="s">
        <v>131</v>
      </c>
      <c r="N2254" s="3" t="str">
        <f>CONCATENATE("SLTMCL67E20I459M")</f>
        <v>SLTMCL67E20I459M</v>
      </c>
      <c r="O2254" s="3" t="s">
        <v>2389</v>
      </c>
      <c r="P2254" s="3" t="s">
        <v>36</v>
      </c>
      <c r="Q2254" s="3"/>
      <c r="R2254" s="4">
        <v>45996</v>
      </c>
      <c r="S2254" s="3" t="s">
        <v>37</v>
      </c>
      <c r="T2254" s="3" t="s">
        <v>38</v>
      </c>
      <c r="U2254" s="3" t="s">
        <v>39</v>
      </c>
      <c r="V2254" s="3">
        <v>143.91999999999999</v>
      </c>
      <c r="W2254" s="3">
        <v>61.17</v>
      </c>
      <c r="X2254" s="3">
        <v>57.93</v>
      </c>
      <c r="Y2254" s="3">
        <v>24.82</v>
      </c>
    </row>
    <row r="2255" spans="1:25" ht="60.75" x14ac:dyDescent="0.25">
      <c r="A2255" s="3" t="s">
        <v>26</v>
      </c>
      <c r="B2255" s="3" t="s">
        <v>27</v>
      </c>
      <c r="C2255" s="3" t="s">
        <v>28</v>
      </c>
      <c r="D2255" s="3" t="s">
        <v>29</v>
      </c>
      <c r="E2255" s="3" t="s">
        <v>101</v>
      </c>
      <c r="F2255" s="3" t="s">
        <v>31</v>
      </c>
      <c r="G2255" s="3" t="s">
        <v>101</v>
      </c>
      <c r="H2255" s="3" t="s">
        <v>32</v>
      </c>
      <c r="I2255" s="3">
        <v>2025</v>
      </c>
      <c r="J2255" s="3" t="str">
        <f>CONCATENATE("54820188693")</f>
        <v>54820188693</v>
      </c>
      <c r="K2255" s="3" t="s">
        <v>33</v>
      </c>
      <c r="L2255" s="3"/>
      <c r="M2255" s="3" t="s">
        <v>131</v>
      </c>
      <c r="N2255" s="3" t="str">
        <f>CONCATENATE("GTTGPT74T14L191L")</f>
        <v>GTTGPT74T14L191L</v>
      </c>
      <c r="O2255" s="3" t="s">
        <v>2390</v>
      </c>
      <c r="P2255" s="3" t="s">
        <v>36</v>
      </c>
      <c r="Q2255" s="3"/>
      <c r="R2255" s="4">
        <v>45996</v>
      </c>
      <c r="S2255" s="3" t="s">
        <v>37</v>
      </c>
      <c r="T2255" s="3" t="s">
        <v>38</v>
      </c>
      <c r="U2255" s="3" t="s">
        <v>39</v>
      </c>
      <c r="V2255" s="3">
        <v>125.98</v>
      </c>
      <c r="W2255" s="3">
        <v>53.54</v>
      </c>
      <c r="X2255" s="3">
        <v>50.71</v>
      </c>
      <c r="Y2255" s="3">
        <v>21.73</v>
      </c>
    </row>
    <row r="2256" spans="1:25" ht="60.75" x14ac:dyDescent="0.25">
      <c r="A2256" s="3" t="s">
        <v>26</v>
      </c>
      <c r="B2256" s="3" t="s">
        <v>27</v>
      </c>
      <c r="C2256" s="3" t="s">
        <v>28</v>
      </c>
      <c r="D2256" s="3" t="s">
        <v>50</v>
      </c>
      <c r="E2256" s="3" t="s">
        <v>252</v>
      </c>
      <c r="F2256" s="3" t="s">
        <v>52</v>
      </c>
      <c r="G2256" s="3" t="s">
        <v>252</v>
      </c>
      <c r="H2256" s="3" t="s">
        <v>45</v>
      </c>
      <c r="I2256" s="3">
        <v>2025</v>
      </c>
      <c r="J2256" s="3" t="str">
        <f>CONCATENATE("54820189642")</f>
        <v>54820189642</v>
      </c>
      <c r="K2256" s="3" t="s">
        <v>33</v>
      </c>
      <c r="L2256" s="3"/>
      <c r="M2256" s="3" t="s">
        <v>131</v>
      </c>
      <c r="N2256" s="3" t="str">
        <f>CONCATENATE("SPSTTN63S60Z110T")</f>
        <v>SPSTTN63S60Z110T</v>
      </c>
      <c r="O2256" s="3" t="s">
        <v>2391</v>
      </c>
      <c r="P2256" s="3" t="s">
        <v>36</v>
      </c>
      <c r="Q2256" s="3"/>
      <c r="R2256" s="4">
        <v>45996</v>
      </c>
      <c r="S2256" s="3" t="s">
        <v>37</v>
      </c>
      <c r="T2256" s="3" t="s">
        <v>38</v>
      </c>
      <c r="U2256" s="3" t="s">
        <v>39</v>
      </c>
      <c r="V2256" s="3">
        <v>91.5</v>
      </c>
      <c r="W2256" s="3">
        <v>38.89</v>
      </c>
      <c r="X2256" s="3">
        <v>36.83</v>
      </c>
      <c r="Y2256" s="3">
        <v>15.78</v>
      </c>
    </row>
    <row r="2257" spans="1:25" ht="60.75" x14ac:dyDescent="0.25">
      <c r="A2257" s="3" t="s">
        <v>26</v>
      </c>
      <c r="B2257" s="3" t="s">
        <v>27</v>
      </c>
      <c r="C2257" s="3" t="s">
        <v>28</v>
      </c>
      <c r="D2257" s="3" t="s">
        <v>29</v>
      </c>
      <c r="E2257" s="3" t="s">
        <v>56</v>
      </c>
      <c r="F2257" s="3" t="s">
        <v>31</v>
      </c>
      <c r="G2257" s="3" t="s">
        <v>56</v>
      </c>
      <c r="H2257" s="3" t="s">
        <v>32</v>
      </c>
      <c r="I2257" s="3">
        <v>2025</v>
      </c>
      <c r="J2257" s="3" t="str">
        <f>CONCATENATE("54820130018")</f>
        <v>54820130018</v>
      </c>
      <c r="K2257" s="3" t="s">
        <v>33</v>
      </c>
      <c r="L2257" s="3"/>
      <c r="M2257" s="3" t="s">
        <v>131</v>
      </c>
      <c r="N2257" s="3" t="str">
        <f>CONCATENATE("SRFGPP46P01B474G")</f>
        <v>SRFGPP46P01B474G</v>
      </c>
      <c r="O2257" s="3" t="s">
        <v>2392</v>
      </c>
      <c r="P2257" s="3" t="s">
        <v>36</v>
      </c>
      <c r="Q2257" s="3"/>
      <c r="R2257" s="4">
        <v>45996</v>
      </c>
      <c r="S2257" s="3" t="s">
        <v>37</v>
      </c>
      <c r="T2257" s="3" t="s">
        <v>38</v>
      </c>
      <c r="U2257" s="3" t="s">
        <v>39</v>
      </c>
      <c r="V2257" s="3">
        <v>135.29</v>
      </c>
      <c r="W2257" s="3">
        <v>57.5</v>
      </c>
      <c r="X2257" s="3">
        <v>54.45</v>
      </c>
      <c r="Y2257" s="3">
        <v>23.34</v>
      </c>
    </row>
    <row r="2258" spans="1:25" ht="60.75" x14ac:dyDescent="0.25">
      <c r="A2258" s="3" t="s">
        <v>26</v>
      </c>
      <c r="B2258" s="3" t="s">
        <v>27</v>
      </c>
      <c r="C2258" s="3" t="s">
        <v>28</v>
      </c>
      <c r="D2258" s="3" t="s">
        <v>50</v>
      </c>
      <c r="E2258" s="3" t="s">
        <v>60</v>
      </c>
      <c r="F2258" s="3" t="s">
        <v>52</v>
      </c>
      <c r="G2258" s="3" t="s">
        <v>60</v>
      </c>
      <c r="H2258" s="3" t="s">
        <v>45</v>
      </c>
      <c r="I2258" s="3">
        <v>2025</v>
      </c>
      <c r="J2258" s="3" t="str">
        <f>CONCATENATE("54820126859")</f>
        <v>54820126859</v>
      </c>
      <c r="K2258" s="3" t="s">
        <v>33</v>
      </c>
      <c r="L2258" s="3"/>
      <c r="M2258" s="3" t="s">
        <v>131</v>
      </c>
      <c r="N2258" s="3" t="str">
        <f>CONCATENATE("PRLMRA55T08G453S")</f>
        <v>PRLMRA55T08G453S</v>
      </c>
      <c r="O2258" s="3" t="s">
        <v>2393</v>
      </c>
      <c r="P2258" s="3" t="s">
        <v>36</v>
      </c>
      <c r="Q2258" s="3"/>
      <c r="R2258" s="4">
        <v>45996</v>
      </c>
      <c r="S2258" s="3" t="s">
        <v>37</v>
      </c>
      <c r="T2258" s="3" t="s">
        <v>38</v>
      </c>
      <c r="U2258" s="3" t="s">
        <v>39</v>
      </c>
      <c r="V2258" s="3">
        <v>110.17</v>
      </c>
      <c r="W2258" s="3">
        <v>46.82</v>
      </c>
      <c r="X2258" s="3">
        <v>44.34</v>
      </c>
      <c r="Y2258" s="3">
        <v>19.010000000000002</v>
      </c>
    </row>
    <row r="2259" spans="1:25" ht="36.75" x14ac:dyDescent="0.25">
      <c r="A2259" s="3" t="s">
        <v>26</v>
      </c>
      <c r="B2259" s="3" t="s">
        <v>27</v>
      </c>
      <c r="C2259" s="3" t="s">
        <v>28</v>
      </c>
      <c r="D2259" s="3" t="s">
        <v>29</v>
      </c>
      <c r="E2259" s="3" t="s">
        <v>119</v>
      </c>
      <c r="F2259" s="3" t="s">
        <v>31</v>
      </c>
      <c r="G2259" s="3" t="s">
        <v>119</v>
      </c>
      <c r="H2259" s="3" t="s">
        <v>96</v>
      </c>
      <c r="I2259" s="3">
        <v>2025</v>
      </c>
      <c r="J2259" s="3" t="str">
        <f>CONCATENATE("54820083712")</f>
        <v>54820083712</v>
      </c>
      <c r="K2259" s="3" t="s">
        <v>33</v>
      </c>
      <c r="L2259" s="3"/>
      <c r="M2259" s="3" t="s">
        <v>131</v>
      </c>
      <c r="N2259" s="3" t="str">
        <f>CONCATENATE("02362860443")</f>
        <v>02362860443</v>
      </c>
      <c r="O2259" s="3" t="s">
        <v>2394</v>
      </c>
      <c r="P2259" s="3" t="s">
        <v>36</v>
      </c>
      <c r="Q2259" s="3"/>
      <c r="R2259" s="4">
        <v>45996</v>
      </c>
      <c r="S2259" s="3" t="s">
        <v>37</v>
      </c>
      <c r="T2259" s="3" t="s">
        <v>38</v>
      </c>
      <c r="U2259" s="3" t="s">
        <v>39</v>
      </c>
      <c r="V2259" s="3">
        <v>81.540000000000006</v>
      </c>
      <c r="W2259" s="3">
        <v>34.65</v>
      </c>
      <c r="X2259" s="3">
        <v>32.82</v>
      </c>
      <c r="Y2259" s="3">
        <v>14.07</v>
      </c>
    </row>
    <row r="2260" spans="1:25" ht="60.75" x14ac:dyDescent="0.25">
      <c r="A2260" s="3" t="s">
        <v>26</v>
      </c>
      <c r="B2260" s="3" t="s">
        <v>27</v>
      </c>
      <c r="C2260" s="3" t="s">
        <v>28</v>
      </c>
      <c r="D2260" s="3" t="s">
        <v>29</v>
      </c>
      <c r="E2260" s="3" t="s">
        <v>56</v>
      </c>
      <c r="F2260" s="3" t="s">
        <v>31</v>
      </c>
      <c r="G2260" s="3" t="s">
        <v>56</v>
      </c>
      <c r="H2260" s="3" t="s">
        <v>32</v>
      </c>
      <c r="I2260" s="3">
        <v>2025</v>
      </c>
      <c r="J2260" s="3" t="str">
        <f>CONCATENATE("54820099627")</f>
        <v>54820099627</v>
      </c>
      <c r="K2260" s="3" t="s">
        <v>33</v>
      </c>
      <c r="L2260" s="3"/>
      <c r="M2260" s="3" t="s">
        <v>131</v>
      </c>
      <c r="N2260" s="3" t="str">
        <f>CONCATENATE("MSSRNN58E47H267C")</f>
        <v>MSSRNN58E47H267C</v>
      </c>
      <c r="O2260" s="3" t="s">
        <v>2395</v>
      </c>
      <c r="P2260" s="3" t="s">
        <v>36</v>
      </c>
      <c r="Q2260" s="3"/>
      <c r="R2260" s="4">
        <v>45996</v>
      </c>
      <c r="S2260" s="3" t="s">
        <v>37</v>
      </c>
      <c r="T2260" s="3" t="s">
        <v>38</v>
      </c>
      <c r="U2260" s="3" t="s">
        <v>39</v>
      </c>
      <c r="V2260" s="3">
        <v>455.94</v>
      </c>
      <c r="W2260" s="3">
        <v>193.77</v>
      </c>
      <c r="X2260" s="3">
        <v>183.52</v>
      </c>
      <c r="Y2260" s="3">
        <v>78.650000000000006</v>
      </c>
    </row>
    <row r="2261" spans="1:25" ht="60.75" x14ac:dyDescent="0.25">
      <c r="A2261" s="3" t="s">
        <v>26</v>
      </c>
      <c r="B2261" s="3" t="s">
        <v>27</v>
      </c>
      <c r="C2261" s="3" t="s">
        <v>28</v>
      </c>
      <c r="D2261" s="3" t="s">
        <v>91</v>
      </c>
      <c r="E2261" s="3" t="s">
        <v>2396</v>
      </c>
      <c r="F2261" s="3" t="s">
        <v>93</v>
      </c>
      <c r="G2261" s="3" t="s">
        <v>2396</v>
      </c>
      <c r="H2261" s="3" t="s">
        <v>32</v>
      </c>
      <c r="I2261" s="3">
        <v>2025</v>
      </c>
      <c r="J2261" s="3" t="str">
        <f>CONCATENATE("54820084751")</f>
        <v>54820084751</v>
      </c>
      <c r="K2261" s="3" t="s">
        <v>33</v>
      </c>
      <c r="L2261" s="3"/>
      <c r="M2261" s="3" t="s">
        <v>131</v>
      </c>
      <c r="N2261" s="3" t="str">
        <f>CONCATENATE("PRLVCN71R26F935S")</f>
        <v>PRLVCN71R26F935S</v>
      </c>
      <c r="O2261" s="3" t="s">
        <v>2397</v>
      </c>
      <c r="P2261" s="3" t="s">
        <v>36</v>
      </c>
      <c r="Q2261" s="3"/>
      <c r="R2261" s="4">
        <v>45996</v>
      </c>
      <c r="S2261" s="3" t="s">
        <v>37</v>
      </c>
      <c r="T2261" s="3" t="s">
        <v>38</v>
      </c>
      <c r="U2261" s="3" t="s">
        <v>39</v>
      </c>
      <c r="V2261" s="3">
        <v>125.08</v>
      </c>
      <c r="W2261" s="3">
        <v>53.16</v>
      </c>
      <c r="X2261" s="3">
        <v>50.34</v>
      </c>
      <c r="Y2261" s="3">
        <v>21.58</v>
      </c>
    </row>
    <row r="2262" spans="1:25" ht="60.75" x14ac:dyDescent="0.25">
      <c r="A2262" s="3" t="s">
        <v>26</v>
      </c>
      <c r="B2262" s="3" t="s">
        <v>27</v>
      </c>
      <c r="C2262" s="3" t="s">
        <v>28</v>
      </c>
      <c r="D2262" s="3" t="s">
        <v>50</v>
      </c>
      <c r="E2262" s="3" t="s">
        <v>60</v>
      </c>
      <c r="F2262" s="3" t="s">
        <v>52</v>
      </c>
      <c r="G2262" s="3" t="s">
        <v>60</v>
      </c>
      <c r="H2262" s="3" t="s">
        <v>45</v>
      </c>
      <c r="I2262" s="3">
        <v>2025</v>
      </c>
      <c r="J2262" s="3" t="str">
        <f>CONCATENATE("54820113402")</f>
        <v>54820113402</v>
      </c>
      <c r="K2262" s="3" t="s">
        <v>33</v>
      </c>
      <c r="L2262" s="3"/>
      <c r="M2262" s="3" t="s">
        <v>131</v>
      </c>
      <c r="N2262" s="3" t="str">
        <f>CONCATENATE("GRRGCM98C10B352N")</f>
        <v>GRRGCM98C10B352N</v>
      </c>
      <c r="O2262" s="3" t="s">
        <v>2398</v>
      </c>
      <c r="P2262" s="3" t="s">
        <v>36</v>
      </c>
      <c r="Q2262" s="3"/>
      <c r="R2262" s="4">
        <v>45996</v>
      </c>
      <c r="S2262" s="3" t="s">
        <v>37</v>
      </c>
      <c r="T2262" s="3" t="s">
        <v>38</v>
      </c>
      <c r="U2262" s="3" t="s">
        <v>39</v>
      </c>
      <c r="V2262" s="3">
        <v>58.52</v>
      </c>
      <c r="W2262" s="3">
        <v>24.87</v>
      </c>
      <c r="X2262" s="3">
        <v>23.55</v>
      </c>
      <c r="Y2262" s="3">
        <v>10.1</v>
      </c>
    </row>
    <row r="2263" spans="1:25" ht="60.75" x14ac:dyDescent="0.25">
      <c r="A2263" s="3" t="s">
        <v>26</v>
      </c>
      <c r="B2263" s="3" t="s">
        <v>27</v>
      </c>
      <c r="C2263" s="3" t="s">
        <v>28</v>
      </c>
      <c r="D2263" s="3" t="s">
        <v>29</v>
      </c>
      <c r="E2263" s="3" t="s">
        <v>68</v>
      </c>
      <c r="F2263" s="3" t="s">
        <v>31</v>
      </c>
      <c r="G2263" s="3" t="s">
        <v>68</v>
      </c>
      <c r="H2263" s="3" t="s">
        <v>32</v>
      </c>
      <c r="I2263" s="3">
        <v>2025</v>
      </c>
      <c r="J2263" s="3" t="str">
        <f>CONCATENATE("54820027446")</f>
        <v>54820027446</v>
      </c>
      <c r="K2263" s="3" t="s">
        <v>33</v>
      </c>
      <c r="L2263" s="3"/>
      <c r="M2263" s="3" t="s">
        <v>131</v>
      </c>
      <c r="N2263" s="3" t="str">
        <f>CONCATENATE("CRDMFR40C59I436Q")</f>
        <v>CRDMFR40C59I436Q</v>
      </c>
      <c r="O2263" s="3" t="s">
        <v>2399</v>
      </c>
      <c r="P2263" s="3" t="s">
        <v>36</v>
      </c>
      <c r="Q2263" s="3"/>
      <c r="R2263" s="4">
        <v>45996</v>
      </c>
      <c r="S2263" s="3" t="s">
        <v>37</v>
      </c>
      <c r="T2263" s="3" t="s">
        <v>38</v>
      </c>
      <c r="U2263" s="3" t="s">
        <v>39</v>
      </c>
      <c r="V2263" s="3">
        <v>323.31</v>
      </c>
      <c r="W2263" s="3">
        <v>137.41</v>
      </c>
      <c r="X2263" s="3">
        <v>130.13</v>
      </c>
      <c r="Y2263" s="3">
        <v>55.77</v>
      </c>
    </row>
    <row r="2264" spans="1:25" ht="60.75" x14ac:dyDescent="0.25">
      <c r="A2264" s="3" t="s">
        <v>26</v>
      </c>
      <c r="B2264" s="3" t="s">
        <v>27</v>
      </c>
      <c r="C2264" s="3" t="s">
        <v>28</v>
      </c>
      <c r="D2264" s="3" t="s">
        <v>29</v>
      </c>
      <c r="E2264" s="3" t="s">
        <v>80</v>
      </c>
      <c r="F2264" s="3" t="s">
        <v>31</v>
      </c>
      <c r="G2264" s="3" t="s">
        <v>80</v>
      </c>
      <c r="H2264" s="3" t="s">
        <v>45</v>
      </c>
      <c r="I2264" s="3">
        <v>2025</v>
      </c>
      <c r="J2264" s="3" t="str">
        <f>CONCATENATE("54820111778")</f>
        <v>54820111778</v>
      </c>
      <c r="K2264" s="3" t="s">
        <v>33</v>
      </c>
      <c r="L2264" s="3"/>
      <c r="M2264" s="3" t="s">
        <v>131</v>
      </c>
      <c r="N2264" s="3" t="str">
        <f>CONCATENATE("PRFNZE31R17G453E")</f>
        <v>PRFNZE31R17G453E</v>
      </c>
      <c r="O2264" s="3" t="s">
        <v>2400</v>
      </c>
      <c r="P2264" s="3" t="s">
        <v>36</v>
      </c>
      <c r="Q2264" s="3"/>
      <c r="R2264" s="4">
        <v>45996</v>
      </c>
      <c r="S2264" s="3" t="s">
        <v>37</v>
      </c>
      <c r="T2264" s="3" t="s">
        <v>38</v>
      </c>
      <c r="U2264" s="3" t="s">
        <v>39</v>
      </c>
      <c r="V2264" s="3">
        <v>164.6</v>
      </c>
      <c r="W2264" s="3">
        <v>69.959999999999994</v>
      </c>
      <c r="X2264" s="3">
        <v>66.25</v>
      </c>
      <c r="Y2264" s="3">
        <v>28.39</v>
      </c>
    </row>
    <row r="2265" spans="1:25" ht="72.75" x14ac:dyDescent="0.25">
      <c r="A2265" s="3" t="s">
        <v>26</v>
      </c>
      <c r="B2265" s="3" t="s">
        <v>27</v>
      </c>
      <c r="C2265" s="3" t="s">
        <v>28</v>
      </c>
      <c r="D2265" s="3" t="s">
        <v>29</v>
      </c>
      <c r="E2265" s="3" t="s">
        <v>136</v>
      </c>
      <c r="F2265" s="3" t="s">
        <v>31</v>
      </c>
      <c r="G2265" s="3" t="s">
        <v>136</v>
      </c>
      <c r="H2265" s="3" t="s">
        <v>48</v>
      </c>
      <c r="I2265" s="3">
        <v>2025</v>
      </c>
      <c r="J2265" s="3" t="str">
        <f>CONCATENATE("54820075932")</f>
        <v>54820075932</v>
      </c>
      <c r="K2265" s="3" t="s">
        <v>33</v>
      </c>
      <c r="L2265" s="3"/>
      <c r="M2265" s="3" t="s">
        <v>131</v>
      </c>
      <c r="N2265" s="3" t="str">
        <f>CONCATENATE("FRNNMR67A67G337V")</f>
        <v>FRNNMR67A67G337V</v>
      </c>
      <c r="O2265" s="3" t="s">
        <v>2401</v>
      </c>
      <c r="P2265" s="3" t="s">
        <v>36</v>
      </c>
      <c r="Q2265" s="3"/>
      <c r="R2265" s="4">
        <v>45996</v>
      </c>
      <c r="S2265" s="3" t="s">
        <v>37</v>
      </c>
      <c r="T2265" s="3" t="s">
        <v>38</v>
      </c>
      <c r="U2265" s="3" t="s">
        <v>39</v>
      </c>
      <c r="V2265" s="3">
        <v>103.41</v>
      </c>
      <c r="W2265" s="3">
        <v>43.95</v>
      </c>
      <c r="X2265" s="3">
        <v>41.62</v>
      </c>
      <c r="Y2265" s="3">
        <v>17.84</v>
      </c>
    </row>
    <row r="2266" spans="1:25" ht="60.75" x14ac:dyDescent="0.25">
      <c r="A2266" s="3" t="s">
        <v>26</v>
      </c>
      <c r="B2266" s="3" t="s">
        <v>27</v>
      </c>
      <c r="C2266" s="3" t="s">
        <v>28</v>
      </c>
      <c r="D2266" s="3" t="s">
        <v>29</v>
      </c>
      <c r="E2266" s="3" t="s">
        <v>182</v>
      </c>
      <c r="F2266" s="3" t="s">
        <v>31</v>
      </c>
      <c r="G2266" s="3" t="s">
        <v>182</v>
      </c>
      <c r="H2266" s="3" t="s">
        <v>45</v>
      </c>
      <c r="I2266" s="3">
        <v>2025</v>
      </c>
      <c r="J2266" s="3" t="str">
        <f>CONCATENATE("54820151980")</f>
        <v>54820151980</v>
      </c>
      <c r="K2266" s="3" t="s">
        <v>33</v>
      </c>
      <c r="L2266" s="3"/>
      <c r="M2266" s="3" t="s">
        <v>131</v>
      </c>
      <c r="N2266" s="3" t="str">
        <f>CONCATENATE("TBRTMS89R31L500M")</f>
        <v>TBRTMS89R31L500M</v>
      </c>
      <c r="O2266" s="3" t="s">
        <v>2402</v>
      </c>
      <c r="P2266" s="3" t="s">
        <v>36</v>
      </c>
      <c r="Q2266" s="3"/>
      <c r="R2266" s="4">
        <v>45996</v>
      </c>
      <c r="S2266" s="3" t="s">
        <v>37</v>
      </c>
      <c r="T2266" s="3" t="s">
        <v>38</v>
      </c>
      <c r="U2266" s="3" t="s">
        <v>39</v>
      </c>
      <c r="V2266" s="3">
        <v>901.63</v>
      </c>
      <c r="W2266" s="3">
        <v>383.19</v>
      </c>
      <c r="X2266" s="3">
        <v>362.91</v>
      </c>
      <c r="Y2266" s="3">
        <v>155.53</v>
      </c>
    </row>
    <row r="2267" spans="1:25" ht="60.75" x14ac:dyDescent="0.25">
      <c r="A2267" s="3" t="s">
        <v>26</v>
      </c>
      <c r="B2267" s="3" t="s">
        <v>27</v>
      </c>
      <c r="C2267" s="3" t="s">
        <v>28</v>
      </c>
      <c r="D2267" s="3" t="s">
        <v>50</v>
      </c>
      <c r="E2267" s="3" t="s">
        <v>252</v>
      </c>
      <c r="F2267" s="3" t="s">
        <v>52</v>
      </c>
      <c r="G2267" s="3" t="s">
        <v>252</v>
      </c>
      <c r="H2267" s="3" t="s">
        <v>45</v>
      </c>
      <c r="I2267" s="3">
        <v>2025</v>
      </c>
      <c r="J2267" s="3" t="str">
        <f>CONCATENATE("54820120159")</f>
        <v>54820120159</v>
      </c>
      <c r="K2267" s="3" t="s">
        <v>33</v>
      </c>
      <c r="L2267" s="3"/>
      <c r="M2267" s="3" t="s">
        <v>131</v>
      </c>
      <c r="N2267" s="3" t="str">
        <f>CONCATENATE("BLCRRT63B19D749P")</f>
        <v>BLCRRT63B19D749P</v>
      </c>
      <c r="O2267" s="3" t="s">
        <v>2403</v>
      </c>
      <c r="P2267" s="3" t="s">
        <v>36</v>
      </c>
      <c r="Q2267" s="3"/>
      <c r="R2267" s="4">
        <v>45996</v>
      </c>
      <c r="S2267" s="3" t="s">
        <v>37</v>
      </c>
      <c r="T2267" s="3" t="s">
        <v>38</v>
      </c>
      <c r="U2267" s="3" t="s">
        <v>39</v>
      </c>
      <c r="V2267" s="3">
        <v>113.41</v>
      </c>
      <c r="W2267" s="3">
        <v>48.2</v>
      </c>
      <c r="X2267" s="3">
        <v>45.65</v>
      </c>
      <c r="Y2267" s="3">
        <v>19.559999999999999</v>
      </c>
    </row>
    <row r="2268" spans="1:25" ht="60.75" x14ac:dyDescent="0.25">
      <c r="A2268" s="3" t="s">
        <v>26</v>
      </c>
      <c r="B2268" s="3" t="s">
        <v>27</v>
      </c>
      <c r="C2268" s="3" t="s">
        <v>28</v>
      </c>
      <c r="D2268" s="3" t="s">
        <v>29</v>
      </c>
      <c r="E2268" s="3" t="s">
        <v>341</v>
      </c>
      <c r="F2268" s="3" t="s">
        <v>31</v>
      </c>
      <c r="G2268" s="3" t="s">
        <v>341</v>
      </c>
      <c r="H2268" s="3" t="s">
        <v>45</v>
      </c>
      <c r="I2268" s="3">
        <v>2025</v>
      </c>
      <c r="J2268" s="3" t="str">
        <f>CONCATENATE("54820091368")</f>
        <v>54820091368</v>
      </c>
      <c r="K2268" s="3" t="s">
        <v>33</v>
      </c>
      <c r="L2268" s="3"/>
      <c r="M2268" s="3" t="s">
        <v>131</v>
      </c>
      <c r="N2268" s="3" t="str">
        <f>CONCATENATE("RSLMRC62P19D749J")</f>
        <v>RSLMRC62P19D749J</v>
      </c>
      <c r="O2268" s="3" t="s">
        <v>2404</v>
      </c>
      <c r="P2268" s="3" t="s">
        <v>36</v>
      </c>
      <c r="Q2268" s="3"/>
      <c r="R2268" s="4">
        <v>45996</v>
      </c>
      <c r="S2268" s="3" t="s">
        <v>37</v>
      </c>
      <c r="T2268" s="3" t="s">
        <v>38</v>
      </c>
      <c r="U2268" s="3" t="s">
        <v>39</v>
      </c>
      <c r="V2268" s="3">
        <v>163.49</v>
      </c>
      <c r="W2268" s="3">
        <v>69.48</v>
      </c>
      <c r="X2268" s="3">
        <v>65.8</v>
      </c>
      <c r="Y2268" s="3">
        <v>28.21</v>
      </c>
    </row>
    <row r="2269" spans="1:25" ht="72.75" x14ac:dyDescent="0.25">
      <c r="A2269" s="3" t="s">
        <v>26</v>
      </c>
      <c r="B2269" s="3" t="s">
        <v>27</v>
      </c>
      <c r="C2269" s="3" t="s">
        <v>28</v>
      </c>
      <c r="D2269" s="3" t="s">
        <v>50</v>
      </c>
      <c r="E2269" s="3" t="s">
        <v>60</v>
      </c>
      <c r="F2269" s="3" t="s">
        <v>52</v>
      </c>
      <c r="G2269" s="3" t="s">
        <v>60</v>
      </c>
      <c r="H2269" s="3" t="s">
        <v>45</v>
      </c>
      <c r="I2269" s="3">
        <v>2025</v>
      </c>
      <c r="J2269" s="3" t="str">
        <f>CONCATENATE("54820106067")</f>
        <v>54820106067</v>
      </c>
      <c r="K2269" s="3" t="s">
        <v>33</v>
      </c>
      <c r="L2269" s="3"/>
      <c r="M2269" s="3" t="s">
        <v>131</v>
      </c>
      <c r="N2269" s="3" t="str">
        <f>CONCATENATE("CNTTNZ46A30D809D")</f>
        <v>CNTTNZ46A30D809D</v>
      </c>
      <c r="O2269" s="3" t="s">
        <v>2405</v>
      </c>
      <c r="P2269" s="3" t="s">
        <v>36</v>
      </c>
      <c r="Q2269" s="3"/>
      <c r="R2269" s="4">
        <v>45996</v>
      </c>
      <c r="S2269" s="3" t="s">
        <v>37</v>
      </c>
      <c r="T2269" s="3" t="s">
        <v>38</v>
      </c>
      <c r="U2269" s="3" t="s">
        <v>39</v>
      </c>
      <c r="V2269" s="3">
        <v>125.6</v>
      </c>
      <c r="W2269" s="3">
        <v>53.38</v>
      </c>
      <c r="X2269" s="3">
        <v>50.55</v>
      </c>
      <c r="Y2269" s="3">
        <v>21.67</v>
      </c>
    </row>
    <row r="2270" spans="1:25" ht="36.75" x14ac:dyDescent="0.25">
      <c r="A2270" s="3" t="s">
        <v>26</v>
      </c>
      <c r="B2270" s="3" t="s">
        <v>27</v>
      </c>
      <c r="C2270" s="3" t="s">
        <v>28</v>
      </c>
      <c r="D2270" s="3" t="s">
        <v>50</v>
      </c>
      <c r="E2270" s="3" t="s">
        <v>290</v>
      </c>
      <c r="F2270" s="3" t="s">
        <v>52</v>
      </c>
      <c r="G2270" s="3" t="s">
        <v>290</v>
      </c>
      <c r="H2270" s="3" t="s">
        <v>96</v>
      </c>
      <c r="I2270" s="3">
        <v>2025</v>
      </c>
      <c r="J2270" s="3" t="str">
        <f>CONCATENATE("54820137013")</f>
        <v>54820137013</v>
      </c>
      <c r="K2270" s="3" t="s">
        <v>33</v>
      </c>
      <c r="L2270" s="3"/>
      <c r="M2270" s="3" t="s">
        <v>131</v>
      </c>
      <c r="N2270" s="3" t="str">
        <f>CONCATENATE("02531690440")</f>
        <v>02531690440</v>
      </c>
      <c r="O2270" s="3" t="s">
        <v>2406</v>
      </c>
      <c r="P2270" s="3" t="s">
        <v>36</v>
      </c>
      <c r="Q2270" s="3"/>
      <c r="R2270" s="4">
        <v>45996</v>
      </c>
      <c r="S2270" s="3" t="s">
        <v>37</v>
      </c>
      <c r="T2270" s="3" t="s">
        <v>38</v>
      </c>
      <c r="U2270" s="3" t="s">
        <v>39</v>
      </c>
      <c r="V2270" s="3">
        <v>605.08000000000004</v>
      </c>
      <c r="W2270" s="3">
        <v>257.16000000000003</v>
      </c>
      <c r="X2270" s="3">
        <v>243.54</v>
      </c>
      <c r="Y2270" s="3">
        <v>104.38</v>
      </c>
    </row>
    <row r="2271" spans="1:25" ht="60.75" x14ac:dyDescent="0.25">
      <c r="A2271" s="3" t="s">
        <v>26</v>
      </c>
      <c r="B2271" s="3" t="s">
        <v>27</v>
      </c>
      <c r="C2271" s="3" t="s">
        <v>28</v>
      </c>
      <c r="D2271" s="3" t="s">
        <v>29</v>
      </c>
      <c r="E2271" s="3" t="s">
        <v>136</v>
      </c>
      <c r="F2271" s="3" t="s">
        <v>31</v>
      </c>
      <c r="G2271" s="3" t="s">
        <v>136</v>
      </c>
      <c r="H2271" s="3" t="s">
        <v>48</v>
      </c>
      <c r="I2271" s="3">
        <v>2025</v>
      </c>
      <c r="J2271" s="3" t="str">
        <f>CONCATENATE("54820141981")</f>
        <v>54820141981</v>
      </c>
      <c r="K2271" s="3" t="s">
        <v>33</v>
      </c>
      <c r="L2271" s="3"/>
      <c r="M2271" s="3" t="s">
        <v>131</v>
      </c>
      <c r="N2271" s="3" t="str">
        <f>CONCATENATE("PSSPRN40L52D965F")</f>
        <v>PSSPRN40L52D965F</v>
      </c>
      <c r="O2271" s="3" t="s">
        <v>2407</v>
      </c>
      <c r="P2271" s="3" t="s">
        <v>36</v>
      </c>
      <c r="Q2271" s="3"/>
      <c r="R2271" s="4">
        <v>45996</v>
      </c>
      <c r="S2271" s="3" t="s">
        <v>37</v>
      </c>
      <c r="T2271" s="3" t="s">
        <v>38</v>
      </c>
      <c r="U2271" s="3" t="s">
        <v>39</v>
      </c>
      <c r="V2271" s="3">
        <v>83.03</v>
      </c>
      <c r="W2271" s="3">
        <v>35.29</v>
      </c>
      <c r="X2271" s="3">
        <v>33.42</v>
      </c>
      <c r="Y2271" s="3">
        <v>14.32</v>
      </c>
    </row>
    <row r="2272" spans="1:25" ht="60.75" x14ac:dyDescent="0.25">
      <c r="A2272" s="3" t="s">
        <v>26</v>
      </c>
      <c r="B2272" s="3" t="s">
        <v>27</v>
      </c>
      <c r="C2272" s="3" t="s">
        <v>28</v>
      </c>
      <c r="D2272" s="3" t="s">
        <v>50</v>
      </c>
      <c r="E2272" s="3" t="s">
        <v>147</v>
      </c>
      <c r="F2272" s="3" t="s">
        <v>52</v>
      </c>
      <c r="G2272" s="3" t="s">
        <v>147</v>
      </c>
      <c r="H2272" s="3" t="s">
        <v>45</v>
      </c>
      <c r="I2272" s="3">
        <v>2025</v>
      </c>
      <c r="J2272" s="3" t="str">
        <f>CONCATENATE("54820146188")</f>
        <v>54820146188</v>
      </c>
      <c r="K2272" s="3" t="s">
        <v>33</v>
      </c>
      <c r="L2272" s="3"/>
      <c r="M2272" s="3" t="s">
        <v>131</v>
      </c>
      <c r="N2272" s="3" t="str">
        <f>CONCATENATE("FDDNTN68S25A895Y")</f>
        <v>FDDNTN68S25A895Y</v>
      </c>
      <c r="O2272" s="3" t="s">
        <v>2408</v>
      </c>
      <c r="P2272" s="3" t="s">
        <v>36</v>
      </c>
      <c r="Q2272" s="3"/>
      <c r="R2272" s="4">
        <v>45996</v>
      </c>
      <c r="S2272" s="3" t="s">
        <v>37</v>
      </c>
      <c r="T2272" s="3" t="s">
        <v>38</v>
      </c>
      <c r="U2272" s="3" t="s">
        <v>39</v>
      </c>
      <c r="V2272" s="3">
        <v>726.97</v>
      </c>
      <c r="W2272" s="3">
        <v>308.95999999999998</v>
      </c>
      <c r="X2272" s="3">
        <v>292.61</v>
      </c>
      <c r="Y2272" s="3">
        <v>125.4</v>
      </c>
    </row>
    <row r="2273" spans="1:25" ht="60.75" x14ac:dyDescent="0.25">
      <c r="A2273" s="3" t="s">
        <v>26</v>
      </c>
      <c r="B2273" s="3" t="s">
        <v>27</v>
      </c>
      <c r="C2273" s="3" t="s">
        <v>28</v>
      </c>
      <c r="D2273" s="3" t="s">
        <v>2198</v>
      </c>
      <c r="E2273" s="3" t="s">
        <v>2199</v>
      </c>
      <c r="F2273" s="3" t="s">
        <v>2200</v>
      </c>
      <c r="G2273" s="3" t="s">
        <v>2199</v>
      </c>
      <c r="H2273" s="3" t="s">
        <v>96</v>
      </c>
      <c r="I2273" s="3">
        <v>2025</v>
      </c>
      <c r="J2273" s="3" t="str">
        <f>CONCATENATE("54820144712")</f>
        <v>54820144712</v>
      </c>
      <c r="K2273" s="3" t="s">
        <v>33</v>
      </c>
      <c r="L2273" s="3"/>
      <c r="M2273" s="3" t="s">
        <v>131</v>
      </c>
      <c r="N2273" s="3" t="str">
        <f>CONCATENATE("MLLGPP52T15A252L")</f>
        <v>MLLGPP52T15A252L</v>
      </c>
      <c r="O2273" s="3" t="s">
        <v>2409</v>
      </c>
      <c r="P2273" s="3" t="s">
        <v>36</v>
      </c>
      <c r="Q2273" s="3"/>
      <c r="R2273" s="4">
        <v>45996</v>
      </c>
      <c r="S2273" s="3" t="s">
        <v>37</v>
      </c>
      <c r="T2273" s="3" t="s">
        <v>38</v>
      </c>
      <c r="U2273" s="3" t="s">
        <v>39</v>
      </c>
      <c r="V2273" s="3">
        <v>103.79</v>
      </c>
      <c r="W2273" s="3">
        <v>44.11</v>
      </c>
      <c r="X2273" s="3">
        <v>41.78</v>
      </c>
      <c r="Y2273" s="3">
        <v>17.899999999999999</v>
      </c>
    </row>
    <row r="2274" spans="1:25" ht="60.75" x14ac:dyDescent="0.25">
      <c r="A2274" s="3" t="s">
        <v>26</v>
      </c>
      <c r="B2274" s="3" t="s">
        <v>27</v>
      </c>
      <c r="C2274" s="3" t="s">
        <v>28</v>
      </c>
      <c r="D2274" s="3" t="s">
        <v>104</v>
      </c>
      <c r="E2274" s="3" t="s">
        <v>691</v>
      </c>
      <c r="F2274" s="3" t="s">
        <v>104</v>
      </c>
      <c r="G2274" s="3" t="s">
        <v>691</v>
      </c>
      <c r="H2274" s="3" t="s">
        <v>48</v>
      </c>
      <c r="I2274" s="3">
        <v>2025</v>
      </c>
      <c r="J2274" s="3" t="str">
        <f>CONCATENATE("54820367719")</f>
        <v>54820367719</v>
      </c>
      <c r="K2274" s="3" t="s">
        <v>33</v>
      </c>
      <c r="L2274" s="3"/>
      <c r="M2274" s="3" t="s">
        <v>131</v>
      </c>
      <c r="N2274" s="3" t="str">
        <f>CONCATENATE("CMRMRN62D10I653P")</f>
        <v>CMRMRN62D10I653P</v>
      </c>
      <c r="O2274" s="3" t="s">
        <v>2410</v>
      </c>
      <c r="P2274" s="3" t="s">
        <v>36</v>
      </c>
      <c r="Q2274" s="3"/>
      <c r="R2274" s="4">
        <v>45996</v>
      </c>
      <c r="S2274" s="3" t="s">
        <v>37</v>
      </c>
      <c r="T2274" s="3" t="s">
        <v>38</v>
      </c>
      <c r="U2274" s="3" t="s">
        <v>39</v>
      </c>
      <c r="V2274" s="3">
        <v>116.6</v>
      </c>
      <c r="W2274" s="3">
        <v>49.56</v>
      </c>
      <c r="X2274" s="3">
        <v>46.93</v>
      </c>
      <c r="Y2274" s="3">
        <v>20.11</v>
      </c>
    </row>
    <row r="2275" spans="1:25" ht="72.75" x14ac:dyDescent="0.25">
      <c r="A2275" s="3" t="s">
        <v>26</v>
      </c>
      <c r="B2275" s="3" t="s">
        <v>27</v>
      </c>
      <c r="C2275" s="3" t="s">
        <v>28</v>
      </c>
      <c r="D2275" s="3" t="s">
        <v>50</v>
      </c>
      <c r="E2275" s="3" t="s">
        <v>252</v>
      </c>
      <c r="F2275" s="3" t="s">
        <v>52</v>
      </c>
      <c r="G2275" s="3" t="s">
        <v>252</v>
      </c>
      <c r="H2275" s="3" t="s">
        <v>45</v>
      </c>
      <c r="I2275" s="3">
        <v>2025</v>
      </c>
      <c r="J2275" s="3" t="str">
        <f>CONCATENATE("54820184619")</f>
        <v>54820184619</v>
      </c>
      <c r="K2275" s="3" t="s">
        <v>33</v>
      </c>
      <c r="L2275" s="3"/>
      <c r="M2275" s="3" t="s">
        <v>131</v>
      </c>
      <c r="N2275" s="3" t="str">
        <f>CONCATENATE("GMBNLL62M47D749A")</f>
        <v>GMBNLL62M47D749A</v>
      </c>
      <c r="O2275" s="3" t="s">
        <v>2411</v>
      </c>
      <c r="P2275" s="3" t="s">
        <v>36</v>
      </c>
      <c r="Q2275" s="3"/>
      <c r="R2275" s="4">
        <v>45996</v>
      </c>
      <c r="S2275" s="3" t="s">
        <v>37</v>
      </c>
      <c r="T2275" s="3" t="s">
        <v>38</v>
      </c>
      <c r="U2275" s="3" t="s">
        <v>39</v>
      </c>
      <c r="V2275" s="3">
        <v>98.96</v>
      </c>
      <c r="W2275" s="3">
        <v>42.06</v>
      </c>
      <c r="X2275" s="3">
        <v>39.83</v>
      </c>
      <c r="Y2275" s="3">
        <v>17.07</v>
      </c>
    </row>
    <row r="2276" spans="1:25" ht="72.75" x14ac:dyDescent="0.25">
      <c r="A2276" s="3" t="s">
        <v>26</v>
      </c>
      <c r="B2276" s="3" t="s">
        <v>27</v>
      </c>
      <c r="C2276" s="3" t="s">
        <v>28</v>
      </c>
      <c r="D2276" s="3" t="s">
        <v>29</v>
      </c>
      <c r="E2276" s="3" t="s">
        <v>80</v>
      </c>
      <c r="F2276" s="3" t="s">
        <v>31</v>
      </c>
      <c r="G2276" s="3" t="s">
        <v>80</v>
      </c>
      <c r="H2276" s="3" t="s">
        <v>45</v>
      </c>
      <c r="I2276" s="3">
        <v>2025</v>
      </c>
      <c r="J2276" s="3" t="str">
        <f>CONCATENATE("54820018106")</f>
        <v>54820018106</v>
      </c>
      <c r="K2276" s="3" t="s">
        <v>33</v>
      </c>
      <c r="L2276" s="3"/>
      <c r="M2276" s="3" t="s">
        <v>131</v>
      </c>
      <c r="N2276" s="3" t="str">
        <f>CONCATENATE("SBTSRA47M27G453D")</f>
        <v>SBTSRA47M27G453D</v>
      </c>
      <c r="O2276" s="3" t="s">
        <v>2412</v>
      </c>
      <c r="P2276" s="3" t="s">
        <v>36</v>
      </c>
      <c r="Q2276" s="3"/>
      <c r="R2276" s="4">
        <v>45996</v>
      </c>
      <c r="S2276" s="3" t="s">
        <v>37</v>
      </c>
      <c r="T2276" s="3" t="s">
        <v>38</v>
      </c>
      <c r="U2276" s="3" t="s">
        <v>39</v>
      </c>
      <c r="V2276" s="3">
        <v>108.45</v>
      </c>
      <c r="W2276" s="3">
        <v>46.09</v>
      </c>
      <c r="X2276" s="3">
        <v>43.65</v>
      </c>
      <c r="Y2276" s="3">
        <v>18.71</v>
      </c>
    </row>
    <row r="2277" spans="1:25" ht="60.75" x14ac:dyDescent="0.25">
      <c r="A2277" s="3" t="s">
        <v>26</v>
      </c>
      <c r="B2277" s="3" t="s">
        <v>27</v>
      </c>
      <c r="C2277" s="3" t="s">
        <v>28</v>
      </c>
      <c r="D2277" s="3" t="s">
        <v>104</v>
      </c>
      <c r="E2277" s="3" t="s">
        <v>141</v>
      </c>
      <c r="F2277" s="3" t="s">
        <v>104</v>
      </c>
      <c r="G2277" s="3" t="s">
        <v>141</v>
      </c>
      <c r="H2277" s="3" t="s">
        <v>96</v>
      </c>
      <c r="I2277" s="3">
        <v>2025</v>
      </c>
      <c r="J2277" s="3" t="str">
        <f>CONCATENATE("54820135553")</f>
        <v>54820135553</v>
      </c>
      <c r="K2277" s="3" t="s">
        <v>33</v>
      </c>
      <c r="L2277" s="3"/>
      <c r="M2277" s="3" t="s">
        <v>131</v>
      </c>
      <c r="N2277" s="3" t="str">
        <f>CONCATENATE("TNTTTV45L25F493C")</f>
        <v>TNTTTV45L25F493C</v>
      </c>
      <c r="O2277" s="3" t="s">
        <v>2413</v>
      </c>
      <c r="P2277" s="3" t="s">
        <v>36</v>
      </c>
      <c r="Q2277" s="3"/>
      <c r="R2277" s="4">
        <v>45996</v>
      </c>
      <c r="S2277" s="3" t="s">
        <v>37</v>
      </c>
      <c r="T2277" s="3" t="s">
        <v>38</v>
      </c>
      <c r="U2277" s="3" t="s">
        <v>39</v>
      </c>
      <c r="V2277" s="3">
        <v>476.82</v>
      </c>
      <c r="W2277" s="3">
        <v>202.65</v>
      </c>
      <c r="X2277" s="3">
        <v>191.92</v>
      </c>
      <c r="Y2277" s="3">
        <v>82.25</v>
      </c>
    </row>
    <row r="2278" spans="1:25" ht="60.75" x14ac:dyDescent="0.25">
      <c r="A2278" s="3" t="s">
        <v>26</v>
      </c>
      <c r="B2278" s="3" t="s">
        <v>27</v>
      </c>
      <c r="C2278" s="3" t="s">
        <v>28</v>
      </c>
      <c r="D2278" s="3" t="s">
        <v>50</v>
      </c>
      <c r="E2278" s="3" t="s">
        <v>147</v>
      </c>
      <c r="F2278" s="3" t="s">
        <v>52</v>
      </c>
      <c r="G2278" s="3" t="s">
        <v>147</v>
      </c>
      <c r="H2278" s="3" t="s">
        <v>45</v>
      </c>
      <c r="I2278" s="3">
        <v>2025</v>
      </c>
      <c r="J2278" s="3" t="str">
        <f>CONCATENATE("54820168844")</f>
        <v>54820168844</v>
      </c>
      <c r="K2278" s="3" t="s">
        <v>33</v>
      </c>
      <c r="L2278" s="3"/>
      <c r="M2278" s="3" t="s">
        <v>131</v>
      </c>
      <c r="N2278" s="3" t="str">
        <f>CONCATENATE("CNCLGU57A24I459O")</f>
        <v>CNCLGU57A24I459O</v>
      </c>
      <c r="O2278" s="3" t="s">
        <v>2414</v>
      </c>
      <c r="P2278" s="3" t="s">
        <v>36</v>
      </c>
      <c r="Q2278" s="3"/>
      <c r="R2278" s="4">
        <v>45996</v>
      </c>
      <c r="S2278" s="3" t="s">
        <v>37</v>
      </c>
      <c r="T2278" s="3" t="s">
        <v>38</v>
      </c>
      <c r="U2278" s="3" t="s">
        <v>39</v>
      </c>
      <c r="V2278" s="3">
        <v>673.76</v>
      </c>
      <c r="W2278" s="3">
        <v>286.35000000000002</v>
      </c>
      <c r="X2278" s="3">
        <v>271.19</v>
      </c>
      <c r="Y2278" s="3">
        <v>116.22</v>
      </c>
    </row>
    <row r="2279" spans="1:25" ht="36.75" x14ac:dyDescent="0.25">
      <c r="A2279" s="3" t="s">
        <v>26</v>
      </c>
      <c r="B2279" s="3" t="s">
        <v>27</v>
      </c>
      <c r="C2279" s="3" t="s">
        <v>28</v>
      </c>
      <c r="D2279" s="3" t="s">
        <v>29</v>
      </c>
      <c r="E2279" s="3" t="s">
        <v>186</v>
      </c>
      <c r="F2279" s="3" t="s">
        <v>31</v>
      </c>
      <c r="G2279" s="3" t="s">
        <v>186</v>
      </c>
      <c r="H2279" s="3" t="s">
        <v>45</v>
      </c>
      <c r="I2279" s="3">
        <v>2025</v>
      </c>
      <c r="J2279" s="3" t="str">
        <f>CONCATENATE("54820040902")</f>
        <v>54820040902</v>
      </c>
      <c r="K2279" s="3" t="s">
        <v>33</v>
      </c>
      <c r="L2279" s="3"/>
      <c r="M2279" s="3" t="s">
        <v>131</v>
      </c>
      <c r="N2279" s="3" t="str">
        <f>CONCATENATE("00389630419")</f>
        <v>00389630419</v>
      </c>
      <c r="O2279" s="3" t="s">
        <v>2415</v>
      </c>
      <c r="P2279" s="3" t="s">
        <v>36</v>
      </c>
      <c r="Q2279" s="3"/>
      <c r="R2279" s="4">
        <v>45996</v>
      </c>
      <c r="S2279" s="3" t="s">
        <v>37</v>
      </c>
      <c r="T2279" s="3" t="s">
        <v>38</v>
      </c>
      <c r="U2279" s="3" t="s">
        <v>39</v>
      </c>
      <c r="V2279" s="3">
        <v>245.95</v>
      </c>
      <c r="W2279" s="3">
        <v>104.53</v>
      </c>
      <c r="X2279" s="3">
        <v>98.99</v>
      </c>
      <c r="Y2279" s="3">
        <v>42.43</v>
      </c>
    </row>
    <row r="2280" spans="1:25" ht="60.75" x14ac:dyDescent="0.25">
      <c r="A2280" s="3" t="s">
        <v>26</v>
      </c>
      <c r="B2280" s="3" t="s">
        <v>27</v>
      </c>
      <c r="C2280" s="3" t="s">
        <v>28</v>
      </c>
      <c r="D2280" s="3" t="s">
        <v>29</v>
      </c>
      <c r="E2280" s="3" t="s">
        <v>68</v>
      </c>
      <c r="F2280" s="3" t="s">
        <v>31</v>
      </c>
      <c r="G2280" s="3" t="s">
        <v>68</v>
      </c>
      <c r="H2280" s="3" t="s">
        <v>32</v>
      </c>
      <c r="I2280" s="3">
        <v>2025</v>
      </c>
      <c r="J2280" s="3" t="str">
        <f>CONCATENATE("54820033956")</f>
        <v>54820033956</v>
      </c>
      <c r="K2280" s="3" t="s">
        <v>33</v>
      </c>
      <c r="L2280" s="3"/>
      <c r="M2280" s="3" t="s">
        <v>131</v>
      </c>
      <c r="N2280" s="3" t="str">
        <f>CONCATENATE("CRCSFN66T12E783S")</f>
        <v>CRCSFN66T12E783S</v>
      </c>
      <c r="O2280" s="3" t="s">
        <v>2416</v>
      </c>
      <c r="P2280" s="3" t="s">
        <v>36</v>
      </c>
      <c r="Q2280" s="3"/>
      <c r="R2280" s="4">
        <v>45996</v>
      </c>
      <c r="S2280" s="3" t="s">
        <v>37</v>
      </c>
      <c r="T2280" s="3" t="s">
        <v>38</v>
      </c>
      <c r="U2280" s="3" t="s">
        <v>39</v>
      </c>
      <c r="V2280" s="3">
        <v>90.59</v>
      </c>
      <c r="W2280" s="3">
        <v>38.5</v>
      </c>
      <c r="X2280" s="3">
        <v>36.46</v>
      </c>
      <c r="Y2280" s="3">
        <v>15.63</v>
      </c>
    </row>
    <row r="2281" spans="1:25" ht="60.75" x14ac:dyDescent="0.25">
      <c r="A2281" s="3" t="s">
        <v>26</v>
      </c>
      <c r="B2281" s="3" t="s">
        <v>27</v>
      </c>
      <c r="C2281" s="3" t="s">
        <v>28</v>
      </c>
      <c r="D2281" s="3" t="s">
        <v>50</v>
      </c>
      <c r="E2281" s="3" t="s">
        <v>51</v>
      </c>
      <c r="F2281" s="3" t="s">
        <v>52</v>
      </c>
      <c r="G2281" s="3" t="s">
        <v>51</v>
      </c>
      <c r="H2281" s="3" t="s">
        <v>48</v>
      </c>
      <c r="I2281" s="3">
        <v>2025</v>
      </c>
      <c r="J2281" s="3" t="str">
        <f>CONCATENATE("54820160676")</f>
        <v>54820160676</v>
      </c>
      <c r="K2281" s="3" t="s">
        <v>33</v>
      </c>
      <c r="L2281" s="3"/>
      <c r="M2281" s="3" t="s">
        <v>131</v>
      </c>
      <c r="N2281" s="3" t="str">
        <f>CONCATENATE("KMRPMD02M02Z222R")</f>
        <v>KMRPMD02M02Z222R</v>
      </c>
      <c r="O2281" s="3" t="s">
        <v>2417</v>
      </c>
      <c r="P2281" s="3" t="s">
        <v>36</v>
      </c>
      <c r="Q2281" s="3"/>
      <c r="R2281" s="4">
        <v>45996</v>
      </c>
      <c r="S2281" s="3" t="s">
        <v>37</v>
      </c>
      <c r="T2281" s="3" t="s">
        <v>38</v>
      </c>
      <c r="U2281" s="3" t="s">
        <v>39</v>
      </c>
      <c r="V2281" s="3">
        <v>217.44</v>
      </c>
      <c r="W2281" s="3">
        <v>92.41</v>
      </c>
      <c r="X2281" s="3">
        <v>87.52</v>
      </c>
      <c r="Y2281" s="3">
        <v>37.51</v>
      </c>
    </row>
    <row r="2282" spans="1:25" ht="60.75" x14ac:dyDescent="0.25">
      <c r="A2282" s="3" t="s">
        <v>26</v>
      </c>
      <c r="B2282" s="3" t="s">
        <v>27</v>
      </c>
      <c r="C2282" s="3" t="s">
        <v>28</v>
      </c>
      <c r="D2282" s="3" t="s">
        <v>29</v>
      </c>
      <c r="E2282" s="3" t="s">
        <v>56</v>
      </c>
      <c r="F2282" s="3" t="s">
        <v>31</v>
      </c>
      <c r="G2282" s="3" t="s">
        <v>56</v>
      </c>
      <c r="H2282" s="3" t="s">
        <v>32</v>
      </c>
      <c r="I2282" s="3">
        <v>2025</v>
      </c>
      <c r="J2282" s="3" t="str">
        <f>CONCATENATE("54820090956")</f>
        <v>54820090956</v>
      </c>
      <c r="K2282" s="3" t="s">
        <v>33</v>
      </c>
      <c r="L2282" s="3"/>
      <c r="M2282" s="3" t="s">
        <v>131</v>
      </c>
      <c r="N2282" s="3" t="str">
        <f>CONCATENATE("KNSNJA64E44Z112D")</f>
        <v>KNSNJA64E44Z112D</v>
      </c>
      <c r="O2282" s="3" t="s">
        <v>2418</v>
      </c>
      <c r="P2282" s="3" t="s">
        <v>36</v>
      </c>
      <c r="Q2282" s="3"/>
      <c r="R2282" s="4">
        <v>45996</v>
      </c>
      <c r="S2282" s="3" t="s">
        <v>37</v>
      </c>
      <c r="T2282" s="3" t="s">
        <v>38</v>
      </c>
      <c r="U2282" s="3" t="s">
        <v>39</v>
      </c>
      <c r="V2282" s="3">
        <v>189.8</v>
      </c>
      <c r="W2282" s="3">
        <v>80.67</v>
      </c>
      <c r="X2282" s="3">
        <v>76.39</v>
      </c>
      <c r="Y2282" s="3">
        <v>32.74</v>
      </c>
    </row>
    <row r="2283" spans="1:25" ht="36.75" x14ac:dyDescent="0.25">
      <c r="A2283" s="3" t="s">
        <v>26</v>
      </c>
      <c r="B2283" s="3" t="s">
        <v>27</v>
      </c>
      <c r="C2283" s="3" t="s">
        <v>28</v>
      </c>
      <c r="D2283" s="3" t="s">
        <v>29</v>
      </c>
      <c r="E2283" s="3" t="s">
        <v>56</v>
      </c>
      <c r="F2283" s="3" t="s">
        <v>31</v>
      </c>
      <c r="G2283" s="3" t="s">
        <v>56</v>
      </c>
      <c r="H2283" s="3" t="s">
        <v>32</v>
      </c>
      <c r="I2283" s="3">
        <v>2025</v>
      </c>
      <c r="J2283" s="3" t="str">
        <f>CONCATENATE("54820169305")</f>
        <v>54820169305</v>
      </c>
      <c r="K2283" s="3" t="s">
        <v>33</v>
      </c>
      <c r="L2283" s="3"/>
      <c r="M2283" s="3" t="s">
        <v>131</v>
      </c>
      <c r="N2283" s="3" t="str">
        <f>CONCATENATE("00395920432")</f>
        <v>00395920432</v>
      </c>
      <c r="O2283" s="3" t="s">
        <v>2419</v>
      </c>
      <c r="P2283" s="3" t="s">
        <v>36</v>
      </c>
      <c r="Q2283" s="3"/>
      <c r="R2283" s="4">
        <v>45996</v>
      </c>
      <c r="S2283" s="3" t="s">
        <v>37</v>
      </c>
      <c r="T2283" s="3" t="s">
        <v>38</v>
      </c>
      <c r="U2283" s="3" t="s">
        <v>39</v>
      </c>
      <c r="V2283" s="3">
        <v>167.61</v>
      </c>
      <c r="W2283" s="3">
        <v>71.23</v>
      </c>
      <c r="X2283" s="3">
        <v>67.459999999999994</v>
      </c>
      <c r="Y2283" s="3">
        <v>28.92</v>
      </c>
    </row>
    <row r="2284" spans="1:25" ht="60.75" x14ac:dyDescent="0.25">
      <c r="A2284" s="3" t="s">
        <v>26</v>
      </c>
      <c r="B2284" s="3" t="s">
        <v>27</v>
      </c>
      <c r="C2284" s="3" t="s">
        <v>28</v>
      </c>
      <c r="D2284" s="3" t="s">
        <v>104</v>
      </c>
      <c r="E2284" s="3" t="s">
        <v>141</v>
      </c>
      <c r="F2284" s="3" t="s">
        <v>104</v>
      </c>
      <c r="G2284" s="3" t="s">
        <v>141</v>
      </c>
      <c r="H2284" s="3" t="s">
        <v>96</v>
      </c>
      <c r="I2284" s="3">
        <v>2025</v>
      </c>
      <c r="J2284" s="3" t="str">
        <f>CONCATENATE("54820277231")</f>
        <v>54820277231</v>
      </c>
      <c r="K2284" s="3" t="s">
        <v>33</v>
      </c>
      <c r="L2284" s="3"/>
      <c r="M2284" s="3" t="s">
        <v>131</v>
      </c>
      <c r="N2284" s="3" t="str">
        <f>CONCATENATE("TRVMRC80R07A252S")</f>
        <v>TRVMRC80R07A252S</v>
      </c>
      <c r="O2284" s="3" t="s">
        <v>2420</v>
      </c>
      <c r="P2284" s="3" t="s">
        <v>36</v>
      </c>
      <c r="Q2284" s="3"/>
      <c r="R2284" s="4">
        <v>45996</v>
      </c>
      <c r="S2284" s="3" t="s">
        <v>37</v>
      </c>
      <c r="T2284" s="3" t="s">
        <v>38</v>
      </c>
      <c r="U2284" s="3" t="s">
        <v>39</v>
      </c>
      <c r="V2284" s="3">
        <v>105.57</v>
      </c>
      <c r="W2284" s="3">
        <v>44.87</v>
      </c>
      <c r="X2284" s="3">
        <v>42.49</v>
      </c>
      <c r="Y2284" s="3">
        <v>18.21</v>
      </c>
    </row>
    <row r="2285" spans="1:25" ht="72.75" x14ac:dyDescent="0.25">
      <c r="A2285" s="3" t="s">
        <v>26</v>
      </c>
      <c r="B2285" s="3" t="s">
        <v>27</v>
      </c>
      <c r="C2285" s="3" t="s">
        <v>28</v>
      </c>
      <c r="D2285" s="3" t="s">
        <v>91</v>
      </c>
      <c r="E2285" s="3" t="s">
        <v>151</v>
      </c>
      <c r="F2285" s="3" t="s">
        <v>93</v>
      </c>
      <c r="G2285" s="3" t="s">
        <v>151</v>
      </c>
      <c r="H2285" s="3" t="s">
        <v>45</v>
      </c>
      <c r="I2285" s="3">
        <v>2025</v>
      </c>
      <c r="J2285" s="3" t="str">
        <f>CONCATENATE("54820116421")</f>
        <v>54820116421</v>
      </c>
      <c r="K2285" s="3" t="s">
        <v>33</v>
      </c>
      <c r="L2285" s="3"/>
      <c r="M2285" s="3" t="s">
        <v>131</v>
      </c>
      <c r="N2285" s="3" t="str">
        <f>CONCATENATE("RTLRLD58H13G479O")</f>
        <v>RTLRLD58H13G479O</v>
      </c>
      <c r="O2285" s="3" t="s">
        <v>2421</v>
      </c>
      <c r="P2285" s="3" t="s">
        <v>36</v>
      </c>
      <c r="Q2285" s="3"/>
      <c r="R2285" s="4">
        <v>45996</v>
      </c>
      <c r="S2285" s="3" t="s">
        <v>37</v>
      </c>
      <c r="T2285" s="3" t="s">
        <v>38</v>
      </c>
      <c r="U2285" s="3" t="s">
        <v>39</v>
      </c>
      <c r="V2285" s="3">
        <v>190.96</v>
      </c>
      <c r="W2285" s="3">
        <v>81.16</v>
      </c>
      <c r="X2285" s="3">
        <v>76.86</v>
      </c>
      <c r="Y2285" s="3">
        <v>32.94</v>
      </c>
    </row>
    <row r="2286" spans="1:25" ht="72.75" x14ac:dyDescent="0.25">
      <c r="A2286" s="3" t="s">
        <v>26</v>
      </c>
      <c r="B2286" s="3" t="s">
        <v>27</v>
      </c>
      <c r="C2286" s="3" t="s">
        <v>28</v>
      </c>
      <c r="D2286" s="3" t="s">
        <v>104</v>
      </c>
      <c r="E2286" s="3" t="s">
        <v>268</v>
      </c>
      <c r="F2286" s="3" t="s">
        <v>104</v>
      </c>
      <c r="G2286" s="3" t="s">
        <v>268</v>
      </c>
      <c r="H2286" s="3" t="s">
        <v>32</v>
      </c>
      <c r="I2286" s="3">
        <v>2025</v>
      </c>
      <c r="J2286" s="3" t="str">
        <f>CONCATENATE("54820020029")</f>
        <v>54820020029</v>
      </c>
      <c r="K2286" s="3" t="s">
        <v>33</v>
      </c>
      <c r="L2286" s="3"/>
      <c r="M2286" s="3" t="s">
        <v>131</v>
      </c>
      <c r="N2286" s="3" t="str">
        <f>CONCATENATE("MSCNZR66A18B474G")</f>
        <v>MSCNZR66A18B474G</v>
      </c>
      <c r="O2286" s="3" t="s">
        <v>2422</v>
      </c>
      <c r="P2286" s="3" t="s">
        <v>36</v>
      </c>
      <c r="Q2286" s="3"/>
      <c r="R2286" s="4">
        <v>45996</v>
      </c>
      <c r="S2286" s="3" t="s">
        <v>37</v>
      </c>
      <c r="T2286" s="3" t="s">
        <v>38</v>
      </c>
      <c r="U2286" s="3" t="s">
        <v>39</v>
      </c>
      <c r="V2286" s="3">
        <v>259.62</v>
      </c>
      <c r="W2286" s="3">
        <v>110.34</v>
      </c>
      <c r="X2286" s="3">
        <v>104.5</v>
      </c>
      <c r="Y2286" s="3">
        <v>44.78</v>
      </c>
    </row>
    <row r="2287" spans="1:25" ht="60.75" x14ac:dyDescent="0.25">
      <c r="A2287" s="3" t="s">
        <v>26</v>
      </c>
      <c r="B2287" s="3" t="s">
        <v>27</v>
      </c>
      <c r="C2287" s="3" t="s">
        <v>28</v>
      </c>
      <c r="D2287" s="3" t="s">
        <v>29</v>
      </c>
      <c r="E2287" s="3" t="s">
        <v>136</v>
      </c>
      <c r="F2287" s="3" t="s">
        <v>31</v>
      </c>
      <c r="G2287" s="3" t="s">
        <v>136</v>
      </c>
      <c r="H2287" s="3" t="s">
        <v>48</v>
      </c>
      <c r="I2287" s="3">
        <v>2025</v>
      </c>
      <c r="J2287" s="3" t="str">
        <f>CONCATENATE("54820127741")</f>
        <v>54820127741</v>
      </c>
      <c r="K2287" s="3" t="s">
        <v>33</v>
      </c>
      <c r="L2287" s="3"/>
      <c r="M2287" s="3" t="s">
        <v>131</v>
      </c>
      <c r="N2287" s="3" t="str">
        <f>CONCATENATE("DPLSFN53R66I654W")</f>
        <v>DPLSFN53R66I654W</v>
      </c>
      <c r="O2287" s="3" t="s">
        <v>2423</v>
      </c>
      <c r="P2287" s="3" t="s">
        <v>36</v>
      </c>
      <c r="Q2287" s="3"/>
      <c r="R2287" s="4">
        <v>45996</v>
      </c>
      <c r="S2287" s="3" t="s">
        <v>37</v>
      </c>
      <c r="T2287" s="3" t="s">
        <v>38</v>
      </c>
      <c r="U2287" s="3" t="s">
        <v>39</v>
      </c>
      <c r="V2287" s="3">
        <v>320.74</v>
      </c>
      <c r="W2287" s="3">
        <v>136.31</v>
      </c>
      <c r="X2287" s="3">
        <v>129.1</v>
      </c>
      <c r="Y2287" s="3">
        <v>55.33</v>
      </c>
    </row>
    <row r="2288" spans="1:25" ht="60.75" x14ac:dyDescent="0.25">
      <c r="A2288" s="3" t="s">
        <v>26</v>
      </c>
      <c r="B2288" s="3" t="s">
        <v>27</v>
      </c>
      <c r="C2288" s="3" t="s">
        <v>28</v>
      </c>
      <c r="D2288" s="3" t="s">
        <v>50</v>
      </c>
      <c r="E2288" s="3" t="s">
        <v>147</v>
      </c>
      <c r="F2288" s="3" t="s">
        <v>52</v>
      </c>
      <c r="G2288" s="3" t="s">
        <v>147</v>
      </c>
      <c r="H2288" s="3" t="s">
        <v>45</v>
      </c>
      <c r="I2288" s="3">
        <v>2025</v>
      </c>
      <c r="J2288" s="3" t="str">
        <f>CONCATENATE("54820132055")</f>
        <v>54820132055</v>
      </c>
      <c r="K2288" s="3" t="s">
        <v>33</v>
      </c>
      <c r="L2288" s="3"/>
      <c r="M2288" s="3" t="s">
        <v>131</v>
      </c>
      <c r="N2288" s="3" t="str">
        <f>CONCATENATE("BRTSML87C24L500P")</f>
        <v>BRTSML87C24L500P</v>
      </c>
      <c r="O2288" s="3" t="s">
        <v>2424</v>
      </c>
      <c r="P2288" s="3" t="s">
        <v>36</v>
      </c>
      <c r="Q2288" s="3"/>
      <c r="R2288" s="4">
        <v>45996</v>
      </c>
      <c r="S2288" s="3" t="s">
        <v>37</v>
      </c>
      <c r="T2288" s="3" t="s">
        <v>38</v>
      </c>
      <c r="U2288" s="3" t="s">
        <v>39</v>
      </c>
      <c r="V2288" s="3">
        <v>581.08000000000004</v>
      </c>
      <c r="W2288" s="3">
        <v>246.96</v>
      </c>
      <c r="X2288" s="3">
        <v>233.88</v>
      </c>
      <c r="Y2288" s="3">
        <v>100.24</v>
      </c>
    </row>
    <row r="2289" spans="1:25" ht="60.75" x14ac:dyDescent="0.25">
      <c r="A2289" s="3" t="s">
        <v>26</v>
      </c>
      <c r="B2289" s="3" t="s">
        <v>27</v>
      </c>
      <c r="C2289" s="3" t="s">
        <v>28</v>
      </c>
      <c r="D2289" s="3" t="s">
        <v>50</v>
      </c>
      <c r="E2289" s="3" t="s">
        <v>51</v>
      </c>
      <c r="F2289" s="3" t="s">
        <v>52</v>
      </c>
      <c r="G2289" s="3" t="s">
        <v>51</v>
      </c>
      <c r="H2289" s="3" t="s">
        <v>48</v>
      </c>
      <c r="I2289" s="3">
        <v>2025</v>
      </c>
      <c r="J2289" s="3" t="str">
        <f>CONCATENATE("54820124490")</f>
        <v>54820124490</v>
      </c>
      <c r="K2289" s="3" t="s">
        <v>33</v>
      </c>
      <c r="L2289" s="3"/>
      <c r="M2289" s="3" t="s">
        <v>131</v>
      </c>
      <c r="N2289" s="3" t="str">
        <f>CONCATENATE("CLDNLS83C09I608S")</f>
        <v>CLDNLS83C09I608S</v>
      </c>
      <c r="O2289" s="3" t="s">
        <v>2425</v>
      </c>
      <c r="P2289" s="3" t="s">
        <v>36</v>
      </c>
      <c r="Q2289" s="3"/>
      <c r="R2289" s="4">
        <v>45996</v>
      </c>
      <c r="S2289" s="3" t="s">
        <v>37</v>
      </c>
      <c r="T2289" s="3" t="s">
        <v>38</v>
      </c>
      <c r="U2289" s="3" t="s">
        <v>39</v>
      </c>
      <c r="V2289" s="3">
        <v>342.8</v>
      </c>
      <c r="W2289" s="3">
        <v>145.69</v>
      </c>
      <c r="X2289" s="3">
        <v>137.97999999999999</v>
      </c>
      <c r="Y2289" s="3">
        <v>59.13</v>
      </c>
    </row>
    <row r="2290" spans="1:25" ht="60.75" x14ac:dyDescent="0.25">
      <c r="A2290" s="3" t="s">
        <v>26</v>
      </c>
      <c r="B2290" s="3" t="s">
        <v>27</v>
      </c>
      <c r="C2290" s="3" t="s">
        <v>28</v>
      </c>
      <c r="D2290" s="3" t="s">
        <v>91</v>
      </c>
      <c r="E2290" s="3" t="s">
        <v>92</v>
      </c>
      <c r="F2290" s="3" t="s">
        <v>93</v>
      </c>
      <c r="G2290" s="3" t="s">
        <v>92</v>
      </c>
      <c r="H2290" s="3" t="s">
        <v>48</v>
      </c>
      <c r="I2290" s="3">
        <v>2025</v>
      </c>
      <c r="J2290" s="3" t="str">
        <f>CONCATENATE("54820049952")</f>
        <v>54820049952</v>
      </c>
      <c r="K2290" s="3" t="s">
        <v>33</v>
      </c>
      <c r="L2290" s="3"/>
      <c r="M2290" s="3" t="s">
        <v>131</v>
      </c>
      <c r="N2290" s="3" t="str">
        <f>CONCATENATE("CFNGLC88P19D451H")</f>
        <v>CFNGLC88P19D451H</v>
      </c>
      <c r="O2290" s="3" t="s">
        <v>2426</v>
      </c>
      <c r="P2290" s="3" t="s">
        <v>36</v>
      </c>
      <c r="Q2290" s="3"/>
      <c r="R2290" s="4">
        <v>45996</v>
      </c>
      <c r="S2290" s="3" t="s">
        <v>37</v>
      </c>
      <c r="T2290" s="3" t="s">
        <v>38</v>
      </c>
      <c r="U2290" s="3" t="s">
        <v>39</v>
      </c>
      <c r="V2290" s="3">
        <v>88.45</v>
      </c>
      <c r="W2290" s="3">
        <v>37.590000000000003</v>
      </c>
      <c r="X2290" s="3">
        <v>35.6</v>
      </c>
      <c r="Y2290" s="3">
        <v>15.26</v>
      </c>
    </row>
    <row r="2291" spans="1:25" ht="72.75" x14ac:dyDescent="0.25">
      <c r="A2291" s="3" t="s">
        <v>26</v>
      </c>
      <c r="B2291" s="3" t="s">
        <v>27</v>
      </c>
      <c r="C2291" s="3" t="s">
        <v>28</v>
      </c>
      <c r="D2291" s="3" t="s">
        <v>29</v>
      </c>
      <c r="E2291" s="3" t="s">
        <v>80</v>
      </c>
      <c r="F2291" s="3" t="s">
        <v>31</v>
      </c>
      <c r="G2291" s="3" t="s">
        <v>80</v>
      </c>
      <c r="H2291" s="3" t="s">
        <v>45</v>
      </c>
      <c r="I2291" s="3">
        <v>2025</v>
      </c>
      <c r="J2291" s="3" t="str">
        <f>CONCATENATE("54820158415")</f>
        <v>54820158415</v>
      </c>
      <c r="K2291" s="3" t="s">
        <v>33</v>
      </c>
      <c r="L2291" s="3"/>
      <c r="M2291" s="3" t="s">
        <v>131</v>
      </c>
      <c r="N2291" s="3" t="str">
        <f>CONCATENATE("SPDLSN56D60G453A")</f>
        <v>SPDLSN56D60G453A</v>
      </c>
      <c r="O2291" s="3" t="s">
        <v>2427</v>
      </c>
      <c r="P2291" s="3" t="s">
        <v>36</v>
      </c>
      <c r="Q2291" s="3"/>
      <c r="R2291" s="4">
        <v>45996</v>
      </c>
      <c r="S2291" s="3" t="s">
        <v>37</v>
      </c>
      <c r="T2291" s="3" t="s">
        <v>38</v>
      </c>
      <c r="U2291" s="3" t="s">
        <v>39</v>
      </c>
      <c r="V2291" s="3">
        <v>56.43</v>
      </c>
      <c r="W2291" s="3">
        <v>23.98</v>
      </c>
      <c r="X2291" s="3">
        <v>22.71</v>
      </c>
      <c r="Y2291" s="3">
        <v>9.74</v>
      </c>
    </row>
    <row r="2292" spans="1:25" ht="60.75" x14ac:dyDescent="0.25">
      <c r="A2292" s="3" t="s">
        <v>26</v>
      </c>
      <c r="B2292" s="3" t="s">
        <v>27</v>
      </c>
      <c r="C2292" s="3" t="s">
        <v>28</v>
      </c>
      <c r="D2292" s="3" t="s">
        <v>29</v>
      </c>
      <c r="E2292" s="3" t="s">
        <v>47</v>
      </c>
      <c r="F2292" s="3" t="s">
        <v>31</v>
      </c>
      <c r="G2292" s="3" t="s">
        <v>47</v>
      </c>
      <c r="H2292" s="3" t="s">
        <v>48</v>
      </c>
      <c r="I2292" s="3">
        <v>2025</v>
      </c>
      <c r="J2292" s="3" t="str">
        <f>CONCATENATE("54820008818")</f>
        <v>54820008818</v>
      </c>
      <c r="K2292" s="3" t="s">
        <v>33</v>
      </c>
      <c r="L2292" s="3"/>
      <c r="M2292" s="3" t="s">
        <v>131</v>
      </c>
      <c r="N2292" s="3" t="str">
        <f>CONCATENATE("MCLSFN61L27D451U")</f>
        <v>MCLSFN61L27D451U</v>
      </c>
      <c r="O2292" s="3" t="s">
        <v>2428</v>
      </c>
      <c r="P2292" s="3" t="s">
        <v>36</v>
      </c>
      <c r="Q2292" s="3"/>
      <c r="R2292" s="4">
        <v>45996</v>
      </c>
      <c r="S2292" s="3" t="s">
        <v>37</v>
      </c>
      <c r="T2292" s="3" t="s">
        <v>38</v>
      </c>
      <c r="U2292" s="3" t="s">
        <v>39</v>
      </c>
      <c r="V2292" s="3">
        <v>82.2</v>
      </c>
      <c r="W2292" s="3">
        <v>34.94</v>
      </c>
      <c r="X2292" s="3">
        <v>33.090000000000003</v>
      </c>
      <c r="Y2292" s="3">
        <v>14.17</v>
      </c>
    </row>
    <row r="2293" spans="1:25" ht="72.75" x14ac:dyDescent="0.25">
      <c r="A2293" s="3" t="s">
        <v>26</v>
      </c>
      <c r="B2293" s="3" t="s">
        <v>27</v>
      </c>
      <c r="C2293" s="3" t="s">
        <v>28</v>
      </c>
      <c r="D2293" s="3" t="s">
        <v>104</v>
      </c>
      <c r="E2293" s="3" t="s">
        <v>691</v>
      </c>
      <c r="F2293" s="3" t="s">
        <v>104</v>
      </c>
      <c r="G2293" s="3" t="s">
        <v>691</v>
      </c>
      <c r="H2293" s="3" t="s">
        <v>48</v>
      </c>
      <c r="I2293" s="3">
        <v>2025</v>
      </c>
      <c r="J2293" s="3" t="str">
        <f>CONCATENATE("54820040183")</f>
        <v>54820040183</v>
      </c>
      <c r="K2293" s="3" t="s">
        <v>33</v>
      </c>
      <c r="L2293" s="3"/>
      <c r="M2293" s="3" t="s">
        <v>131</v>
      </c>
      <c r="N2293" s="3" t="str">
        <f>CONCATENATE("TGNSMN71A15D211B")</f>
        <v>TGNSMN71A15D211B</v>
      </c>
      <c r="O2293" s="3" t="s">
        <v>2429</v>
      </c>
      <c r="P2293" s="3" t="s">
        <v>36</v>
      </c>
      <c r="Q2293" s="3"/>
      <c r="R2293" s="4">
        <v>45996</v>
      </c>
      <c r="S2293" s="3" t="s">
        <v>37</v>
      </c>
      <c r="T2293" s="3" t="s">
        <v>38</v>
      </c>
      <c r="U2293" s="3" t="s">
        <v>39</v>
      </c>
      <c r="V2293" s="3">
        <v>78.63</v>
      </c>
      <c r="W2293" s="3">
        <v>33.42</v>
      </c>
      <c r="X2293" s="3">
        <v>31.65</v>
      </c>
      <c r="Y2293" s="3">
        <v>13.56</v>
      </c>
    </row>
    <row r="2294" spans="1:25" ht="60.75" x14ac:dyDescent="0.25">
      <c r="A2294" s="3" t="s">
        <v>26</v>
      </c>
      <c r="B2294" s="3" t="s">
        <v>27</v>
      </c>
      <c r="C2294" s="3" t="s">
        <v>28</v>
      </c>
      <c r="D2294" s="3" t="s">
        <v>29</v>
      </c>
      <c r="E2294" s="3" t="s">
        <v>233</v>
      </c>
      <c r="F2294" s="3" t="s">
        <v>31</v>
      </c>
      <c r="G2294" s="3" t="s">
        <v>233</v>
      </c>
      <c r="H2294" s="3" t="s">
        <v>96</v>
      </c>
      <c r="I2294" s="3">
        <v>2025</v>
      </c>
      <c r="J2294" s="3" t="str">
        <f>CONCATENATE("54820034574")</f>
        <v>54820034574</v>
      </c>
      <c r="K2294" s="3" t="s">
        <v>33</v>
      </c>
      <c r="L2294" s="3"/>
      <c r="M2294" s="3" t="s">
        <v>131</v>
      </c>
      <c r="N2294" s="3" t="str">
        <f>CONCATENATE("CNSDNL89H12A462F")</f>
        <v>CNSDNL89H12A462F</v>
      </c>
      <c r="O2294" s="3" t="s">
        <v>2430</v>
      </c>
      <c r="P2294" s="3" t="s">
        <v>36</v>
      </c>
      <c r="Q2294" s="3"/>
      <c r="R2294" s="4">
        <v>45996</v>
      </c>
      <c r="S2294" s="3" t="s">
        <v>37</v>
      </c>
      <c r="T2294" s="3" t="s">
        <v>38</v>
      </c>
      <c r="U2294" s="3" t="s">
        <v>39</v>
      </c>
      <c r="V2294" s="3">
        <v>436.31</v>
      </c>
      <c r="W2294" s="3">
        <v>185.43</v>
      </c>
      <c r="X2294" s="3">
        <v>175.61</v>
      </c>
      <c r="Y2294" s="3">
        <v>75.27</v>
      </c>
    </row>
    <row r="2295" spans="1:25" ht="36.75" x14ac:dyDescent="0.25">
      <c r="A2295" s="3" t="s">
        <v>26</v>
      </c>
      <c r="B2295" s="3" t="s">
        <v>27</v>
      </c>
      <c r="C2295" s="3" t="s">
        <v>28</v>
      </c>
      <c r="D2295" s="3" t="s">
        <v>29</v>
      </c>
      <c r="E2295" s="3" t="s">
        <v>80</v>
      </c>
      <c r="F2295" s="3" t="s">
        <v>31</v>
      </c>
      <c r="G2295" s="3" t="s">
        <v>80</v>
      </c>
      <c r="H2295" s="3" t="s">
        <v>45</v>
      </c>
      <c r="I2295" s="3">
        <v>2025</v>
      </c>
      <c r="J2295" s="3" t="str">
        <f>CONCATENATE("54820158274")</f>
        <v>54820158274</v>
      </c>
      <c r="K2295" s="3" t="s">
        <v>33</v>
      </c>
      <c r="L2295" s="3"/>
      <c r="M2295" s="3" t="s">
        <v>131</v>
      </c>
      <c r="N2295" s="3" t="str">
        <f>CONCATENATE("02132080413")</f>
        <v>02132080413</v>
      </c>
      <c r="O2295" s="3" t="s">
        <v>2431</v>
      </c>
      <c r="P2295" s="3" t="s">
        <v>36</v>
      </c>
      <c r="Q2295" s="3"/>
      <c r="R2295" s="4">
        <v>45996</v>
      </c>
      <c r="S2295" s="3" t="s">
        <v>37</v>
      </c>
      <c r="T2295" s="3" t="s">
        <v>38</v>
      </c>
      <c r="U2295" s="3" t="s">
        <v>39</v>
      </c>
      <c r="V2295" s="3">
        <v>307.47000000000003</v>
      </c>
      <c r="W2295" s="3">
        <v>130.66999999999999</v>
      </c>
      <c r="X2295" s="3">
        <v>123.76</v>
      </c>
      <c r="Y2295" s="3">
        <v>53.04</v>
      </c>
    </row>
    <row r="2296" spans="1:25" ht="72.75" x14ac:dyDescent="0.25">
      <c r="A2296" s="3" t="s">
        <v>26</v>
      </c>
      <c r="B2296" s="3" t="s">
        <v>27</v>
      </c>
      <c r="C2296" s="3" t="s">
        <v>28</v>
      </c>
      <c r="D2296" s="3" t="s">
        <v>29</v>
      </c>
      <c r="E2296" s="3" t="s">
        <v>136</v>
      </c>
      <c r="F2296" s="3" t="s">
        <v>31</v>
      </c>
      <c r="G2296" s="3" t="s">
        <v>136</v>
      </c>
      <c r="H2296" s="3" t="s">
        <v>48</v>
      </c>
      <c r="I2296" s="3">
        <v>2025</v>
      </c>
      <c r="J2296" s="3" t="str">
        <f>CONCATENATE("54820171277")</f>
        <v>54820171277</v>
      </c>
      <c r="K2296" s="3" t="s">
        <v>33</v>
      </c>
      <c r="L2296" s="3"/>
      <c r="M2296" s="3" t="s">
        <v>131</v>
      </c>
      <c r="N2296" s="3" t="str">
        <f>CONCATENATE("BRNNDR83A07D451B")</f>
        <v>BRNNDR83A07D451B</v>
      </c>
      <c r="O2296" s="3" t="s">
        <v>2432</v>
      </c>
      <c r="P2296" s="3" t="s">
        <v>36</v>
      </c>
      <c r="Q2296" s="3"/>
      <c r="R2296" s="4">
        <v>45996</v>
      </c>
      <c r="S2296" s="3" t="s">
        <v>37</v>
      </c>
      <c r="T2296" s="3" t="s">
        <v>38</v>
      </c>
      <c r="U2296" s="3" t="s">
        <v>39</v>
      </c>
      <c r="V2296" s="3">
        <v>790.76</v>
      </c>
      <c r="W2296" s="3">
        <v>336.07</v>
      </c>
      <c r="X2296" s="3">
        <v>318.27999999999997</v>
      </c>
      <c r="Y2296" s="3">
        <v>136.41</v>
      </c>
    </row>
    <row r="2297" spans="1:25" ht="60.75" x14ac:dyDescent="0.25">
      <c r="A2297" s="3" t="s">
        <v>26</v>
      </c>
      <c r="B2297" s="3" t="s">
        <v>27</v>
      </c>
      <c r="C2297" s="3" t="s">
        <v>28</v>
      </c>
      <c r="D2297" s="3" t="s">
        <v>50</v>
      </c>
      <c r="E2297" s="3" t="s">
        <v>367</v>
      </c>
      <c r="F2297" s="3" t="s">
        <v>52</v>
      </c>
      <c r="G2297" s="3" t="s">
        <v>367</v>
      </c>
      <c r="H2297" s="3" t="s">
        <v>32</v>
      </c>
      <c r="I2297" s="3">
        <v>2025</v>
      </c>
      <c r="J2297" s="3" t="str">
        <f>CONCATENATE("54820209838")</f>
        <v>54820209838</v>
      </c>
      <c r="K2297" s="3" t="s">
        <v>33</v>
      </c>
      <c r="L2297" s="3"/>
      <c r="M2297" s="3" t="s">
        <v>131</v>
      </c>
      <c r="N2297" s="3" t="str">
        <f>CONCATENATE("BZZMHL88D10D653Y")</f>
        <v>BZZMHL88D10D653Y</v>
      </c>
      <c r="O2297" s="3" t="s">
        <v>2433</v>
      </c>
      <c r="P2297" s="3" t="s">
        <v>36</v>
      </c>
      <c r="Q2297" s="3"/>
      <c r="R2297" s="4">
        <v>45996</v>
      </c>
      <c r="S2297" s="3" t="s">
        <v>37</v>
      </c>
      <c r="T2297" s="3" t="s">
        <v>38</v>
      </c>
      <c r="U2297" s="3" t="s">
        <v>39</v>
      </c>
      <c r="V2297" s="3">
        <v>103.35</v>
      </c>
      <c r="W2297" s="3">
        <v>43.92</v>
      </c>
      <c r="X2297" s="3">
        <v>41.6</v>
      </c>
      <c r="Y2297" s="3">
        <v>17.829999999999998</v>
      </c>
    </row>
    <row r="2298" spans="1:25" ht="60.75" x14ac:dyDescent="0.25">
      <c r="A2298" s="3" t="s">
        <v>26</v>
      </c>
      <c r="B2298" s="3" t="s">
        <v>27</v>
      </c>
      <c r="C2298" s="3" t="s">
        <v>28</v>
      </c>
      <c r="D2298" s="3" t="s">
        <v>29</v>
      </c>
      <c r="E2298" s="3" t="s">
        <v>56</v>
      </c>
      <c r="F2298" s="3" t="s">
        <v>31</v>
      </c>
      <c r="G2298" s="3" t="s">
        <v>56</v>
      </c>
      <c r="H2298" s="3" t="s">
        <v>32</v>
      </c>
      <c r="I2298" s="3">
        <v>2025</v>
      </c>
      <c r="J2298" s="3" t="str">
        <f>CONCATENATE("54820122551")</f>
        <v>54820122551</v>
      </c>
      <c r="K2298" s="3" t="s">
        <v>33</v>
      </c>
      <c r="L2298" s="3"/>
      <c r="M2298" s="3" t="s">
        <v>131</v>
      </c>
      <c r="N2298" s="3" t="str">
        <f>CONCATENATE("PGNDNC64S30M078Y")</f>
        <v>PGNDNC64S30M078Y</v>
      </c>
      <c r="O2298" s="3" t="s">
        <v>2434</v>
      </c>
      <c r="P2298" s="3" t="s">
        <v>36</v>
      </c>
      <c r="Q2298" s="3"/>
      <c r="R2298" s="4">
        <v>45996</v>
      </c>
      <c r="S2298" s="3" t="s">
        <v>37</v>
      </c>
      <c r="T2298" s="3" t="s">
        <v>38</v>
      </c>
      <c r="U2298" s="3" t="s">
        <v>39</v>
      </c>
      <c r="V2298" s="3">
        <v>93.36</v>
      </c>
      <c r="W2298" s="3">
        <v>39.68</v>
      </c>
      <c r="X2298" s="3">
        <v>37.58</v>
      </c>
      <c r="Y2298" s="3">
        <v>16.100000000000001</v>
      </c>
    </row>
    <row r="2299" spans="1:25" ht="36.75" x14ac:dyDescent="0.25">
      <c r="A2299" s="3" t="s">
        <v>26</v>
      </c>
      <c r="B2299" s="3" t="s">
        <v>27</v>
      </c>
      <c r="C2299" s="3" t="s">
        <v>28</v>
      </c>
      <c r="D2299" s="3" t="s">
        <v>40</v>
      </c>
      <c r="E2299" s="3" t="s">
        <v>99</v>
      </c>
      <c r="F2299" s="3" t="s">
        <v>42</v>
      </c>
      <c r="G2299" s="3" t="s">
        <v>99</v>
      </c>
      <c r="H2299" s="3" t="s">
        <v>32</v>
      </c>
      <c r="I2299" s="3">
        <v>2025</v>
      </c>
      <c r="J2299" s="3" t="str">
        <f>CONCATENATE("54820192760")</f>
        <v>54820192760</v>
      </c>
      <c r="K2299" s="3" t="s">
        <v>33</v>
      </c>
      <c r="L2299" s="3"/>
      <c r="M2299" s="3" t="s">
        <v>131</v>
      </c>
      <c r="N2299" s="3" t="str">
        <f>CONCATENATE("02364080446")</f>
        <v>02364080446</v>
      </c>
      <c r="O2299" s="3" t="s">
        <v>2435</v>
      </c>
      <c r="P2299" s="3" t="s">
        <v>36</v>
      </c>
      <c r="Q2299" s="3"/>
      <c r="R2299" s="4">
        <v>45996</v>
      </c>
      <c r="S2299" s="3" t="s">
        <v>37</v>
      </c>
      <c r="T2299" s="3" t="s">
        <v>38</v>
      </c>
      <c r="U2299" s="3" t="s">
        <v>39</v>
      </c>
      <c r="V2299" s="3">
        <v>123.38</v>
      </c>
      <c r="W2299" s="3">
        <v>52.44</v>
      </c>
      <c r="X2299" s="3">
        <v>49.66</v>
      </c>
      <c r="Y2299" s="3">
        <v>21.28</v>
      </c>
    </row>
    <row r="2300" spans="1:25" ht="36.75" x14ac:dyDescent="0.25">
      <c r="A2300" s="3" t="s">
        <v>26</v>
      </c>
      <c r="B2300" s="3" t="s">
        <v>27</v>
      </c>
      <c r="C2300" s="3" t="s">
        <v>28</v>
      </c>
      <c r="D2300" s="3" t="s">
        <v>29</v>
      </c>
      <c r="E2300" s="3" t="s">
        <v>72</v>
      </c>
      <c r="F2300" s="3" t="s">
        <v>31</v>
      </c>
      <c r="G2300" s="3" t="s">
        <v>72</v>
      </c>
      <c r="H2300" s="3" t="s">
        <v>45</v>
      </c>
      <c r="I2300" s="3">
        <v>2025</v>
      </c>
      <c r="J2300" s="3" t="str">
        <f>CONCATENATE("54820070768")</f>
        <v>54820070768</v>
      </c>
      <c r="K2300" s="3" t="s">
        <v>33</v>
      </c>
      <c r="L2300" s="3"/>
      <c r="M2300" s="3" t="s">
        <v>131</v>
      </c>
      <c r="N2300" s="3" t="str">
        <f>CONCATENATE("02452270412")</f>
        <v>02452270412</v>
      </c>
      <c r="O2300" s="3" t="s">
        <v>2436</v>
      </c>
      <c r="P2300" s="3" t="s">
        <v>36</v>
      </c>
      <c r="Q2300" s="3"/>
      <c r="R2300" s="4">
        <v>45996</v>
      </c>
      <c r="S2300" s="3" t="s">
        <v>37</v>
      </c>
      <c r="T2300" s="3" t="s">
        <v>38</v>
      </c>
      <c r="U2300" s="3" t="s">
        <v>39</v>
      </c>
      <c r="V2300" s="3">
        <v>284.44</v>
      </c>
      <c r="W2300" s="3">
        <v>120.89</v>
      </c>
      <c r="X2300" s="3">
        <v>114.49</v>
      </c>
      <c r="Y2300" s="3">
        <v>49.06</v>
      </c>
    </row>
    <row r="2301" spans="1:25" ht="72.75" x14ac:dyDescent="0.25">
      <c r="A2301" s="3" t="s">
        <v>26</v>
      </c>
      <c r="B2301" s="3" t="s">
        <v>27</v>
      </c>
      <c r="C2301" s="3" t="s">
        <v>28</v>
      </c>
      <c r="D2301" s="3" t="s">
        <v>50</v>
      </c>
      <c r="E2301" s="3" t="s">
        <v>252</v>
      </c>
      <c r="F2301" s="3" t="s">
        <v>52</v>
      </c>
      <c r="G2301" s="3" t="s">
        <v>252</v>
      </c>
      <c r="H2301" s="3" t="s">
        <v>45</v>
      </c>
      <c r="I2301" s="3">
        <v>2025</v>
      </c>
      <c r="J2301" s="3" t="str">
        <f>CONCATENATE("54820180062")</f>
        <v>54820180062</v>
      </c>
      <c r="K2301" s="3" t="s">
        <v>33</v>
      </c>
      <c r="L2301" s="3"/>
      <c r="M2301" s="3" t="s">
        <v>131</v>
      </c>
      <c r="N2301" s="3" t="str">
        <f>CONCATENATE("FRTGRL05B19D488G")</f>
        <v>FRTGRL05B19D488G</v>
      </c>
      <c r="O2301" s="3" t="s">
        <v>2437</v>
      </c>
      <c r="P2301" s="3" t="s">
        <v>36</v>
      </c>
      <c r="Q2301" s="3"/>
      <c r="R2301" s="4">
        <v>45996</v>
      </c>
      <c r="S2301" s="3" t="s">
        <v>37</v>
      </c>
      <c r="T2301" s="3" t="s">
        <v>38</v>
      </c>
      <c r="U2301" s="3" t="s">
        <v>39</v>
      </c>
      <c r="V2301" s="3">
        <v>364.5</v>
      </c>
      <c r="W2301" s="3">
        <v>154.91</v>
      </c>
      <c r="X2301" s="3">
        <v>146.71</v>
      </c>
      <c r="Y2301" s="3">
        <v>62.88</v>
      </c>
    </row>
    <row r="2302" spans="1:25" ht="60.75" x14ac:dyDescent="0.25">
      <c r="A2302" s="3" t="s">
        <v>26</v>
      </c>
      <c r="B2302" s="3" t="s">
        <v>27</v>
      </c>
      <c r="C2302" s="3" t="s">
        <v>28</v>
      </c>
      <c r="D2302" s="3" t="s">
        <v>29</v>
      </c>
      <c r="E2302" s="3" t="s">
        <v>47</v>
      </c>
      <c r="F2302" s="3" t="s">
        <v>31</v>
      </c>
      <c r="G2302" s="3" t="s">
        <v>47</v>
      </c>
      <c r="H2302" s="3" t="s">
        <v>48</v>
      </c>
      <c r="I2302" s="3">
        <v>2025</v>
      </c>
      <c r="J2302" s="3" t="str">
        <f>CONCATENATE("54820199112")</f>
        <v>54820199112</v>
      </c>
      <c r="K2302" s="3" t="s">
        <v>33</v>
      </c>
      <c r="L2302" s="3"/>
      <c r="M2302" s="3" t="s">
        <v>131</v>
      </c>
      <c r="N2302" s="3" t="str">
        <f>CONCATENATE("LTNGNN54P27D451I")</f>
        <v>LTNGNN54P27D451I</v>
      </c>
      <c r="O2302" s="3" t="s">
        <v>2438</v>
      </c>
      <c r="P2302" s="3" t="s">
        <v>36</v>
      </c>
      <c r="Q2302" s="3"/>
      <c r="R2302" s="4">
        <v>45996</v>
      </c>
      <c r="S2302" s="3" t="s">
        <v>37</v>
      </c>
      <c r="T2302" s="3" t="s">
        <v>38</v>
      </c>
      <c r="U2302" s="3" t="s">
        <v>39</v>
      </c>
      <c r="V2302" s="3">
        <v>126.37</v>
      </c>
      <c r="W2302" s="3">
        <v>53.71</v>
      </c>
      <c r="X2302" s="3">
        <v>50.86</v>
      </c>
      <c r="Y2302" s="3">
        <v>21.8</v>
      </c>
    </row>
    <row r="2303" spans="1:25" ht="60.75" x14ac:dyDescent="0.25">
      <c r="A2303" s="3" t="s">
        <v>26</v>
      </c>
      <c r="B2303" s="3" t="s">
        <v>27</v>
      </c>
      <c r="C2303" s="3" t="s">
        <v>28</v>
      </c>
      <c r="D2303" s="3" t="s">
        <v>29</v>
      </c>
      <c r="E2303" s="3" t="s">
        <v>119</v>
      </c>
      <c r="F2303" s="3" t="s">
        <v>31</v>
      </c>
      <c r="G2303" s="3" t="s">
        <v>119</v>
      </c>
      <c r="H2303" s="3" t="s">
        <v>96</v>
      </c>
      <c r="I2303" s="3">
        <v>2025</v>
      </c>
      <c r="J2303" s="3" t="str">
        <f>CONCATENATE("54820123039")</f>
        <v>54820123039</v>
      </c>
      <c r="K2303" s="3" t="s">
        <v>33</v>
      </c>
      <c r="L2303" s="3"/>
      <c r="M2303" s="3" t="s">
        <v>131</v>
      </c>
      <c r="N2303" s="3" t="str">
        <f>CONCATENATE("DSNPRM54D26D691S")</f>
        <v>DSNPRM54D26D691S</v>
      </c>
      <c r="O2303" s="3" t="s">
        <v>2439</v>
      </c>
      <c r="P2303" s="3" t="s">
        <v>36</v>
      </c>
      <c r="Q2303" s="3"/>
      <c r="R2303" s="4">
        <v>45996</v>
      </c>
      <c r="S2303" s="3" t="s">
        <v>37</v>
      </c>
      <c r="T2303" s="3" t="s">
        <v>38</v>
      </c>
      <c r="U2303" s="3" t="s">
        <v>39</v>
      </c>
      <c r="V2303" s="3">
        <v>183.3</v>
      </c>
      <c r="W2303" s="3">
        <v>77.900000000000006</v>
      </c>
      <c r="X2303" s="3">
        <v>73.78</v>
      </c>
      <c r="Y2303" s="3">
        <v>31.62</v>
      </c>
    </row>
    <row r="2304" spans="1:25" ht="72.75" x14ac:dyDescent="0.25">
      <c r="A2304" s="3" t="s">
        <v>26</v>
      </c>
      <c r="B2304" s="3" t="s">
        <v>27</v>
      </c>
      <c r="C2304" s="3" t="s">
        <v>28</v>
      </c>
      <c r="D2304" s="3" t="s">
        <v>50</v>
      </c>
      <c r="E2304" s="3" t="s">
        <v>51</v>
      </c>
      <c r="F2304" s="3" t="s">
        <v>52</v>
      </c>
      <c r="G2304" s="3" t="s">
        <v>51</v>
      </c>
      <c r="H2304" s="3" t="s">
        <v>48</v>
      </c>
      <c r="I2304" s="3">
        <v>2025</v>
      </c>
      <c r="J2304" s="3" t="str">
        <f>CONCATENATE("54820171319")</f>
        <v>54820171319</v>
      </c>
      <c r="K2304" s="3" t="s">
        <v>33</v>
      </c>
      <c r="L2304" s="3"/>
      <c r="M2304" s="3" t="s">
        <v>131</v>
      </c>
      <c r="N2304" s="3" t="str">
        <f>CONCATENATE("RMGMLL57B61D749D")</f>
        <v>RMGMLL57B61D749D</v>
      </c>
      <c r="O2304" s="3" t="s">
        <v>2440</v>
      </c>
      <c r="P2304" s="3" t="s">
        <v>36</v>
      </c>
      <c r="Q2304" s="3"/>
      <c r="R2304" s="4">
        <v>45996</v>
      </c>
      <c r="S2304" s="3" t="s">
        <v>37</v>
      </c>
      <c r="T2304" s="3" t="s">
        <v>38</v>
      </c>
      <c r="U2304" s="3" t="s">
        <v>39</v>
      </c>
      <c r="V2304" s="3">
        <v>71.709999999999994</v>
      </c>
      <c r="W2304" s="3">
        <v>30.48</v>
      </c>
      <c r="X2304" s="3">
        <v>28.86</v>
      </c>
      <c r="Y2304" s="3">
        <v>12.37</v>
      </c>
    </row>
    <row r="2305" spans="1:25" ht="60.75" x14ac:dyDescent="0.25">
      <c r="A2305" s="3" t="s">
        <v>26</v>
      </c>
      <c r="B2305" s="3" t="s">
        <v>27</v>
      </c>
      <c r="C2305" s="3" t="s">
        <v>28</v>
      </c>
      <c r="D2305" s="3" t="s">
        <v>29</v>
      </c>
      <c r="E2305" s="3" t="s">
        <v>136</v>
      </c>
      <c r="F2305" s="3" t="s">
        <v>31</v>
      </c>
      <c r="G2305" s="3" t="s">
        <v>136</v>
      </c>
      <c r="H2305" s="3" t="s">
        <v>48</v>
      </c>
      <c r="I2305" s="3">
        <v>2025</v>
      </c>
      <c r="J2305" s="3" t="str">
        <f>CONCATENATE("54820203062")</f>
        <v>54820203062</v>
      </c>
      <c r="K2305" s="3" t="s">
        <v>33</v>
      </c>
      <c r="L2305" s="3"/>
      <c r="M2305" s="3" t="s">
        <v>131</v>
      </c>
      <c r="N2305" s="3" t="str">
        <f>CONCATENATE("TPPGUO39D20I461N")</f>
        <v>TPPGUO39D20I461N</v>
      </c>
      <c r="O2305" s="3" t="s">
        <v>2441</v>
      </c>
      <c r="P2305" s="3" t="s">
        <v>36</v>
      </c>
      <c r="Q2305" s="3"/>
      <c r="R2305" s="4">
        <v>45996</v>
      </c>
      <c r="S2305" s="3" t="s">
        <v>37</v>
      </c>
      <c r="T2305" s="3" t="s">
        <v>38</v>
      </c>
      <c r="U2305" s="3" t="s">
        <v>39</v>
      </c>
      <c r="V2305" s="3">
        <v>81.25</v>
      </c>
      <c r="W2305" s="3">
        <v>34.53</v>
      </c>
      <c r="X2305" s="3">
        <v>32.700000000000003</v>
      </c>
      <c r="Y2305" s="3">
        <v>14.02</v>
      </c>
    </row>
    <row r="2306" spans="1:25" ht="60.75" x14ac:dyDescent="0.25">
      <c r="A2306" s="3" t="s">
        <v>26</v>
      </c>
      <c r="B2306" s="3" t="s">
        <v>27</v>
      </c>
      <c r="C2306" s="3" t="s">
        <v>28</v>
      </c>
      <c r="D2306" s="3" t="s">
        <v>29</v>
      </c>
      <c r="E2306" s="3" t="s">
        <v>56</v>
      </c>
      <c r="F2306" s="3" t="s">
        <v>31</v>
      </c>
      <c r="G2306" s="3" t="s">
        <v>56</v>
      </c>
      <c r="H2306" s="3" t="s">
        <v>32</v>
      </c>
      <c r="I2306" s="3">
        <v>2025</v>
      </c>
      <c r="J2306" s="3" t="str">
        <f>CONCATENATE("54820211586")</f>
        <v>54820211586</v>
      </c>
      <c r="K2306" s="3" t="s">
        <v>33</v>
      </c>
      <c r="L2306" s="3"/>
      <c r="M2306" s="3" t="s">
        <v>131</v>
      </c>
      <c r="N2306" s="3" t="str">
        <f>CONCATENATE("FDLGPP58R24I661J")</f>
        <v>FDLGPP58R24I661J</v>
      </c>
      <c r="O2306" s="3" t="s">
        <v>2442</v>
      </c>
      <c r="P2306" s="3" t="s">
        <v>36</v>
      </c>
      <c r="Q2306" s="3"/>
      <c r="R2306" s="4">
        <v>45996</v>
      </c>
      <c r="S2306" s="3" t="s">
        <v>37</v>
      </c>
      <c r="T2306" s="3" t="s">
        <v>38</v>
      </c>
      <c r="U2306" s="3" t="s">
        <v>39</v>
      </c>
      <c r="V2306" s="5">
        <v>1129.6400000000001</v>
      </c>
      <c r="W2306" s="3">
        <v>480.1</v>
      </c>
      <c r="X2306" s="3">
        <v>454.68</v>
      </c>
      <c r="Y2306" s="3">
        <v>194.86</v>
      </c>
    </row>
    <row r="2307" spans="1:25" ht="60.75" x14ac:dyDescent="0.25">
      <c r="A2307" s="3" t="s">
        <v>26</v>
      </c>
      <c r="B2307" s="3" t="s">
        <v>27</v>
      </c>
      <c r="C2307" s="3" t="s">
        <v>28</v>
      </c>
      <c r="D2307" s="3" t="s">
        <v>29</v>
      </c>
      <c r="E2307" s="3" t="s">
        <v>56</v>
      </c>
      <c r="F2307" s="3" t="s">
        <v>31</v>
      </c>
      <c r="G2307" s="3" t="s">
        <v>56</v>
      </c>
      <c r="H2307" s="3" t="s">
        <v>32</v>
      </c>
      <c r="I2307" s="3">
        <v>2025</v>
      </c>
      <c r="J2307" s="3" t="str">
        <f>CONCATENATE("54820165261")</f>
        <v>54820165261</v>
      </c>
      <c r="K2307" s="3" t="s">
        <v>33</v>
      </c>
      <c r="L2307" s="3"/>
      <c r="M2307" s="3" t="s">
        <v>131</v>
      </c>
      <c r="N2307" s="3" t="str">
        <f>CONCATENATE("TZZTNN59D29D429T")</f>
        <v>TZZTNN59D29D429T</v>
      </c>
      <c r="O2307" s="3" t="s">
        <v>2443</v>
      </c>
      <c r="P2307" s="3" t="s">
        <v>36</v>
      </c>
      <c r="Q2307" s="3"/>
      <c r="R2307" s="4">
        <v>45996</v>
      </c>
      <c r="S2307" s="3" t="s">
        <v>37</v>
      </c>
      <c r="T2307" s="3" t="s">
        <v>38</v>
      </c>
      <c r="U2307" s="3" t="s">
        <v>39</v>
      </c>
      <c r="V2307" s="3">
        <v>669.49</v>
      </c>
      <c r="W2307" s="3">
        <v>284.52999999999997</v>
      </c>
      <c r="X2307" s="3">
        <v>269.47000000000003</v>
      </c>
      <c r="Y2307" s="3">
        <v>115.49</v>
      </c>
    </row>
    <row r="2308" spans="1:25" ht="60.75" x14ac:dyDescent="0.25">
      <c r="A2308" s="3" t="s">
        <v>26</v>
      </c>
      <c r="B2308" s="3" t="s">
        <v>27</v>
      </c>
      <c r="C2308" s="3" t="s">
        <v>28</v>
      </c>
      <c r="D2308" s="3" t="s">
        <v>104</v>
      </c>
      <c r="E2308" s="3" t="s">
        <v>691</v>
      </c>
      <c r="F2308" s="3" t="s">
        <v>104</v>
      </c>
      <c r="G2308" s="3" t="s">
        <v>691</v>
      </c>
      <c r="H2308" s="3" t="s">
        <v>48</v>
      </c>
      <c r="I2308" s="3">
        <v>2025</v>
      </c>
      <c r="J2308" s="3" t="str">
        <f>CONCATENATE("54820063003")</f>
        <v>54820063003</v>
      </c>
      <c r="K2308" s="3" t="s">
        <v>33</v>
      </c>
      <c r="L2308" s="3"/>
      <c r="M2308" s="3" t="s">
        <v>131</v>
      </c>
      <c r="N2308" s="3" t="str">
        <f>CONCATENATE("SSSMZN62B62D211X")</f>
        <v>SSSMZN62B62D211X</v>
      </c>
      <c r="O2308" s="3" t="s">
        <v>2444</v>
      </c>
      <c r="P2308" s="3" t="s">
        <v>36</v>
      </c>
      <c r="Q2308" s="3"/>
      <c r="R2308" s="4">
        <v>45996</v>
      </c>
      <c r="S2308" s="3" t="s">
        <v>37</v>
      </c>
      <c r="T2308" s="3" t="s">
        <v>38</v>
      </c>
      <c r="U2308" s="3" t="s">
        <v>39</v>
      </c>
      <c r="V2308" s="3">
        <v>99.69</v>
      </c>
      <c r="W2308" s="3">
        <v>42.37</v>
      </c>
      <c r="X2308" s="3">
        <v>40.130000000000003</v>
      </c>
      <c r="Y2308" s="3">
        <v>17.190000000000001</v>
      </c>
    </row>
    <row r="2309" spans="1:25" ht="60.75" x14ac:dyDescent="0.25">
      <c r="A2309" s="3" t="s">
        <v>26</v>
      </c>
      <c r="B2309" s="3" t="s">
        <v>27</v>
      </c>
      <c r="C2309" s="3" t="s">
        <v>28</v>
      </c>
      <c r="D2309" s="3" t="s">
        <v>29</v>
      </c>
      <c r="E2309" s="3" t="s">
        <v>47</v>
      </c>
      <c r="F2309" s="3" t="s">
        <v>31</v>
      </c>
      <c r="G2309" s="3" t="s">
        <v>47</v>
      </c>
      <c r="H2309" s="3" t="s">
        <v>48</v>
      </c>
      <c r="I2309" s="3">
        <v>2025</v>
      </c>
      <c r="J2309" s="3" t="str">
        <f>CONCATENATE("54820182852")</f>
        <v>54820182852</v>
      </c>
      <c r="K2309" s="3" t="s">
        <v>33</v>
      </c>
      <c r="L2309" s="3"/>
      <c r="M2309" s="3" t="s">
        <v>131</v>
      </c>
      <c r="N2309" s="3" t="str">
        <f>CONCATENATE("RGGSFN77S24D451H")</f>
        <v>RGGSFN77S24D451H</v>
      </c>
      <c r="O2309" s="3" t="s">
        <v>2445</v>
      </c>
      <c r="P2309" s="3" t="s">
        <v>36</v>
      </c>
      <c r="Q2309" s="3"/>
      <c r="R2309" s="4">
        <v>45996</v>
      </c>
      <c r="S2309" s="3" t="s">
        <v>37</v>
      </c>
      <c r="T2309" s="3" t="s">
        <v>38</v>
      </c>
      <c r="U2309" s="3" t="s">
        <v>39</v>
      </c>
      <c r="V2309" s="3">
        <v>958.91</v>
      </c>
      <c r="W2309" s="3">
        <v>407.54</v>
      </c>
      <c r="X2309" s="3">
        <v>385.96</v>
      </c>
      <c r="Y2309" s="3">
        <v>165.41</v>
      </c>
    </row>
    <row r="2310" spans="1:25" ht="36.75" x14ac:dyDescent="0.25">
      <c r="A2310" s="3" t="s">
        <v>26</v>
      </c>
      <c r="B2310" s="3" t="s">
        <v>27</v>
      </c>
      <c r="C2310" s="3" t="s">
        <v>28</v>
      </c>
      <c r="D2310" s="3" t="s">
        <v>29</v>
      </c>
      <c r="E2310" s="3" t="s">
        <v>228</v>
      </c>
      <c r="F2310" s="3" t="s">
        <v>31</v>
      </c>
      <c r="G2310" s="3" t="s">
        <v>228</v>
      </c>
      <c r="H2310" s="3" t="s">
        <v>45</v>
      </c>
      <c r="I2310" s="3">
        <v>2025</v>
      </c>
      <c r="J2310" s="3" t="str">
        <f>CONCATENATE("54820069398")</f>
        <v>54820069398</v>
      </c>
      <c r="K2310" s="3" t="s">
        <v>33</v>
      </c>
      <c r="L2310" s="3"/>
      <c r="M2310" s="3" t="s">
        <v>131</v>
      </c>
      <c r="N2310" s="3" t="str">
        <f>CONCATENATE("02628420412")</f>
        <v>02628420412</v>
      </c>
      <c r="O2310" s="3" t="s">
        <v>2446</v>
      </c>
      <c r="P2310" s="3" t="s">
        <v>36</v>
      </c>
      <c r="Q2310" s="3"/>
      <c r="R2310" s="4">
        <v>45996</v>
      </c>
      <c r="S2310" s="3" t="s">
        <v>37</v>
      </c>
      <c r="T2310" s="3" t="s">
        <v>38</v>
      </c>
      <c r="U2310" s="3" t="s">
        <v>39</v>
      </c>
      <c r="V2310" s="3">
        <v>990.96</v>
      </c>
      <c r="W2310" s="3">
        <v>421.16</v>
      </c>
      <c r="X2310" s="3">
        <v>398.86</v>
      </c>
      <c r="Y2310" s="3">
        <v>170.94</v>
      </c>
    </row>
    <row r="2311" spans="1:25" ht="36.75" x14ac:dyDescent="0.25">
      <c r="A2311" s="3" t="s">
        <v>26</v>
      </c>
      <c r="B2311" s="3" t="s">
        <v>27</v>
      </c>
      <c r="C2311" s="3" t="s">
        <v>28</v>
      </c>
      <c r="D2311" s="3" t="s">
        <v>29</v>
      </c>
      <c r="E2311" s="3" t="s">
        <v>72</v>
      </c>
      <c r="F2311" s="3" t="s">
        <v>31</v>
      </c>
      <c r="G2311" s="3" t="s">
        <v>72</v>
      </c>
      <c r="H2311" s="3" t="s">
        <v>45</v>
      </c>
      <c r="I2311" s="3">
        <v>2025</v>
      </c>
      <c r="J2311" s="3" t="str">
        <f>CONCATENATE("54820079470")</f>
        <v>54820079470</v>
      </c>
      <c r="K2311" s="3" t="s">
        <v>33</v>
      </c>
      <c r="L2311" s="3"/>
      <c r="M2311" s="3" t="s">
        <v>131</v>
      </c>
      <c r="N2311" s="3" t="str">
        <f>CONCATENATE("02207970415")</f>
        <v>02207970415</v>
      </c>
      <c r="O2311" s="3" t="s">
        <v>2447</v>
      </c>
      <c r="P2311" s="3" t="s">
        <v>36</v>
      </c>
      <c r="Q2311" s="3"/>
      <c r="R2311" s="4">
        <v>45996</v>
      </c>
      <c r="S2311" s="3" t="s">
        <v>37</v>
      </c>
      <c r="T2311" s="3" t="s">
        <v>38</v>
      </c>
      <c r="U2311" s="3" t="s">
        <v>39</v>
      </c>
      <c r="V2311" s="3">
        <v>831.27</v>
      </c>
      <c r="W2311" s="3">
        <v>353.29</v>
      </c>
      <c r="X2311" s="3">
        <v>334.59</v>
      </c>
      <c r="Y2311" s="3">
        <v>143.38999999999999</v>
      </c>
    </row>
    <row r="2312" spans="1:25" ht="60.75" x14ac:dyDescent="0.25">
      <c r="A2312" s="3" t="s">
        <v>26</v>
      </c>
      <c r="B2312" s="3" t="s">
        <v>27</v>
      </c>
      <c r="C2312" s="3" t="s">
        <v>28</v>
      </c>
      <c r="D2312" s="3" t="s">
        <v>29</v>
      </c>
      <c r="E2312" s="3" t="s">
        <v>56</v>
      </c>
      <c r="F2312" s="3" t="s">
        <v>31</v>
      </c>
      <c r="G2312" s="3" t="s">
        <v>56</v>
      </c>
      <c r="H2312" s="3" t="s">
        <v>32</v>
      </c>
      <c r="I2312" s="3">
        <v>2025</v>
      </c>
      <c r="J2312" s="3" t="str">
        <f>CONCATENATE("54820031257")</f>
        <v>54820031257</v>
      </c>
      <c r="K2312" s="3" t="s">
        <v>33</v>
      </c>
      <c r="L2312" s="3"/>
      <c r="M2312" s="3" t="s">
        <v>131</v>
      </c>
      <c r="N2312" s="3" t="str">
        <f>CONCATENATE("BRZRND39C08G690V")</f>
        <v>BRZRND39C08G690V</v>
      </c>
      <c r="O2312" s="3" t="s">
        <v>2448</v>
      </c>
      <c r="P2312" s="3" t="s">
        <v>36</v>
      </c>
      <c r="Q2312" s="3"/>
      <c r="R2312" s="4">
        <v>45996</v>
      </c>
      <c r="S2312" s="3" t="s">
        <v>37</v>
      </c>
      <c r="T2312" s="3" t="s">
        <v>38</v>
      </c>
      <c r="U2312" s="3" t="s">
        <v>39</v>
      </c>
      <c r="V2312" s="3">
        <v>55.68</v>
      </c>
      <c r="W2312" s="3">
        <v>23.66</v>
      </c>
      <c r="X2312" s="3">
        <v>22.41</v>
      </c>
      <c r="Y2312" s="3">
        <v>9.61</v>
      </c>
    </row>
    <row r="2313" spans="1:25" ht="60.75" x14ac:dyDescent="0.25">
      <c r="A2313" s="3" t="s">
        <v>26</v>
      </c>
      <c r="B2313" s="3" t="s">
        <v>27</v>
      </c>
      <c r="C2313" s="3" t="s">
        <v>28</v>
      </c>
      <c r="D2313" s="3" t="s">
        <v>29</v>
      </c>
      <c r="E2313" s="3" t="s">
        <v>80</v>
      </c>
      <c r="F2313" s="3" t="s">
        <v>31</v>
      </c>
      <c r="G2313" s="3" t="s">
        <v>80</v>
      </c>
      <c r="H2313" s="3" t="s">
        <v>45</v>
      </c>
      <c r="I2313" s="3">
        <v>2025</v>
      </c>
      <c r="J2313" s="3" t="str">
        <f>CONCATENATE("54820039961")</f>
        <v>54820039961</v>
      </c>
      <c r="K2313" s="3" t="s">
        <v>33</v>
      </c>
      <c r="L2313" s="3"/>
      <c r="M2313" s="3" t="s">
        <v>131</v>
      </c>
      <c r="N2313" s="3" t="str">
        <f>CONCATENATE("GNTMRC69S13H501Y")</f>
        <v>GNTMRC69S13H501Y</v>
      </c>
      <c r="O2313" s="3" t="s">
        <v>2449</v>
      </c>
      <c r="P2313" s="3" t="s">
        <v>36</v>
      </c>
      <c r="Q2313" s="3"/>
      <c r="R2313" s="4">
        <v>45996</v>
      </c>
      <c r="S2313" s="3" t="s">
        <v>37</v>
      </c>
      <c r="T2313" s="3" t="s">
        <v>38</v>
      </c>
      <c r="U2313" s="3" t="s">
        <v>39</v>
      </c>
      <c r="V2313" s="3">
        <v>138.69999999999999</v>
      </c>
      <c r="W2313" s="3">
        <v>58.95</v>
      </c>
      <c r="X2313" s="3">
        <v>55.83</v>
      </c>
      <c r="Y2313" s="3">
        <v>23.92</v>
      </c>
    </row>
    <row r="2314" spans="1:25" ht="60.75" x14ac:dyDescent="0.25">
      <c r="A2314" s="3" t="s">
        <v>26</v>
      </c>
      <c r="B2314" s="3" t="s">
        <v>27</v>
      </c>
      <c r="C2314" s="3" t="s">
        <v>28</v>
      </c>
      <c r="D2314" s="3" t="s">
        <v>29</v>
      </c>
      <c r="E2314" s="3" t="s">
        <v>233</v>
      </c>
      <c r="F2314" s="3" t="s">
        <v>31</v>
      </c>
      <c r="G2314" s="3" t="s">
        <v>233</v>
      </c>
      <c r="H2314" s="3" t="s">
        <v>96</v>
      </c>
      <c r="I2314" s="3">
        <v>2025</v>
      </c>
      <c r="J2314" s="3" t="str">
        <f>CONCATENATE("54820062096")</f>
        <v>54820062096</v>
      </c>
      <c r="K2314" s="3" t="s">
        <v>33</v>
      </c>
      <c r="L2314" s="3"/>
      <c r="M2314" s="3" t="s">
        <v>131</v>
      </c>
      <c r="N2314" s="3" t="str">
        <f>CONCATENATE("MSSDRN43L42H390R")</f>
        <v>MSSDRN43L42H390R</v>
      </c>
      <c r="O2314" s="3" t="s">
        <v>2450</v>
      </c>
      <c r="P2314" s="3" t="s">
        <v>36</v>
      </c>
      <c r="Q2314" s="3"/>
      <c r="R2314" s="4">
        <v>45996</v>
      </c>
      <c r="S2314" s="3" t="s">
        <v>37</v>
      </c>
      <c r="T2314" s="3" t="s">
        <v>38</v>
      </c>
      <c r="U2314" s="3" t="s">
        <v>39</v>
      </c>
      <c r="V2314" s="3">
        <v>421.31</v>
      </c>
      <c r="W2314" s="3">
        <v>179.06</v>
      </c>
      <c r="X2314" s="3">
        <v>169.58</v>
      </c>
      <c r="Y2314" s="3">
        <v>72.67</v>
      </c>
    </row>
    <row r="2315" spans="1:25" ht="60.75" x14ac:dyDescent="0.25">
      <c r="A2315" s="3" t="s">
        <v>26</v>
      </c>
      <c r="B2315" s="3" t="s">
        <v>27</v>
      </c>
      <c r="C2315" s="3" t="s">
        <v>28</v>
      </c>
      <c r="D2315" s="3" t="s">
        <v>50</v>
      </c>
      <c r="E2315" s="3" t="s">
        <v>252</v>
      </c>
      <c r="F2315" s="3" t="s">
        <v>52</v>
      </c>
      <c r="G2315" s="3" t="s">
        <v>252</v>
      </c>
      <c r="H2315" s="3" t="s">
        <v>45</v>
      </c>
      <c r="I2315" s="3">
        <v>2025</v>
      </c>
      <c r="J2315" s="3" t="str">
        <f>CONCATENATE("54820132626")</f>
        <v>54820132626</v>
      </c>
      <c r="K2315" s="3" t="s">
        <v>33</v>
      </c>
      <c r="L2315" s="3"/>
      <c r="M2315" s="3" t="s">
        <v>131</v>
      </c>
      <c r="N2315" s="3" t="str">
        <f>CONCATENATE("FRLLSN50S41D749O")</f>
        <v>FRLLSN50S41D749O</v>
      </c>
      <c r="O2315" s="3" t="s">
        <v>2451</v>
      </c>
      <c r="P2315" s="3" t="s">
        <v>36</v>
      </c>
      <c r="Q2315" s="3"/>
      <c r="R2315" s="4">
        <v>45996</v>
      </c>
      <c r="S2315" s="3" t="s">
        <v>37</v>
      </c>
      <c r="T2315" s="3" t="s">
        <v>38</v>
      </c>
      <c r="U2315" s="3" t="s">
        <v>39</v>
      </c>
      <c r="V2315" s="3">
        <v>71.28</v>
      </c>
      <c r="W2315" s="3">
        <v>30.29</v>
      </c>
      <c r="X2315" s="3">
        <v>28.69</v>
      </c>
      <c r="Y2315" s="3">
        <v>12.3</v>
      </c>
    </row>
    <row r="2316" spans="1:25" ht="60.75" x14ac:dyDescent="0.25">
      <c r="A2316" s="3" t="s">
        <v>26</v>
      </c>
      <c r="B2316" s="3" t="s">
        <v>27</v>
      </c>
      <c r="C2316" s="3" t="s">
        <v>28</v>
      </c>
      <c r="D2316" s="3" t="s">
        <v>40</v>
      </c>
      <c r="E2316" s="3" t="s">
        <v>54</v>
      </c>
      <c r="F2316" s="3" t="s">
        <v>42</v>
      </c>
      <c r="G2316" s="3" t="s">
        <v>54</v>
      </c>
      <c r="H2316" s="3" t="s">
        <v>45</v>
      </c>
      <c r="I2316" s="3">
        <v>2025</v>
      </c>
      <c r="J2316" s="3" t="str">
        <f>CONCATENATE("54820044300")</f>
        <v>54820044300</v>
      </c>
      <c r="K2316" s="3" t="s">
        <v>33</v>
      </c>
      <c r="L2316" s="3"/>
      <c r="M2316" s="3" t="s">
        <v>131</v>
      </c>
      <c r="N2316" s="3" t="str">
        <f>CONCATENATE("SPRMSM77C30F205X")</f>
        <v>SPRMSM77C30F205X</v>
      </c>
      <c r="O2316" s="3" t="s">
        <v>2452</v>
      </c>
      <c r="P2316" s="3" t="s">
        <v>36</v>
      </c>
      <c r="Q2316" s="3"/>
      <c r="R2316" s="4">
        <v>45996</v>
      </c>
      <c r="S2316" s="3" t="s">
        <v>37</v>
      </c>
      <c r="T2316" s="3" t="s">
        <v>38</v>
      </c>
      <c r="U2316" s="3" t="s">
        <v>39</v>
      </c>
      <c r="V2316" s="3">
        <v>475.81</v>
      </c>
      <c r="W2316" s="3">
        <v>202.22</v>
      </c>
      <c r="X2316" s="3">
        <v>191.51</v>
      </c>
      <c r="Y2316" s="3">
        <v>82.08</v>
      </c>
    </row>
    <row r="2317" spans="1:25" ht="72.75" x14ac:dyDescent="0.25">
      <c r="A2317" s="3" t="s">
        <v>26</v>
      </c>
      <c r="B2317" s="3" t="s">
        <v>27</v>
      </c>
      <c r="C2317" s="3" t="s">
        <v>28</v>
      </c>
      <c r="D2317" s="3" t="s">
        <v>29</v>
      </c>
      <c r="E2317" s="3" t="s">
        <v>119</v>
      </c>
      <c r="F2317" s="3" t="s">
        <v>31</v>
      </c>
      <c r="G2317" s="3" t="s">
        <v>119</v>
      </c>
      <c r="H2317" s="3" t="s">
        <v>96</v>
      </c>
      <c r="I2317" s="3">
        <v>2025</v>
      </c>
      <c r="J2317" s="3" t="str">
        <f>CONCATENATE("54820077284")</f>
        <v>54820077284</v>
      </c>
      <c r="K2317" s="3" t="s">
        <v>33</v>
      </c>
      <c r="L2317" s="3"/>
      <c r="M2317" s="3" t="s">
        <v>131</v>
      </c>
      <c r="N2317" s="3" t="str">
        <f>CONCATENATE("MDAGPR47R10C321H")</f>
        <v>MDAGPR47R10C321H</v>
      </c>
      <c r="O2317" s="3" t="s">
        <v>2453</v>
      </c>
      <c r="P2317" s="3" t="s">
        <v>36</v>
      </c>
      <c r="Q2317" s="3"/>
      <c r="R2317" s="4">
        <v>45996</v>
      </c>
      <c r="S2317" s="3" t="s">
        <v>37</v>
      </c>
      <c r="T2317" s="3" t="s">
        <v>38</v>
      </c>
      <c r="U2317" s="3" t="s">
        <v>39</v>
      </c>
      <c r="V2317" s="3">
        <v>414.38</v>
      </c>
      <c r="W2317" s="3">
        <v>176.11</v>
      </c>
      <c r="X2317" s="3">
        <v>166.79</v>
      </c>
      <c r="Y2317" s="3">
        <v>71.48</v>
      </c>
    </row>
    <row r="2318" spans="1:25" ht="60.75" x14ac:dyDescent="0.25">
      <c r="A2318" s="3" t="s">
        <v>26</v>
      </c>
      <c r="B2318" s="3" t="s">
        <v>27</v>
      </c>
      <c r="C2318" s="3" t="s">
        <v>28</v>
      </c>
      <c r="D2318" s="3" t="s">
        <v>29</v>
      </c>
      <c r="E2318" s="3" t="s">
        <v>119</v>
      </c>
      <c r="F2318" s="3" t="s">
        <v>31</v>
      </c>
      <c r="G2318" s="3" t="s">
        <v>119</v>
      </c>
      <c r="H2318" s="3" t="s">
        <v>96</v>
      </c>
      <c r="I2318" s="3">
        <v>2025</v>
      </c>
      <c r="J2318" s="3" t="str">
        <f>CONCATENATE("54820010665")</f>
        <v>54820010665</v>
      </c>
      <c r="K2318" s="3" t="s">
        <v>33</v>
      </c>
      <c r="L2318" s="3"/>
      <c r="M2318" s="3" t="s">
        <v>131</v>
      </c>
      <c r="N2318" s="3" t="str">
        <f>CONCATENATE("MRCDNI38T50F493G")</f>
        <v>MRCDNI38T50F493G</v>
      </c>
      <c r="O2318" s="3" t="s">
        <v>2454</v>
      </c>
      <c r="P2318" s="3" t="s">
        <v>36</v>
      </c>
      <c r="Q2318" s="3"/>
      <c r="R2318" s="4">
        <v>45996</v>
      </c>
      <c r="S2318" s="3" t="s">
        <v>37</v>
      </c>
      <c r="T2318" s="3" t="s">
        <v>38</v>
      </c>
      <c r="U2318" s="3" t="s">
        <v>39</v>
      </c>
      <c r="V2318" s="3">
        <v>70.05</v>
      </c>
      <c r="W2318" s="3">
        <v>29.77</v>
      </c>
      <c r="X2318" s="3">
        <v>28.2</v>
      </c>
      <c r="Y2318" s="3">
        <v>12.08</v>
      </c>
    </row>
    <row r="2319" spans="1:25" ht="60.75" x14ac:dyDescent="0.25">
      <c r="A2319" s="3" t="s">
        <v>26</v>
      </c>
      <c r="B2319" s="3" t="s">
        <v>27</v>
      </c>
      <c r="C2319" s="3" t="s">
        <v>28</v>
      </c>
      <c r="D2319" s="3" t="s">
        <v>29</v>
      </c>
      <c r="E2319" s="3" t="s">
        <v>47</v>
      </c>
      <c r="F2319" s="3" t="s">
        <v>31</v>
      </c>
      <c r="G2319" s="3" t="s">
        <v>47</v>
      </c>
      <c r="H2319" s="3" t="s">
        <v>48</v>
      </c>
      <c r="I2319" s="3">
        <v>2025</v>
      </c>
      <c r="J2319" s="3" t="str">
        <f>CONCATENATE("54820058821")</f>
        <v>54820058821</v>
      </c>
      <c r="K2319" s="3" t="s">
        <v>33</v>
      </c>
      <c r="L2319" s="3"/>
      <c r="M2319" s="3" t="s">
        <v>131</v>
      </c>
      <c r="N2319" s="3" t="str">
        <f>CONCATENATE("CCCLCU39M51D451A")</f>
        <v>CCCLCU39M51D451A</v>
      </c>
      <c r="O2319" s="3" t="s">
        <v>2455</v>
      </c>
      <c r="P2319" s="3" t="s">
        <v>36</v>
      </c>
      <c r="Q2319" s="3"/>
      <c r="R2319" s="4">
        <v>45996</v>
      </c>
      <c r="S2319" s="3" t="s">
        <v>37</v>
      </c>
      <c r="T2319" s="3" t="s">
        <v>38</v>
      </c>
      <c r="U2319" s="3" t="s">
        <v>39</v>
      </c>
      <c r="V2319" s="3">
        <v>258.5</v>
      </c>
      <c r="W2319" s="3">
        <v>109.86</v>
      </c>
      <c r="X2319" s="3">
        <v>104.05</v>
      </c>
      <c r="Y2319" s="3">
        <v>44.59</v>
      </c>
    </row>
    <row r="2320" spans="1:25" ht="60.75" x14ac:dyDescent="0.25">
      <c r="A2320" s="3" t="s">
        <v>26</v>
      </c>
      <c r="B2320" s="3" t="s">
        <v>27</v>
      </c>
      <c r="C2320" s="3" t="s">
        <v>28</v>
      </c>
      <c r="D2320" s="3" t="s">
        <v>29</v>
      </c>
      <c r="E2320" s="3" t="s">
        <v>72</v>
      </c>
      <c r="F2320" s="3" t="s">
        <v>31</v>
      </c>
      <c r="G2320" s="3" t="s">
        <v>72</v>
      </c>
      <c r="H2320" s="3" t="s">
        <v>45</v>
      </c>
      <c r="I2320" s="3">
        <v>2025</v>
      </c>
      <c r="J2320" s="3" t="str">
        <f>CONCATENATE("54820072806")</f>
        <v>54820072806</v>
      </c>
      <c r="K2320" s="3" t="s">
        <v>33</v>
      </c>
      <c r="L2320" s="3"/>
      <c r="M2320" s="3" t="s">
        <v>131</v>
      </c>
      <c r="N2320" s="3" t="str">
        <f>CONCATENATE("PLNSVN66R07B352J")</f>
        <v>PLNSVN66R07B352J</v>
      </c>
      <c r="O2320" s="3" t="s">
        <v>2456</v>
      </c>
      <c r="P2320" s="3" t="s">
        <v>36</v>
      </c>
      <c r="Q2320" s="3"/>
      <c r="R2320" s="4">
        <v>45996</v>
      </c>
      <c r="S2320" s="3" t="s">
        <v>37</v>
      </c>
      <c r="T2320" s="3" t="s">
        <v>38</v>
      </c>
      <c r="U2320" s="3" t="s">
        <v>39</v>
      </c>
      <c r="V2320" s="5">
        <v>1264.48</v>
      </c>
      <c r="W2320" s="3">
        <v>537.4</v>
      </c>
      <c r="X2320" s="3">
        <v>508.95</v>
      </c>
      <c r="Y2320" s="3">
        <v>218.13</v>
      </c>
    </row>
    <row r="2321" spans="1:25" ht="60.75" x14ac:dyDescent="0.25">
      <c r="A2321" s="3" t="s">
        <v>26</v>
      </c>
      <c r="B2321" s="3" t="s">
        <v>27</v>
      </c>
      <c r="C2321" s="3" t="s">
        <v>28</v>
      </c>
      <c r="D2321" s="3" t="s">
        <v>29</v>
      </c>
      <c r="E2321" s="3" t="s">
        <v>119</v>
      </c>
      <c r="F2321" s="3" t="s">
        <v>31</v>
      </c>
      <c r="G2321" s="3" t="s">
        <v>119</v>
      </c>
      <c r="H2321" s="3" t="s">
        <v>96</v>
      </c>
      <c r="I2321" s="3">
        <v>2025</v>
      </c>
      <c r="J2321" s="3" t="str">
        <f>CONCATENATE("54820122262")</f>
        <v>54820122262</v>
      </c>
      <c r="K2321" s="3" t="s">
        <v>33</v>
      </c>
      <c r="L2321" s="3"/>
      <c r="M2321" s="3" t="s">
        <v>131</v>
      </c>
      <c r="N2321" s="3" t="str">
        <f>CONCATENATE("CPRNLL42P13H588V")</f>
        <v>CPRNLL42P13H588V</v>
      </c>
      <c r="O2321" s="3" t="s">
        <v>2457</v>
      </c>
      <c r="P2321" s="3" t="s">
        <v>36</v>
      </c>
      <c r="Q2321" s="3"/>
      <c r="R2321" s="4">
        <v>45996</v>
      </c>
      <c r="S2321" s="3" t="s">
        <v>37</v>
      </c>
      <c r="T2321" s="3" t="s">
        <v>38</v>
      </c>
      <c r="U2321" s="3" t="s">
        <v>39</v>
      </c>
      <c r="V2321" s="3">
        <v>234.21</v>
      </c>
      <c r="W2321" s="3">
        <v>99.54</v>
      </c>
      <c r="X2321" s="3">
        <v>94.27</v>
      </c>
      <c r="Y2321" s="3">
        <v>40.4</v>
      </c>
    </row>
    <row r="2322" spans="1:25" ht="60.75" x14ac:dyDescent="0.25">
      <c r="A2322" s="3" t="s">
        <v>26</v>
      </c>
      <c r="B2322" s="3" t="s">
        <v>27</v>
      </c>
      <c r="C2322" s="3" t="s">
        <v>28</v>
      </c>
      <c r="D2322" s="3" t="s">
        <v>29</v>
      </c>
      <c r="E2322" s="3" t="s">
        <v>56</v>
      </c>
      <c r="F2322" s="3" t="s">
        <v>31</v>
      </c>
      <c r="G2322" s="3" t="s">
        <v>56</v>
      </c>
      <c r="H2322" s="3" t="s">
        <v>32</v>
      </c>
      <c r="I2322" s="3">
        <v>2025</v>
      </c>
      <c r="J2322" s="3" t="str">
        <f>CONCATENATE("54820262498")</f>
        <v>54820262498</v>
      </c>
      <c r="K2322" s="3" t="s">
        <v>33</v>
      </c>
      <c r="L2322" s="3"/>
      <c r="M2322" s="3" t="s">
        <v>131</v>
      </c>
      <c r="N2322" s="3" t="str">
        <f>CONCATENATE("VLRLNI75B15B474A")</f>
        <v>VLRLNI75B15B474A</v>
      </c>
      <c r="O2322" s="3" t="s">
        <v>2458</v>
      </c>
      <c r="P2322" s="3" t="s">
        <v>36</v>
      </c>
      <c r="Q2322" s="3"/>
      <c r="R2322" s="4">
        <v>45996</v>
      </c>
      <c r="S2322" s="3" t="s">
        <v>37</v>
      </c>
      <c r="T2322" s="3" t="s">
        <v>38</v>
      </c>
      <c r="U2322" s="3" t="s">
        <v>39</v>
      </c>
      <c r="V2322" s="5">
        <v>1234.43</v>
      </c>
      <c r="W2322" s="3">
        <v>524.63</v>
      </c>
      <c r="X2322" s="3">
        <v>496.86</v>
      </c>
      <c r="Y2322" s="3">
        <v>212.94</v>
      </c>
    </row>
    <row r="2323" spans="1:25" ht="60.75" x14ac:dyDescent="0.25">
      <c r="A2323" s="3" t="s">
        <v>26</v>
      </c>
      <c r="B2323" s="3" t="s">
        <v>27</v>
      </c>
      <c r="C2323" s="3" t="s">
        <v>28</v>
      </c>
      <c r="D2323" s="3" t="s">
        <v>29</v>
      </c>
      <c r="E2323" s="3" t="s">
        <v>56</v>
      </c>
      <c r="F2323" s="3" t="s">
        <v>31</v>
      </c>
      <c r="G2323" s="3" t="s">
        <v>56</v>
      </c>
      <c r="H2323" s="3" t="s">
        <v>32</v>
      </c>
      <c r="I2323" s="3">
        <v>2025</v>
      </c>
      <c r="J2323" s="3" t="str">
        <f>CONCATENATE("54820015847")</f>
        <v>54820015847</v>
      </c>
      <c r="K2323" s="3" t="s">
        <v>33</v>
      </c>
      <c r="L2323" s="3"/>
      <c r="M2323" s="3" t="s">
        <v>131</v>
      </c>
      <c r="N2323" s="3" t="str">
        <f>CONCATENATE("BRZMRS55C52D451Y")</f>
        <v>BRZMRS55C52D451Y</v>
      </c>
      <c r="O2323" s="3" t="s">
        <v>2459</v>
      </c>
      <c r="P2323" s="3" t="s">
        <v>36</v>
      </c>
      <c r="Q2323" s="3"/>
      <c r="R2323" s="4">
        <v>45996</v>
      </c>
      <c r="S2323" s="3" t="s">
        <v>37</v>
      </c>
      <c r="T2323" s="3" t="s">
        <v>38</v>
      </c>
      <c r="U2323" s="3" t="s">
        <v>39</v>
      </c>
      <c r="V2323" s="3">
        <v>144.22</v>
      </c>
      <c r="W2323" s="3">
        <v>61.29</v>
      </c>
      <c r="X2323" s="3">
        <v>58.05</v>
      </c>
      <c r="Y2323" s="3">
        <v>24.88</v>
      </c>
    </row>
    <row r="2324" spans="1:25" ht="60.75" x14ac:dyDescent="0.25">
      <c r="A2324" s="3" t="s">
        <v>26</v>
      </c>
      <c r="B2324" s="3" t="s">
        <v>27</v>
      </c>
      <c r="C2324" s="3" t="s">
        <v>28</v>
      </c>
      <c r="D2324" s="3" t="s">
        <v>29</v>
      </c>
      <c r="E2324" s="3" t="s">
        <v>233</v>
      </c>
      <c r="F2324" s="3" t="s">
        <v>31</v>
      </c>
      <c r="G2324" s="3" t="s">
        <v>233</v>
      </c>
      <c r="H2324" s="3" t="s">
        <v>96</v>
      </c>
      <c r="I2324" s="3">
        <v>2025</v>
      </c>
      <c r="J2324" s="3" t="str">
        <f>CONCATENATE("54820031265")</f>
        <v>54820031265</v>
      </c>
      <c r="K2324" s="3" t="s">
        <v>33</v>
      </c>
      <c r="L2324" s="3"/>
      <c r="M2324" s="3" t="s">
        <v>131</v>
      </c>
      <c r="N2324" s="3" t="str">
        <f>CONCATENATE("CTLNGL68L45A462B")</f>
        <v>CTLNGL68L45A462B</v>
      </c>
      <c r="O2324" s="3" t="s">
        <v>2460</v>
      </c>
      <c r="P2324" s="3" t="s">
        <v>36</v>
      </c>
      <c r="Q2324" s="3"/>
      <c r="R2324" s="4">
        <v>45996</v>
      </c>
      <c r="S2324" s="3" t="s">
        <v>37</v>
      </c>
      <c r="T2324" s="3" t="s">
        <v>38</v>
      </c>
      <c r="U2324" s="3" t="s">
        <v>39</v>
      </c>
      <c r="V2324" s="3">
        <v>99.2</v>
      </c>
      <c r="W2324" s="3">
        <v>42.16</v>
      </c>
      <c r="X2324" s="3">
        <v>39.93</v>
      </c>
      <c r="Y2324" s="3">
        <v>17.11</v>
      </c>
    </row>
    <row r="2325" spans="1:25" ht="36.75" x14ac:dyDescent="0.25">
      <c r="A2325" s="3" t="s">
        <v>26</v>
      </c>
      <c r="B2325" s="3" t="s">
        <v>27</v>
      </c>
      <c r="C2325" s="3" t="s">
        <v>28</v>
      </c>
      <c r="D2325" s="3" t="s">
        <v>91</v>
      </c>
      <c r="E2325" s="3" t="s">
        <v>92</v>
      </c>
      <c r="F2325" s="3" t="s">
        <v>93</v>
      </c>
      <c r="G2325" s="3" t="s">
        <v>92</v>
      </c>
      <c r="H2325" s="3" t="s">
        <v>48</v>
      </c>
      <c r="I2325" s="3">
        <v>2025</v>
      </c>
      <c r="J2325" s="3" t="str">
        <f>CONCATENATE("54820045372")</f>
        <v>54820045372</v>
      </c>
      <c r="K2325" s="3" t="s">
        <v>33</v>
      </c>
      <c r="L2325" s="3"/>
      <c r="M2325" s="3" t="s">
        <v>131</v>
      </c>
      <c r="N2325" s="3" t="str">
        <f>CONCATENATE("02550060426")</f>
        <v>02550060426</v>
      </c>
      <c r="O2325" s="3" t="s">
        <v>2461</v>
      </c>
      <c r="P2325" s="3" t="s">
        <v>36</v>
      </c>
      <c r="Q2325" s="3"/>
      <c r="R2325" s="4">
        <v>45996</v>
      </c>
      <c r="S2325" s="3" t="s">
        <v>37</v>
      </c>
      <c r="T2325" s="3" t="s">
        <v>38</v>
      </c>
      <c r="U2325" s="3" t="s">
        <v>39</v>
      </c>
      <c r="V2325" s="3">
        <v>205.48</v>
      </c>
      <c r="W2325" s="3">
        <v>87.33</v>
      </c>
      <c r="X2325" s="3">
        <v>82.71</v>
      </c>
      <c r="Y2325" s="3">
        <v>35.44</v>
      </c>
    </row>
    <row r="2326" spans="1:25" ht="60.75" x14ac:dyDescent="0.25">
      <c r="A2326" s="3" t="s">
        <v>26</v>
      </c>
      <c r="B2326" s="3" t="s">
        <v>27</v>
      </c>
      <c r="C2326" s="3" t="s">
        <v>28</v>
      </c>
      <c r="D2326" s="3" t="s">
        <v>29</v>
      </c>
      <c r="E2326" s="3" t="s">
        <v>56</v>
      </c>
      <c r="F2326" s="3" t="s">
        <v>31</v>
      </c>
      <c r="G2326" s="3" t="s">
        <v>56</v>
      </c>
      <c r="H2326" s="3" t="s">
        <v>32</v>
      </c>
      <c r="I2326" s="3">
        <v>2025</v>
      </c>
      <c r="J2326" s="3" t="str">
        <f>CONCATENATE("54820038062")</f>
        <v>54820038062</v>
      </c>
      <c r="K2326" s="3" t="s">
        <v>33</v>
      </c>
      <c r="L2326" s="3"/>
      <c r="M2326" s="3" t="s">
        <v>131</v>
      </c>
      <c r="N2326" s="3" t="str">
        <f>CONCATENATE("CRFGNI44C44A739L")</f>
        <v>CRFGNI44C44A739L</v>
      </c>
      <c r="O2326" s="3" t="s">
        <v>2462</v>
      </c>
      <c r="P2326" s="3" t="s">
        <v>36</v>
      </c>
      <c r="Q2326" s="3"/>
      <c r="R2326" s="4">
        <v>45996</v>
      </c>
      <c r="S2326" s="3" t="s">
        <v>37</v>
      </c>
      <c r="T2326" s="3" t="s">
        <v>38</v>
      </c>
      <c r="U2326" s="3" t="s">
        <v>39</v>
      </c>
      <c r="V2326" s="3">
        <v>513.79999999999995</v>
      </c>
      <c r="W2326" s="3">
        <v>218.37</v>
      </c>
      <c r="X2326" s="3">
        <v>206.8</v>
      </c>
      <c r="Y2326" s="3">
        <v>88.63</v>
      </c>
    </row>
    <row r="2327" spans="1:25" ht="72.75" x14ac:dyDescent="0.25">
      <c r="A2327" s="3" t="s">
        <v>26</v>
      </c>
      <c r="B2327" s="3" t="s">
        <v>27</v>
      </c>
      <c r="C2327" s="3" t="s">
        <v>28</v>
      </c>
      <c r="D2327" s="3" t="s">
        <v>29</v>
      </c>
      <c r="E2327" s="3" t="s">
        <v>80</v>
      </c>
      <c r="F2327" s="3" t="s">
        <v>31</v>
      </c>
      <c r="G2327" s="3" t="s">
        <v>80</v>
      </c>
      <c r="H2327" s="3" t="s">
        <v>45</v>
      </c>
      <c r="I2327" s="3">
        <v>2025</v>
      </c>
      <c r="J2327" s="3" t="str">
        <f>CONCATENATE("54820028378")</f>
        <v>54820028378</v>
      </c>
      <c r="K2327" s="3" t="s">
        <v>33</v>
      </c>
      <c r="L2327" s="3"/>
      <c r="M2327" s="3" t="s">
        <v>131</v>
      </c>
      <c r="N2327" s="3" t="str">
        <f>CONCATENATE("PRCMRN39E03D809D")</f>
        <v>PRCMRN39E03D809D</v>
      </c>
      <c r="O2327" s="3" t="s">
        <v>2463</v>
      </c>
      <c r="P2327" s="3" t="s">
        <v>36</v>
      </c>
      <c r="Q2327" s="3"/>
      <c r="R2327" s="4">
        <v>45996</v>
      </c>
      <c r="S2327" s="3" t="s">
        <v>37</v>
      </c>
      <c r="T2327" s="3" t="s">
        <v>38</v>
      </c>
      <c r="U2327" s="3" t="s">
        <v>39</v>
      </c>
      <c r="V2327" s="3">
        <v>89.96</v>
      </c>
      <c r="W2327" s="3">
        <v>38.229999999999997</v>
      </c>
      <c r="X2327" s="3">
        <v>36.21</v>
      </c>
      <c r="Y2327" s="3">
        <v>15.52</v>
      </c>
    </row>
    <row r="2328" spans="1:25" ht="60.75" x14ac:dyDescent="0.25">
      <c r="A2328" s="3" t="s">
        <v>26</v>
      </c>
      <c r="B2328" s="3" t="s">
        <v>27</v>
      </c>
      <c r="C2328" s="3" t="s">
        <v>28</v>
      </c>
      <c r="D2328" s="3" t="s">
        <v>29</v>
      </c>
      <c r="E2328" s="3" t="s">
        <v>233</v>
      </c>
      <c r="F2328" s="3" t="s">
        <v>31</v>
      </c>
      <c r="G2328" s="3" t="s">
        <v>233</v>
      </c>
      <c r="H2328" s="3" t="s">
        <v>96</v>
      </c>
      <c r="I2328" s="3">
        <v>2025</v>
      </c>
      <c r="J2328" s="3" t="str">
        <f>CONCATENATE("54820063268")</f>
        <v>54820063268</v>
      </c>
      <c r="K2328" s="3" t="s">
        <v>33</v>
      </c>
      <c r="L2328" s="3"/>
      <c r="M2328" s="3" t="s">
        <v>131</v>
      </c>
      <c r="N2328" s="3" t="str">
        <f>CONCATENATE("MNTGPP52E04L597W")</f>
        <v>MNTGPP52E04L597W</v>
      </c>
      <c r="O2328" s="3" t="s">
        <v>2464</v>
      </c>
      <c r="P2328" s="3" t="s">
        <v>36</v>
      </c>
      <c r="Q2328" s="3"/>
      <c r="R2328" s="4">
        <v>45996</v>
      </c>
      <c r="S2328" s="3" t="s">
        <v>37</v>
      </c>
      <c r="T2328" s="3" t="s">
        <v>38</v>
      </c>
      <c r="U2328" s="3" t="s">
        <v>39</v>
      </c>
      <c r="V2328" s="5">
        <v>1297.33</v>
      </c>
      <c r="W2328" s="3">
        <v>551.37</v>
      </c>
      <c r="X2328" s="3">
        <v>522.17999999999995</v>
      </c>
      <c r="Y2328" s="3">
        <v>223.78</v>
      </c>
    </row>
    <row r="2329" spans="1:25" ht="60.75" x14ac:dyDescent="0.25">
      <c r="A2329" s="3" t="s">
        <v>26</v>
      </c>
      <c r="B2329" s="3" t="s">
        <v>27</v>
      </c>
      <c r="C2329" s="3" t="s">
        <v>28</v>
      </c>
      <c r="D2329" s="3" t="s">
        <v>29</v>
      </c>
      <c r="E2329" s="3" t="s">
        <v>72</v>
      </c>
      <c r="F2329" s="3" t="s">
        <v>31</v>
      </c>
      <c r="G2329" s="3" t="s">
        <v>72</v>
      </c>
      <c r="H2329" s="3" t="s">
        <v>45</v>
      </c>
      <c r="I2329" s="3">
        <v>2025</v>
      </c>
      <c r="J2329" s="3" t="str">
        <f>CONCATENATE("54820101084")</f>
        <v>54820101084</v>
      </c>
      <c r="K2329" s="3" t="s">
        <v>33</v>
      </c>
      <c r="L2329" s="3"/>
      <c r="M2329" s="3" t="s">
        <v>131</v>
      </c>
      <c r="N2329" s="3" t="str">
        <f>CONCATENATE("PLCVDO50P30B352V")</f>
        <v>PLCVDO50P30B352V</v>
      </c>
      <c r="O2329" s="3" t="s">
        <v>2465</v>
      </c>
      <c r="P2329" s="3" t="s">
        <v>36</v>
      </c>
      <c r="Q2329" s="3"/>
      <c r="R2329" s="4">
        <v>45996</v>
      </c>
      <c r="S2329" s="3" t="s">
        <v>37</v>
      </c>
      <c r="T2329" s="3" t="s">
        <v>38</v>
      </c>
      <c r="U2329" s="3" t="s">
        <v>39</v>
      </c>
      <c r="V2329" s="3">
        <v>61.77</v>
      </c>
      <c r="W2329" s="3">
        <v>26.25</v>
      </c>
      <c r="X2329" s="3">
        <v>24.86</v>
      </c>
      <c r="Y2329" s="3">
        <v>10.66</v>
      </c>
    </row>
    <row r="2330" spans="1:25" ht="60.75" x14ac:dyDescent="0.25">
      <c r="A2330" s="3" t="s">
        <v>26</v>
      </c>
      <c r="B2330" s="3" t="s">
        <v>27</v>
      </c>
      <c r="C2330" s="3" t="s">
        <v>28</v>
      </c>
      <c r="D2330" s="3" t="s">
        <v>29</v>
      </c>
      <c r="E2330" s="3" t="s">
        <v>47</v>
      </c>
      <c r="F2330" s="3" t="s">
        <v>31</v>
      </c>
      <c r="G2330" s="3" t="s">
        <v>47</v>
      </c>
      <c r="H2330" s="3" t="s">
        <v>48</v>
      </c>
      <c r="I2330" s="3">
        <v>2025</v>
      </c>
      <c r="J2330" s="3" t="str">
        <f>CONCATENATE("54820012224")</f>
        <v>54820012224</v>
      </c>
      <c r="K2330" s="3" t="s">
        <v>33</v>
      </c>
      <c r="L2330" s="3"/>
      <c r="M2330" s="3" t="s">
        <v>131</v>
      </c>
      <c r="N2330" s="3" t="str">
        <f>CONCATENATE("PLCMRC94E03D451V")</f>
        <v>PLCMRC94E03D451V</v>
      </c>
      <c r="O2330" s="3" t="s">
        <v>2466</v>
      </c>
      <c r="P2330" s="3" t="s">
        <v>36</v>
      </c>
      <c r="Q2330" s="3"/>
      <c r="R2330" s="4">
        <v>45996</v>
      </c>
      <c r="S2330" s="3" t="s">
        <v>37</v>
      </c>
      <c r="T2330" s="3" t="s">
        <v>38</v>
      </c>
      <c r="U2330" s="3" t="s">
        <v>39</v>
      </c>
      <c r="V2330" s="3">
        <v>190.93</v>
      </c>
      <c r="W2330" s="3">
        <v>81.150000000000006</v>
      </c>
      <c r="X2330" s="3">
        <v>76.849999999999994</v>
      </c>
      <c r="Y2330" s="3">
        <v>32.93</v>
      </c>
    </row>
    <row r="2331" spans="1:25" ht="60.75" x14ac:dyDescent="0.25">
      <c r="A2331" s="3" t="s">
        <v>26</v>
      </c>
      <c r="B2331" s="3" t="s">
        <v>27</v>
      </c>
      <c r="C2331" s="3" t="s">
        <v>28</v>
      </c>
      <c r="D2331" s="3" t="s">
        <v>50</v>
      </c>
      <c r="E2331" s="3" t="s">
        <v>212</v>
      </c>
      <c r="F2331" s="3" t="s">
        <v>52</v>
      </c>
      <c r="G2331" s="3" t="s">
        <v>212</v>
      </c>
      <c r="H2331" s="3" t="s">
        <v>32</v>
      </c>
      <c r="I2331" s="3">
        <v>2025</v>
      </c>
      <c r="J2331" s="3" t="str">
        <f>CONCATENATE("54820027503")</f>
        <v>54820027503</v>
      </c>
      <c r="K2331" s="3" t="s">
        <v>33</v>
      </c>
      <c r="L2331" s="3"/>
      <c r="M2331" s="3" t="s">
        <v>131</v>
      </c>
      <c r="N2331" s="3" t="str">
        <f>CONCATENATE("CTRBND70L50C582H")</f>
        <v>CTRBND70L50C582H</v>
      </c>
      <c r="O2331" s="3" t="s">
        <v>2467</v>
      </c>
      <c r="P2331" s="3" t="s">
        <v>36</v>
      </c>
      <c r="Q2331" s="3"/>
      <c r="R2331" s="4">
        <v>45996</v>
      </c>
      <c r="S2331" s="3" t="s">
        <v>37</v>
      </c>
      <c r="T2331" s="3" t="s">
        <v>38</v>
      </c>
      <c r="U2331" s="3" t="s">
        <v>39</v>
      </c>
      <c r="V2331" s="3">
        <v>198.05</v>
      </c>
      <c r="W2331" s="3">
        <v>84.17</v>
      </c>
      <c r="X2331" s="3">
        <v>79.72</v>
      </c>
      <c r="Y2331" s="3">
        <v>34.159999999999997</v>
      </c>
    </row>
    <row r="2332" spans="1:25" ht="60.75" x14ac:dyDescent="0.25">
      <c r="A2332" s="3" t="s">
        <v>26</v>
      </c>
      <c r="B2332" s="3" t="s">
        <v>27</v>
      </c>
      <c r="C2332" s="3" t="s">
        <v>28</v>
      </c>
      <c r="D2332" s="3" t="s">
        <v>29</v>
      </c>
      <c r="E2332" s="3" t="s">
        <v>186</v>
      </c>
      <c r="F2332" s="3" t="s">
        <v>31</v>
      </c>
      <c r="G2332" s="3" t="s">
        <v>186</v>
      </c>
      <c r="H2332" s="3" t="s">
        <v>45</v>
      </c>
      <c r="I2332" s="3">
        <v>2025</v>
      </c>
      <c r="J2332" s="3" t="str">
        <f>CONCATENATE("54820025994")</f>
        <v>54820025994</v>
      </c>
      <c r="K2332" s="3" t="s">
        <v>33</v>
      </c>
      <c r="L2332" s="3"/>
      <c r="M2332" s="3" t="s">
        <v>131</v>
      </c>
      <c r="N2332" s="3" t="str">
        <f>CONCATENATE("RSSVLR33S15F524P")</f>
        <v>RSSVLR33S15F524P</v>
      </c>
      <c r="O2332" s="3" t="s">
        <v>2468</v>
      </c>
      <c r="P2332" s="3" t="s">
        <v>36</v>
      </c>
      <c r="Q2332" s="3"/>
      <c r="R2332" s="4">
        <v>45996</v>
      </c>
      <c r="S2332" s="3" t="s">
        <v>37</v>
      </c>
      <c r="T2332" s="3" t="s">
        <v>38</v>
      </c>
      <c r="U2332" s="3" t="s">
        <v>39</v>
      </c>
      <c r="V2332" s="3">
        <v>334.75</v>
      </c>
      <c r="W2332" s="3">
        <v>142.27000000000001</v>
      </c>
      <c r="X2332" s="3">
        <v>134.74</v>
      </c>
      <c r="Y2332" s="3">
        <v>57.74</v>
      </c>
    </row>
    <row r="2333" spans="1:25" ht="60.75" x14ac:dyDescent="0.25">
      <c r="A2333" s="3" t="s">
        <v>26</v>
      </c>
      <c r="B2333" s="3" t="s">
        <v>27</v>
      </c>
      <c r="C2333" s="3" t="s">
        <v>28</v>
      </c>
      <c r="D2333" s="3" t="s">
        <v>29</v>
      </c>
      <c r="E2333" s="3" t="s">
        <v>47</v>
      </c>
      <c r="F2333" s="3" t="s">
        <v>31</v>
      </c>
      <c r="G2333" s="3" t="s">
        <v>47</v>
      </c>
      <c r="H2333" s="3" t="s">
        <v>48</v>
      </c>
      <c r="I2333" s="3">
        <v>2025</v>
      </c>
      <c r="J2333" s="3" t="str">
        <f>CONCATENATE("54820170790")</f>
        <v>54820170790</v>
      </c>
      <c r="K2333" s="3" t="s">
        <v>33</v>
      </c>
      <c r="L2333" s="3"/>
      <c r="M2333" s="3" t="s">
        <v>131</v>
      </c>
      <c r="N2333" s="3" t="str">
        <f>CONCATENATE("CMPDNL97S16D451X")</f>
        <v>CMPDNL97S16D451X</v>
      </c>
      <c r="O2333" s="3" t="s">
        <v>2469</v>
      </c>
      <c r="P2333" s="3" t="s">
        <v>36</v>
      </c>
      <c r="Q2333" s="3"/>
      <c r="R2333" s="4">
        <v>45996</v>
      </c>
      <c r="S2333" s="3" t="s">
        <v>37</v>
      </c>
      <c r="T2333" s="3" t="s">
        <v>38</v>
      </c>
      <c r="U2333" s="3" t="s">
        <v>39</v>
      </c>
      <c r="V2333" s="5">
        <v>1232.92</v>
      </c>
      <c r="W2333" s="3">
        <v>523.99</v>
      </c>
      <c r="X2333" s="3">
        <v>496.25</v>
      </c>
      <c r="Y2333" s="3">
        <v>212.68</v>
      </c>
    </row>
    <row r="2334" spans="1:25" ht="36.75" x14ac:dyDescent="0.25">
      <c r="A2334" s="3" t="s">
        <v>26</v>
      </c>
      <c r="B2334" s="3" t="s">
        <v>27</v>
      </c>
      <c r="C2334" s="3" t="s">
        <v>28</v>
      </c>
      <c r="D2334" s="3" t="s">
        <v>29</v>
      </c>
      <c r="E2334" s="3" t="s">
        <v>119</v>
      </c>
      <c r="F2334" s="3" t="s">
        <v>31</v>
      </c>
      <c r="G2334" s="3" t="s">
        <v>119</v>
      </c>
      <c r="H2334" s="3" t="s">
        <v>96</v>
      </c>
      <c r="I2334" s="3">
        <v>2025</v>
      </c>
      <c r="J2334" s="3" t="str">
        <f>CONCATENATE("54820082870")</f>
        <v>54820082870</v>
      </c>
      <c r="K2334" s="3" t="s">
        <v>33</v>
      </c>
      <c r="L2334" s="3"/>
      <c r="M2334" s="3" t="s">
        <v>131</v>
      </c>
      <c r="N2334" s="3" t="str">
        <f>CONCATENATE("01118050440")</f>
        <v>01118050440</v>
      </c>
      <c r="O2334" s="3" t="s">
        <v>2470</v>
      </c>
      <c r="P2334" s="3" t="s">
        <v>36</v>
      </c>
      <c r="Q2334" s="3"/>
      <c r="R2334" s="4">
        <v>45996</v>
      </c>
      <c r="S2334" s="3" t="s">
        <v>37</v>
      </c>
      <c r="T2334" s="3" t="s">
        <v>38</v>
      </c>
      <c r="U2334" s="3" t="s">
        <v>39</v>
      </c>
      <c r="V2334" s="3">
        <v>327.19</v>
      </c>
      <c r="W2334" s="3">
        <v>139.06</v>
      </c>
      <c r="X2334" s="3">
        <v>131.69</v>
      </c>
      <c r="Y2334" s="3">
        <v>56.44</v>
      </c>
    </row>
    <row r="2335" spans="1:25" ht="60.75" x14ac:dyDescent="0.25">
      <c r="A2335" s="3" t="s">
        <v>26</v>
      </c>
      <c r="B2335" s="3" t="s">
        <v>27</v>
      </c>
      <c r="C2335" s="3" t="s">
        <v>28</v>
      </c>
      <c r="D2335" s="3" t="s">
        <v>91</v>
      </c>
      <c r="E2335" s="3" t="s">
        <v>95</v>
      </c>
      <c r="F2335" s="3" t="s">
        <v>93</v>
      </c>
      <c r="G2335" s="3" t="s">
        <v>95</v>
      </c>
      <c r="H2335" s="3" t="s">
        <v>96</v>
      </c>
      <c r="I2335" s="3">
        <v>2025</v>
      </c>
      <c r="J2335" s="3" t="str">
        <f>CONCATENATE("54820167507")</f>
        <v>54820167507</v>
      </c>
      <c r="K2335" s="3" t="s">
        <v>33</v>
      </c>
      <c r="L2335" s="3"/>
      <c r="M2335" s="3" t="s">
        <v>131</v>
      </c>
      <c r="N2335" s="3" t="str">
        <f>CONCATENATE("LNRGPR81P23D542E")</f>
        <v>LNRGPR81P23D542E</v>
      </c>
      <c r="O2335" s="3" t="s">
        <v>2471</v>
      </c>
      <c r="P2335" s="3" t="s">
        <v>36</v>
      </c>
      <c r="Q2335" s="3"/>
      <c r="R2335" s="4">
        <v>45996</v>
      </c>
      <c r="S2335" s="3" t="s">
        <v>37</v>
      </c>
      <c r="T2335" s="3" t="s">
        <v>38</v>
      </c>
      <c r="U2335" s="3" t="s">
        <v>39</v>
      </c>
      <c r="V2335" s="3">
        <v>242.03</v>
      </c>
      <c r="W2335" s="3">
        <v>102.86</v>
      </c>
      <c r="X2335" s="3">
        <v>97.42</v>
      </c>
      <c r="Y2335" s="3">
        <v>41.75</v>
      </c>
    </row>
    <row r="2336" spans="1:25" ht="36.75" x14ac:dyDescent="0.25">
      <c r="A2336" s="3" t="s">
        <v>26</v>
      </c>
      <c r="B2336" s="3" t="s">
        <v>27</v>
      </c>
      <c r="C2336" s="3" t="s">
        <v>28</v>
      </c>
      <c r="D2336" s="3" t="s">
        <v>29</v>
      </c>
      <c r="E2336" s="3" t="s">
        <v>476</v>
      </c>
      <c r="F2336" s="3" t="s">
        <v>31</v>
      </c>
      <c r="G2336" s="3" t="s">
        <v>476</v>
      </c>
      <c r="H2336" s="3" t="s">
        <v>48</v>
      </c>
      <c r="I2336" s="3">
        <v>2025</v>
      </c>
      <c r="J2336" s="3" t="str">
        <f>CONCATENATE("54820169909")</f>
        <v>54820169909</v>
      </c>
      <c r="K2336" s="3" t="s">
        <v>33</v>
      </c>
      <c r="L2336" s="3"/>
      <c r="M2336" s="3" t="s">
        <v>131</v>
      </c>
      <c r="N2336" s="3" t="str">
        <f>CONCATENATE("01344860430")</f>
        <v>01344860430</v>
      </c>
      <c r="O2336" s="3" t="s">
        <v>2472</v>
      </c>
      <c r="P2336" s="3" t="s">
        <v>36</v>
      </c>
      <c r="Q2336" s="3"/>
      <c r="R2336" s="4">
        <v>45996</v>
      </c>
      <c r="S2336" s="3" t="s">
        <v>37</v>
      </c>
      <c r="T2336" s="3" t="s">
        <v>38</v>
      </c>
      <c r="U2336" s="3" t="s">
        <v>39</v>
      </c>
      <c r="V2336" s="3">
        <v>186.32</v>
      </c>
      <c r="W2336" s="3">
        <v>79.19</v>
      </c>
      <c r="X2336" s="3">
        <v>74.989999999999995</v>
      </c>
      <c r="Y2336" s="3">
        <v>32.14</v>
      </c>
    </row>
    <row r="2337" spans="1:25" ht="36.75" x14ac:dyDescent="0.25">
      <c r="A2337" s="3" t="s">
        <v>26</v>
      </c>
      <c r="B2337" s="3" t="s">
        <v>27</v>
      </c>
      <c r="C2337" s="3" t="s">
        <v>28</v>
      </c>
      <c r="D2337" s="3" t="s">
        <v>40</v>
      </c>
      <c r="E2337" s="3" t="s">
        <v>99</v>
      </c>
      <c r="F2337" s="3" t="s">
        <v>42</v>
      </c>
      <c r="G2337" s="3" t="s">
        <v>99</v>
      </c>
      <c r="H2337" s="3" t="s">
        <v>32</v>
      </c>
      <c r="I2337" s="3">
        <v>2025</v>
      </c>
      <c r="J2337" s="3" t="str">
        <f>CONCATENATE("54820102017")</f>
        <v>54820102017</v>
      </c>
      <c r="K2337" s="3" t="s">
        <v>33</v>
      </c>
      <c r="L2337" s="3"/>
      <c r="M2337" s="3" t="s">
        <v>131</v>
      </c>
      <c r="N2337" s="3" t="str">
        <f>CONCATENATE("02038770430")</f>
        <v>02038770430</v>
      </c>
      <c r="O2337" s="3" t="s">
        <v>2473</v>
      </c>
      <c r="P2337" s="3" t="s">
        <v>36</v>
      </c>
      <c r="Q2337" s="3"/>
      <c r="R2337" s="4">
        <v>45996</v>
      </c>
      <c r="S2337" s="3" t="s">
        <v>37</v>
      </c>
      <c r="T2337" s="3" t="s">
        <v>38</v>
      </c>
      <c r="U2337" s="3" t="s">
        <v>39</v>
      </c>
      <c r="V2337" s="3">
        <v>183.47</v>
      </c>
      <c r="W2337" s="3">
        <v>77.97</v>
      </c>
      <c r="X2337" s="3">
        <v>73.849999999999994</v>
      </c>
      <c r="Y2337" s="3">
        <v>31.65</v>
      </c>
    </row>
    <row r="2338" spans="1:25" ht="60.75" x14ac:dyDescent="0.25">
      <c r="A2338" s="3" t="s">
        <v>26</v>
      </c>
      <c r="B2338" s="3" t="s">
        <v>27</v>
      </c>
      <c r="C2338" s="3" t="s">
        <v>28</v>
      </c>
      <c r="D2338" s="3" t="s">
        <v>40</v>
      </c>
      <c r="E2338" s="3" t="s">
        <v>287</v>
      </c>
      <c r="F2338" s="3" t="s">
        <v>42</v>
      </c>
      <c r="G2338" s="3" t="s">
        <v>287</v>
      </c>
      <c r="H2338" s="3" t="s">
        <v>32</v>
      </c>
      <c r="I2338" s="3">
        <v>2025</v>
      </c>
      <c r="J2338" s="3" t="str">
        <f>CONCATENATE("54820024138")</f>
        <v>54820024138</v>
      </c>
      <c r="K2338" s="3" t="s">
        <v>33</v>
      </c>
      <c r="L2338" s="3"/>
      <c r="M2338" s="3" t="s">
        <v>131</v>
      </c>
      <c r="N2338" s="3" t="str">
        <f>CONCATENATE("TDNDRN57L67D429N")</f>
        <v>TDNDRN57L67D429N</v>
      </c>
      <c r="O2338" s="3" t="s">
        <v>2474</v>
      </c>
      <c r="P2338" s="3" t="s">
        <v>36</v>
      </c>
      <c r="Q2338" s="3"/>
      <c r="R2338" s="4">
        <v>45996</v>
      </c>
      <c r="S2338" s="3" t="s">
        <v>37</v>
      </c>
      <c r="T2338" s="3" t="s">
        <v>38</v>
      </c>
      <c r="U2338" s="3" t="s">
        <v>39</v>
      </c>
      <c r="V2338" s="3">
        <v>295.89</v>
      </c>
      <c r="W2338" s="3">
        <v>125.75</v>
      </c>
      <c r="X2338" s="3">
        <v>119.1</v>
      </c>
      <c r="Y2338" s="3">
        <v>51.04</v>
      </c>
    </row>
    <row r="2339" spans="1:25" ht="72.75" x14ac:dyDescent="0.25">
      <c r="A2339" s="3" t="s">
        <v>26</v>
      </c>
      <c r="B2339" s="3" t="s">
        <v>27</v>
      </c>
      <c r="C2339" s="3" t="s">
        <v>28</v>
      </c>
      <c r="D2339" s="3" t="s">
        <v>40</v>
      </c>
      <c r="E2339" s="3" t="s">
        <v>287</v>
      </c>
      <c r="F2339" s="3" t="s">
        <v>42</v>
      </c>
      <c r="G2339" s="3" t="s">
        <v>287</v>
      </c>
      <c r="H2339" s="3" t="s">
        <v>32</v>
      </c>
      <c r="I2339" s="3">
        <v>2025</v>
      </c>
      <c r="J2339" s="3" t="str">
        <f>CONCATENATE("54820015995")</f>
        <v>54820015995</v>
      </c>
      <c r="K2339" s="3" t="s">
        <v>33</v>
      </c>
      <c r="L2339" s="3"/>
      <c r="M2339" s="3" t="s">
        <v>131</v>
      </c>
      <c r="N2339" s="3" t="str">
        <f>CONCATENATE("FDLMNA60M41I661O")</f>
        <v>FDLMNA60M41I661O</v>
      </c>
      <c r="O2339" s="3" t="s">
        <v>2475</v>
      </c>
      <c r="P2339" s="3" t="s">
        <v>36</v>
      </c>
      <c r="Q2339" s="3"/>
      <c r="R2339" s="4">
        <v>45996</v>
      </c>
      <c r="S2339" s="3" t="s">
        <v>37</v>
      </c>
      <c r="T2339" s="3" t="s">
        <v>38</v>
      </c>
      <c r="U2339" s="3" t="s">
        <v>39</v>
      </c>
      <c r="V2339" s="5">
        <v>1054.69</v>
      </c>
      <c r="W2339" s="3">
        <v>448.24</v>
      </c>
      <c r="X2339" s="3">
        <v>424.51</v>
      </c>
      <c r="Y2339" s="3">
        <v>181.94</v>
      </c>
    </row>
    <row r="2340" spans="1:25" ht="60.75" x14ac:dyDescent="0.25">
      <c r="A2340" s="3" t="s">
        <v>26</v>
      </c>
      <c r="B2340" s="3" t="s">
        <v>27</v>
      </c>
      <c r="C2340" s="3" t="s">
        <v>28</v>
      </c>
      <c r="D2340" s="3" t="s">
        <v>104</v>
      </c>
      <c r="E2340" s="3" t="s">
        <v>268</v>
      </c>
      <c r="F2340" s="3" t="s">
        <v>104</v>
      </c>
      <c r="G2340" s="3" t="s">
        <v>268</v>
      </c>
      <c r="H2340" s="3" t="s">
        <v>32</v>
      </c>
      <c r="I2340" s="3">
        <v>2025</v>
      </c>
      <c r="J2340" s="3" t="str">
        <f>CONCATENATE("54820038724")</f>
        <v>54820038724</v>
      </c>
      <c r="K2340" s="3" t="s">
        <v>33</v>
      </c>
      <c r="L2340" s="3"/>
      <c r="M2340" s="3" t="s">
        <v>131</v>
      </c>
      <c r="N2340" s="3" t="str">
        <f>CONCATENATE("CRVPLG63C13I651M")</f>
        <v>CRVPLG63C13I651M</v>
      </c>
      <c r="O2340" s="3" t="s">
        <v>2476</v>
      </c>
      <c r="P2340" s="3" t="s">
        <v>36</v>
      </c>
      <c r="Q2340" s="3"/>
      <c r="R2340" s="4">
        <v>45996</v>
      </c>
      <c r="S2340" s="3" t="s">
        <v>37</v>
      </c>
      <c r="T2340" s="3" t="s">
        <v>38</v>
      </c>
      <c r="U2340" s="3" t="s">
        <v>39</v>
      </c>
      <c r="V2340" s="3">
        <v>80.28</v>
      </c>
      <c r="W2340" s="3">
        <v>34.119999999999997</v>
      </c>
      <c r="X2340" s="3">
        <v>32.31</v>
      </c>
      <c r="Y2340" s="3">
        <v>13.85</v>
      </c>
    </row>
    <row r="2341" spans="1:25" ht="36.75" x14ac:dyDescent="0.25">
      <c r="A2341" s="3" t="s">
        <v>26</v>
      </c>
      <c r="B2341" s="3" t="s">
        <v>27</v>
      </c>
      <c r="C2341" s="3" t="s">
        <v>28</v>
      </c>
      <c r="D2341" s="3" t="s">
        <v>50</v>
      </c>
      <c r="E2341" s="3" t="s">
        <v>107</v>
      </c>
      <c r="F2341" s="3" t="s">
        <v>52</v>
      </c>
      <c r="G2341" s="3" t="s">
        <v>107</v>
      </c>
      <c r="H2341" s="3" t="s">
        <v>48</v>
      </c>
      <c r="I2341" s="3">
        <v>2025</v>
      </c>
      <c r="J2341" s="3" t="str">
        <f>CONCATENATE("54820195631")</f>
        <v>54820195631</v>
      </c>
      <c r="K2341" s="3" t="s">
        <v>33</v>
      </c>
      <c r="L2341" s="3"/>
      <c r="M2341" s="3" t="s">
        <v>131</v>
      </c>
      <c r="N2341" s="3" t="str">
        <f>CONCATENATE("02853090427")</f>
        <v>02853090427</v>
      </c>
      <c r="O2341" s="3" t="s">
        <v>2477</v>
      </c>
      <c r="P2341" s="3" t="s">
        <v>36</v>
      </c>
      <c r="Q2341" s="3"/>
      <c r="R2341" s="4">
        <v>45996</v>
      </c>
      <c r="S2341" s="3" t="s">
        <v>37</v>
      </c>
      <c r="T2341" s="3" t="s">
        <v>38</v>
      </c>
      <c r="U2341" s="3" t="s">
        <v>39</v>
      </c>
      <c r="V2341" s="3">
        <v>89.36</v>
      </c>
      <c r="W2341" s="3">
        <v>37.979999999999997</v>
      </c>
      <c r="X2341" s="3">
        <v>35.97</v>
      </c>
      <c r="Y2341" s="3">
        <v>15.41</v>
      </c>
    </row>
    <row r="2342" spans="1:25" ht="72.75" x14ac:dyDescent="0.25">
      <c r="A2342" s="3" t="s">
        <v>26</v>
      </c>
      <c r="B2342" s="3" t="s">
        <v>27</v>
      </c>
      <c r="C2342" s="3" t="s">
        <v>28</v>
      </c>
      <c r="D2342" s="3" t="s">
        <v>29</v>
      </c>
      <c r="E2342" s="3" t="s">
        <v>186</v>
      </c>
      <c r="F2342" s="3" t="s">
        <v>31</v>
      </c>
      <c r="G2342" s="3" t="s">
        <v>186</v>
      </c>
      <c r="H2342" s="3" t="s">
        <v>45</v>
      </c>
      <c r="I2342" s="3">
        <v>2025</v>
      </c>
      <c r="J2342" s="3" t="str">
        <f>CONCATENATE("54820028972")</f>
        <v>54820028972</v>
      </c>
      <c r="K2342" s="3" t="s">
        <v>33</v>
      </c>
      <c r="L2342" s="3"/>
      <c r="M2342" s="3" t="s">
        <v>131</v>
      </c>
      <c r="N2342" s="3" t="str">
        <f>CONCATENATE("GSPWLM55R42Z130I")</f>
        <v>GSPWLM55R42Z130I</v>
      </c>
      <c r="O2342" s="3" t="s">
        <v>2478</v>
      </c>
      <c r="P2342" s="3" t="s">
        <v>36</v>
      </c>
      <c r="Q2342" s="3"/>
      <c r="R2342" s="4">
        <v>45996</v>
      </c>
      <c r="S2342" s="3" t="s">
        <v>37</v>
      </c>
      <c r="T2342" s="3" t="s">
        <v>38</v>
      </c>
      <c r="U2342" s="3" t="s">
        <v>39</v>
      </c>
      <c r="V2342" s="3">
        <v>175.35</v>
      </c>
      <c r="W2342" s="3">
        <v>74.52</v>
      </c>
      <c r="X2342" s="3">
        <v>70.58</v>
      </c>
      <c r="Y2342" s="3">
        <v>30.25</v>
      </c>
    </row>
    <row r="2343" spans="1:25" ht="60.75" x14ac:dyDescent="0.25">
      <c r="A2343" s="3" t="s">
        <v>26</v>
      </c>
      <c r="B2343" s="3" t="s">
        <v>27</v>
      </c>
      <c r="C2343" s="3" t="s">
        <v>28</v>
      </c>
      <c r="D2343" s="3" t="s">
        <v>40</v>
      </c>
      <c r="E2343" s="3" t="s">
        <v>41</v>
      </c>
      <c r="F2343" s="3" t="s">
        <v>42</v>
      </c>
      <c r="G2343" s="3" t="s">
        <v>41</v>
      </c>
      <c r="H2343" s="3" t="s">
        <v>32</v>
      </c>
      <c r="I2343" s="3">
        <v>2025</v>
      </c>
      <c r="J2343" s="3" t="str">
        <f>CONCATENATE("54820073689")</f>
        <v>54820073689</v>
      </c>
      <c r="K2343" s="3" t="s">
        <v>33</v>
      </c>
      <c r="L2343" s="3"/>
      <c r="M2343" s="3" t="s">
        <v>131</v>
      </c>
      <c r="N2343" s="3" t="str">
        <f>CONCATENATE("LTTGNB95T03B474H")</f>
        <v>LTTGNB95T03B474H</v>
      </c>
      <c r="O2343" s="3" t="s">
        <v>75</v>
      </c>
      <c r="P2343" s="3" t="s">
        <v>36</v>
      </c>
      <c r="Q2343" s="3"/>
      <c r="R2343" s="4">
        <v>45996</v>
      </c>
      <c r="S2343" s="3" t="s">
        <v>37</v>
      </c>
      <c r="T2343" s="3" t="s">
        <v>38</v>
      </c>
      <c r="U2343" s="3" t="s">
        <v>39</v>
      </c>
      <c r="V2343" s="5">
        <v>1289.73</v>
      </c>
      <c r="W2343" s="3">
        <v>548.14</v>
      </c>
      <c r="X2343" s="3">
        <v>519.12</v>
      </c>
      <c r="Y2343" s="3">
        <v>222.47</v>
      </c>
    </row>
    <row r="2344" spans="1:25" ht="60.75" x14ac:dyDescent="0.25">
      <c r="A2344" s="3" t="s">
        <v>26</v>
      </c>
      <c r="B2344" s="3" t="s">
        <v>27</v>
      </c>
      <c r="C2344" s="3" t="s">
        <v>28</v>
      </c>
      <c r="D2344" s="3" t="s">
        <v>50</v>
      </c>
      <c r="E2344" s="3" t="s">
        <v>1133</v>
      </c>
      <c r="F2344" s="3" t="s">
        <v>52</v>
      </c>
      <c r="G2344" s="3" t="s">
        <v>1133</v>
      </c>
      <c r="H2344" s="3" t="s">
        <v>45</v>
      </c>
      <c r="I2344" s="3">
        <v>2025</v>
      </c>
      <c r="J2344" s="3" t="str">
        <f>CONCATENATE("54820011895")</f>
        <v>54820011895</v>
      </c>
      <c r="K2344" s="3" t="s">
        <v>33</v>
      </c>
      <c r="L2344" s="3"/>
      <c r="M2344" s="3" t="s">
        <v>131</v>
      </c>
      <c r="N2344" s="3" t="str">
        <f>CONCATENATE("SNTGFR55E10G453B")</f>
        <v>SNTGFR55E10G453B</v>
      </c>
      <c r="O2344" s="3" t="s">
        <v>2479</v>
      </c>
      <c r="P2344" s="3" t="s">
        <v>36</v>
      </c>
      <c r="Q2344" s="3"/>
      <c r="R2344" s="4">
        <v>45996</v>
      </c>
      <c r="S2344" s="3" t="s">
        <v>37</v>
      </c>
      <c r="T2344" s="3" t="s">
        <v>38</v>
      </c>
      <c r="U2344" s="3" t="s">
        <v>39</v>
      </c>
      <c r="V2344" s="3">
        <v>59.5</v>
      </c>
      <c r="W2344" s="3">
        <v>25.29</v>
      </c>
      <c r="X2344" s="3">
        <v>23.95</v>
      </c>
      <c r="Y2344" s="3">
        <v>10.26</v>
      </c>
    </row>
    <row r="2345" spans="1:25" ht="36.75" x14ac:dyDescent="0.25">
      <c r="A2345" s="3" t="s">
        <v>26</v>
      </c>
      <c r="B2345" s="3" t="s">
        <v>27</v>
      </c>
      <c r="C2345" s="3" t="s">
        <v>28</v>
      </c>
      <c r="D2345" s="3" t="s">
        <v>40</v>
      </c>
      <c r="E2345" s="3" t="s">
        <v>44</v>
      </c>
      <c r="F2345" s="3" t="s">
        <v>42</v>
      </c>
      <c r="G2345" s="3" t="s">
        <v>44</v>
      </c>
      <c r="H2345" s="3" t="s">
        <v>32</v>
      </c>
      <c r="I2345" s="3">
        <v>2025</v>
      </c>
      <c r="J2345" s="3" t="str">
        <f>CONCATENATE("54820070818")</f>
        <v>54820070818</v>
      </c>
      <c r="K2345" s="3" t="s">
        <v>33</v>
      </c>
      <c r="L2345" s="3"/>
      <c r="M2345" s="3" t="s">
        <v>131</v>
      </c>
      <c r="N2345" s="3" t="str">
        <f>CONCATENATE("01709190431")</f>
        <v>01709190431</v>
      </c>
      <c r="O2345" s="3" t="s">
        <v>2480</v>
      </c>
      <c r="P2345" s="3" t="s">
        <v>36</v>
      </c>
      <c r="Q2345" s="3"/>
      <c r="R2345" s="4">
        <v>45996</v>
      </c>
      <c r="S2345" s="3" t="s">
        <v>37</v>
      </c>
      <c r="T2345" s="3" t="s">
        <v>38</v>
      </c>
      <c r="U2345" s="3" t="s">
        <v>39</v>
      </c>
      <c r="V2345" s="3">
        <v>724.32</v>
      </c>
      <c r="W2345" s="3">
        <v>307.83999999999997</v>
      </c>
      <c r="X2345" s="3">
        <v>291.54000000000002</v>
      </c>
      <c r="Y2345" s="3">
        <v>124.94</v>
      </c>
    </row>
    <row r="2346" spans="1:25" ht="60.75" x14ac:dyDescent="0.25">
      <c r="A2346" s="3" t="s">
        <v>26</v>
      </c>
      <c r="B2346" s="3" t="s">
        <v>27</v>
      </c>
      <c r="C2346" s="3" t="s">
        <v>28</v>
      </c>
      <c r="D2346" s="3" t="s">
        <v>29</v>
      </c>
      <c r="E2346" s="3" t="s">
        <v>476</v>
      </c>
      <c r="F2346" s="3" t="s">
        <v>31</v>
      </c>
      <c r="G2346" s="3" t="s">
        <v>476</v>
      </c>
      <c r="H2346" s="3" t="s">
        <v>48</v>
      </c>
      <c r="I2346" s="3">
        <v>2025</v>
      </c>
      <c r="J2346" s="3" t="str">
        <f>CONCATENATE("54820024534")</f>
        <v>54820024534</v>
      </c>
      <c r="K2346" s="3" t="s">
        <v>33</v>
      </c>
      <c r="L2346" s="3"/>
      <c r="M2346" s="3" t="s">
        <v>131</v>
      </c>
      <c r="N2346" s="3" t="str">
        <f>CONCATENATE("MLTFNC55P13D965M")</f>
        <v>MLTFNC55P13D965M</v>
      </c>
      <c r="O2346" s="3" t="s">
        <v>2481</v>
      </c>
      <c r="P2346" s="3" t="s">
        <v>36</v>
      </c>
      <c r="Q2346" s="3"/>
      <c r="R2346" s="4">
        <v>45996</v>
      </c>
      <c r="S2346" s="3" t="s">
        <v>37</v>
      </c>
      <c r="T2346" s="3" t="s">
        <v>38</v>
      </c>
      <c r="U2346" s="3" t="s">
        <v>39</v>
      </c>
      <c r="V2346" s="3">
        <v>113.08</v>
      </c>
      <c r="W2346" s="3">
        <v>48.06</v>
      </c>
      <c r="X2346" s="3">
        <v>45.51</v>
      </c>
      <c r="Y2346" s="3">
        <v>19.510000000000002</v>
      </c>
    </row>
    <row r="2347" spans="1:25" ht="60.75" x14ac:dyDescent="0.25">
      <c r="A2347" s="3" t="s">
        <v>26</v>
      </c>
      <c r="B2347" s="3" t="s">
        <v>27</v>
      </c>
      <c r="C2347" s="3" t="s">
        <v>28</v>
      </c>
      <c r="D2347" s="3" t="s">
        <v>50</v>
      </c>
      <c r="E2347" s="3" t="s">
        <v>51</v>
      </c>
      <c r="F2347" s="3" t="s">
        <v>52</v>
      </c>
      <c r="G2347" s="3" t="s">
        <v>51</v>
      </c>
      <c r="H2347" s="3" t="s">
        <v>48</v>
      </c>
      <c r="I2347" s="3">
        <v>2025</v>
      </c>
      <c r="J2347" s="3" t="str">
        <f>CONCATENATE("54820040118")</f>
        <v>54820040118</v>
      </c>
      <c r="K2347" s="3" t="s">
        <v>33</v>
      </c>
      <c r="L2347" s="3"/>
      <c r="M2347" s="3" t="s">
        <v>131</v>
      </c>
      <c r="N2347" s="3" t="str">
        <f>CONCATENATE("PLCGRL84P29D451G")</f>
        <v>PLCGRL84P29D451G</v>
      </c>
      <c r="O2347" s="3" t="s">
        <v>2482</v>
      </c>
      <c r="P2347" s="3" t="s">
        <v>36</v>
      </c>
      <c r="Q2347" s="3"/>
      <c r="R2347" s="4">
        <v>45996</v>
      </c>
      <c r="S2347" s="3" t="s">
        <v>37</v>
      </c>
      <c r="T2347" s="3" t="s">
        <v>38</v>
      </c>
      <c r="U2347" s="3" t="s">
        <v>39</v>
      </c>
      <c r="V2347" s="3">
        <v>82.74</v>
      </c>
      <c r="W2347" s="3">
        <v>35.159999999999997</v>
      </c>
      <c r="X2347" s="3">
        <v>33.299999999999997</v>
      </c>
      <c r="Y2347" s="3">
        <v>14.28</v>
      </c>
    </row>
    <row r="2348" spans="1:25" ht="60.75" x14ac:dyDescent="0.25">
      <c r="A2348" s="3" t="s">
        <v>26</v>
      </c>
      <c r="B2348" s="3" t="s">
        <v>27</v>
      </c>
      <c r="C2348" s="3" t="s">
        <v>28</v>
      </c>
      <c r="D2348" s="3" t="s">
        <v>50</v>
      </c>
      <c r="E2348" s="3" t="s">
        <v>173</v>
      </c>
      <c r="F2348" s="3" t="s">
        <v>52</v>
      </c>
      <c r="G2348" s="3" t="s">
        <v>173</v>
      </c>
      <c r="H2348" s="3" t="s">
        <v>45</v>
      </c>
      <c r="I2348" s="3">
        <v>2025</v>
      </c>
      <c r="J2348" s="3" t="str">
        <f>CONCATENATE("54820051271")</f>
        <v>54820051271</v>
      </c>
      <c r="K2348" s="3" t="s">
        <v>33</v>
      </c>
      <c r="L2348" s="3"/>
      <c r="M2348" s="3" t="s">
        <v>131</v>
      </c>
      <c r="N2348" s="3" t="str">
        <f>CONCATENATE("SPDSVN54M18F467L")</f>
        <v>SPDSVN54M18F467L</v>
      </c>
      <c r="O2348" s="3" t="s">
        <v>2483</v>
      </c>
      <c r="P2348" s="3" t="s">
        <v>36</v>
      </c>
      <c r="Q2348" s="3"/>
      <c r="R2348" s="4">
        <v>45996</v>
      </c>
      <c r="S2348" s="3" t="s">
        <v>37</v>
      </c>
      <c r="T2348" s="3" t="s">
        <v>38</v>
      </c>
      <c r="U2348" s="3" t="s">
        <v>39</v>
      </c>
      <c r="V2348" s="5">
        <v>2313.1999999999998</v>
      </c>
      <c r="W2348" s="3">
        <v>983.11</v>
      </c>
      <c r="X2348" s="3">
        <v>931.06</v>
      </c>
      <c r="Y2348" s="3">
        <v>399.03</v>
      </c>
    </row>
    <row r="2349" spans="1:25" ht="60.75" x14ac:dyDescent="0.25">
      <c r="A2349" s="3" t="s">
        <v>26</v>
      </c>
      <c r="B2349" s="3" t="s">
        <v>27</v>
      </c>
      <c r="C2349" s="3" t="s">
        <v>28</v>
      </c>
      <c r="D2349" s="3" t="s">
        <v>50</v>
      </c>
      <c r="E2349" s="3" t="s">
        <v>212</v>
      </c>
      <c r="F2349" s="3" t="s">
        <v>52</v>
      </c>
      <c r="G2349" s="3" t="s">
        <v>212</v>
      </c>
      <c r="H2349" s="3" t="s">
        <v>32</v>
      </c>
      <c r="I2349" s="3">
        <v>2025</v>
      </c>
      <c r="J2349" s="3" t="str">
        <f>CONCATENATE("54820025291")</f>
        <v>54820025291</v>
      </c>
      <c r="K2349" s="3" t="s">
        <v>33</v>
      </c>
      <c r="L2349" s="3"/>
      <c r="M2349" s="3" t="s">
        <v>131</v>
      </c>
      <c r="N2349" s="3" t="str">
        <f>CONCATENATE("PRSNTN44T17I651P")</f>
        <v>PRSNTN44T17I651P</v>
      </c>
      <c r="O2349" s="3" t="s">
        <v>2484</v>
      </c>
      <c r="P2349" s="3" t="s">
        <v>36</v>
      </c>
      <c r="Q2349" s="3"/>
      <c r="R2349" s="4">
        <v>45996</v>
      </c>
      <c r="S2349" s="3" t="s">
        <v>37</v>
      </c>
      <c r="T2349" s="3" t="s">
        <v>38</v>
      </c>
      <c r="U2349" s="3" t="s">
        <v>39</v>
      </c>
      <c r="V2349" s="3">
        <v>211.55</v>
      </c>
      <c r="W2349" s="3">
        <v>89.91</v>
      </c>
      <c r="X2349" s="3">
        <v>85.15</v>
      </c>
      <c r="Y2349" s="3">
        <v>36.49</v>
      </c>
    </row>
    <row r="2350" spans="1:25" ht="60.75" x14ac:dyDescent="0.25">
      <c r="A2350" s="3" t="s">
        <v>26</v>
      </c>
      <c r="B2350" s="3" t="s">
        <v>27</v>
      </c>
      <c r="C2350" s="3" t="s">
        <v>28</v>
      </c>
      <c r="D2350" s="3" t="s">
        <v>29</v>
      </c>
      <c r="E2350" s="3" t="s">
        <v>72</v>
      </c>
      <c r="F2350" s="3" t="s">
        <v>31</v>
      </c>
      <c r="G2350" s="3" t="s">
        <v>72</v>
      </c>
      <c r="H2350" s="3" t="s">
        <v>45</v>
      </c>
      <c r="I2350" s="3">
        <v>2025</v>
      </c>
      <c r="J2350" s="3" t="str">
        <f>CONCATENATE("54820022330")</f>
        <v>54820022330</v>
      </c>
      <c r="K2350" s="3" t="s">
        <v>33</v>
      </c>
      <c r="L2350" s="3"/>
      <c r="M2350" s="3" t="s">
        <v>131</v>
      </c>
      <c r="N2350" s="3" t="str">
        <f>CONCATENATE("CRPMRT64L05B352O")</f>
        <v>CRPMRT64L05B352O</v>
      </c>
      <c r="O2350" s="3" t="s">
        <v>2485</v>
      </c>
      <c r="P2350" s="3" t="s">
        <v>36</v>
      </c>
      <c r="Q2350" s="3"/>
      <c r="R2350" s="4">
        <v>45996</v>
      </c>
      <c r="S2350" s="3" t="s">
        <v>37</v>
      </c>
      <c r="T2350" s="3" t="s">
        <v>38</v>
      </c>
      <c r="U2350" s="3" t="s">
        <v>39</v>
      </c>
      <c r="V2350" s="3">
        <v>180.94</v>
      </c>
      <c r="W2350" s="3">
        <v>76.900000000000006</v>
      </c>
      <c r="X2350" s="3">
        <v>72.83</v>
      </c>
      <c r="Y2350" s="3">
        <v>31.21</v>
      </c>
    </row>
    <row r="2351" spans="1:25" ht="72.75" x14ac:dyDescent="0.25">
      <c r="A2351" s="3" t="s">
        <v>26</v>
      </c>
      <c r="B2351" s="3" t="s">
        <v>27</v>
      </c>
      <c r="C2351" s="3" t="s">
        <v>28</v>
      </c>
      <c r="D2351" s="3" t="s">
        <v>29</v>
      </c>
      <c r="E2351" s="3" t="s">
        <v>208</v>
      </c>
      <c r="F2351" s="3" t="s">
        <v>31</v>
      </c>
      <c r="G2351" s="3" t="s">
        <v>208</v>
      </c>
      <c r="H2351" s="3" t="s">
        <v>45</v>
      </c>
      <c r="I2351" s="3">
        <v>2025</v>
      </c>
      <c r="J2351" s="3" t="str">
        <f>CONCATENATE("54820032032")</f>
        <v>54820032032</v>
      </c>
      <c r="K2351" s="3" t="s">
        <v>33</v>
      </c>
      <c r="L2351" s="3"/>
      <c r="M2351" s="3" t="s">
        <v>131</v>
      </c>
      <c r="N2351" s="3" t="str">
        <f>CONCATENATE("BRTLSN61A25B352N")</f>
        <v>BRTLSN61A25B352N</v>
      </c>
      <c r="O2351" s="3" t="s">
        <v>2486</v>
      </c>
      <c r="P2351" s="3" t="s">
        <v>36</v>
      </c>
      <c r="Q2351" s="3"/>
      <c r="R2351" s="4">
        <v>45996</v>
      </c>
      <c r="S2351" s="3" t="s">
        <v>37</v>
      </c>
      <c r="T2351" s="3" t="s">
        <v>38</v>
      </c>
      <c r="U2351" s="3" t="s">
        <v>39</v>
      </c>
      <c r="V2351" s="3">
        <v>410.6</v>
      </c>
      <c r="W2351" s="3">
        <v>174.51</v>
      </c>
      <c r="X2351" s="3">
        <v>165.27</v>
      </c>
      <c r="Y2351" s="3">
        <v>70.819999999999993</v>
      </c>
    </row>
    <row r="2352" spans="1:25" ht="60.75" x14ac:dyDescent="0.25">
      <c r="A2352" s="3" t="s">
        <v>26</v>
      </c>
      <c r="B2352" s="3" t="s">
        <v>27</v>
      </c>
      <c r="C2352" s="3" t="s">
        <v>28</v>
      </c>
      <c r="D2352" s="3" t="s">
        <v>29</v>
      </c>
      <c r="E2352" s="3" t="s">
        <v>186</v>
      </c>
      <c r="F2352" s="3" t="s">
        <v>31</v>
      </c>
      <c r="G2352" s="3" t="s">
        <v>186</v>
      </c>
      <c r="H2352" s="3" t="s">
        <v>45</v>
      </c>
      <c r="I2352" s="3">
        <v>2025</v>
      </c>
      <c r="J2352" s="3" t="str">
        <f>CONCATENATE("54820053624")</f>
        <v>54820053624</v>
      </c>
      <c r="K2352" s="3" t="s">
        <v>33</v>
      </c>
      <c r="L2352" s="3"/>
      <c r="M2352" s="3" t="s">
        <v>131</v>
      </c>
      <c r="N2352" s="3" t="str">
        <f>CONCATENATE("SLVDVD68H06E785Q")</f>
        <v>SLVDVD68H06E785Q</v>
      </c>
      <c r="O2352" s="3" t="s">
        <v>2487</v>
      </c>
      <c r="P2352" s="3" t="s">
        <v>36</v>
      </c>
      <c r="Q2352" s="3"/>
      <c r="R2352" s="4">
        <v>45996</v>
      </c>
      <c r="S2352" s="3" t="s">
        <v>37</v>
      </c>
      <c r="T2352" s="3" t="s">
        <v>38</v>
      </c>
      <c r="U2352" s="3" t="s">
        <v>39</v>
      </c>
      <c r="V2352" s="3">
        <v>553.29</v>
      </c>
      <c r="W2352" s="3">
        <v>235.15</v>
      </c>
      <c r="X2352" s="3">
        <v>222.7</v>
      </c>
      <c r="Y2352" s="3">
        <v>95.44</v>
      </c>
    </row>
    <row r="2353" spans="1:25" ht="60.75" x14ac:dyDescent="0.25">
      <c r="A2353" s="3" t="s">
        <v>26</v>
      </c>
      <c r="B2353" s="3" t="s">
        <v>27</v>
      </c>
      <c r="C2353" s="3" t="s">
        <v>28</v>
      </c>
      <c r="D2353" s="3" t="s">
        <v>29</v>
      </c>
      <c r="E2353" s="3" t="s">
        <v>56</v>
      </c>
      <c r="F2353" s="3" t="s">
        <v>31</v>
      </c>
      <c r="G2353" s="3" t="s">
        <v>56</v>
      </c>
      <c r="H2353" s="3" t="s">
        <v>32</v>
      </c>
      <c r="I2353" s="3">
        <v>2025</v>
      </c>
      <c r="J2353" s="3" t="str">
        <f>CONCATENATE("54820041645")</f>
        <v>54820041645</v>
      </c>
      <c r="K2353" s="3" t="s">
        <v>33</v>
      </c>
      <c r="L2353" s="3"/>
      <c r="M2353" s="3" t="s">
        <v>131</v>
      </c>
      <c r="N2353" s="3" t="str">
        <f>CONCATENATE("CNSGNN42R46F051O")</f>
        <v>CNSGNN42R46F051O</v>
      </c>
      <c r="O2353" s="3" t="s">
        <v>2488</v>
      </c>
      <c r="P2353" s="3" t="s">
        <v>36</v>
      </c>
      <c r="Q2353" s="3"/>
      <c r="R2353" s="4">
        <v>45996</v>
      </c>
      <c r="S2353" s="3" t="s">
        <v>37</v>
      </c>
      <c r="T2353" s="3" t="s">
        <v>38</v>
      </c>
      <c r="U2353" s="3" t="s">
        <v>39</v>
      </c>
      <c r="V2353" s="3">
        <v>70.92</v>
      </c>
      <c r="W2353" s="3">
        <v>30.14</v>
      </c>
      <c r="X2353" s="3">
        <v>28.55</v>
      </c>
      <c r="Y2353" s="3">
        <v>12.23</v>
      </c>
    </row>
    <row r="2354" spans="1:25" ht="60.75" x14ac:dyDescent="0.25">
      <c r="A2354" s="3" t="s">
        <v>26</v>
      </c>
      <c r="B2354" s="3" t="s">
        <v>27</v>
      </c>
      <c r="C2354" s="3" t="s">
        <v>28</v>
      </c>
      <c r="D2354" s="3" t="s">
        <v>29</v>
      </c>
      <c r="E2354" s="3" t="s">
        <v>119</v>
      </c>
      <c r="F2354" s="3" t="s">
        <v>31</v>
      </c>
      <c r="G2354" s="3" t="s">
        <v>119</v>
      </c>
      <c r="H2354" s="3" t="s">
        <v>96</v>
      </c>
      <c r="I2354" s="3">
        <v>2025</v>
      </c>
      <c r="J2354" s="3" t="str">
        <f>CONCATENATE("54820068739")</f>
        <v>54820068739</v>
      </c>
      <c r="K2354" s="3" t="s">
        <v>33</v>
      </c>
      <c r="L2354" s="3"/>
      <c r="M2354" s="3" t="s">
        <v>131</v>
      </c>
      <c r="N2354" s="3" t="str">
        <f>CONCATENATE("GNTMRA44L48H390W")</f>
        <v>GNTMRA44L48H390W</v>
      </c>
      <c r="O2354" s="3" t="s">
        <v>2489</v>
      </c>
      <c r="P2354" s="3" t="s">
        <v>36</v>
      </c>
      <c r="Q2354" s="3"/>
      <c r="R2354" s="4">
        <v>45996</v>
      </c>
      <c r="S2354" s="3" t="s">
        <v>37</v>
      </c>
      <c r="T2354" s="3" t="s">
        <v>38</v>
      </c>
      <c r="U2354" s="3" t="s">
        <v>39</v>
      </c>
      <c r="V2354" s="3">
        <v>84.44</v>
      </c>
      <c r="W2354" s="3">
        <v>35.89</v>
      </c>
      <c r="X2354" s="3">
        <v>33.99</v>
      </c>
      <c r="Y2354" s="3">
        <v>14.56</v>
      </c>
    </row>
    <row r="2355" spans="1:25" ht="60.75" x14ac:dyDescent="0.25">
      <c r="A2355" s="3" t="s">
        <v>26</v>
      </c>
      <c r="B2355" s="3" t="s">
        <v>27</v>
      </c>
      <c r="C2355" s="3" t="s">
        <v>28</v>
      </c>
      <c r="D2355" s="3" t="s">
        <v>40</v>
      </c>
      <c r="E2355" s="3" t="s">
        <v>287</v>
      </c>
      <c r="F2355" s="3" t="s">
        <v>42</v>
      </c>
      <c r="G2355" s="3" t="s">
        <v>287</v>
      </c>
      <c r="H2355" s="3" t="s">
        <v>32</v>
      </c>
      <c r="I2355" s="3">
        <v>2025</v>
      </c>
      <c r="J2355" s="3" t="str">
        <f>CONCATENATE("54820015375")</f>
        <v>54820015375</v>
      </c>
      <c r="K2355" s="3" t="s">
        <v>33</v>
      </c>
      <c r="L2355" s="3"/>
      <c r="M2355" s="3" t="s">
        <v>131</v>
      </c>
      <c r="N2355" s="3" t="str">
        <f>CONCATENATE("CPRVCN46L25B474X")</f>
        <v>CPRVCN46L25B474X</v>
      </c>
      <c r="O2355" s="3" t="s">
        <v>2490</v>
      </c>
      <c r="P2355" s="3" t="s">
        <v>36</v>
      </c>
      <c r="Q2355" s="3"/>
      <c r="R2355" s="4">
        <v>45996</v>
      </c>
      <c r="S2355" s="3" t="s">
        <v>37</v>
      </c>
      <c r="T2355" s="3" t="s">
        <v>38</v>
      </c>
      <c r="U2355" s="3" t="s">
        <v>39</v>
      </c>
      <c r="V2355" s="3">
        <v>226.4</v>
      </c>
      <c r="W2355" s="3">
        <v>96.22</v>
      </c>
      <c r="X2355" s="3">
        <v>91.13</v>
      </c>
      <c r="Y2355" s="3">
        <v>39.049999999999997</v>
      </c>
    </row>
    <row r="2356" spans="1:25" ht="60.75" x14ac:dyDescent="0.25">
      <c r="A2356" s="3" t="s">
        <v>26</v>
      </c>
      <c r="B2356" s="3" t="s">
        <v>27</v>
      </c>
      <c r="C2356" s="3" t="s">
        <v>28</v>
      </c>
      <c r="D2356" s="3" t="s">
        <v>29</v>
      </c>
      <c r="E2356" s="3" t="s">
        <v>56</v>
      </c>
      <c r="F2356" s="3" t="s">
        <v>31</v>
      </c>
      <c r="G2356" s="3" t="s">
        <v>56</v>
      </c>
      <c r="H2356" s="3" t="s">
        <v>32</v>
      </c>
      <c r="I2356" s="3">
        <v>2025</v>
      </c>
      <c r="J2356" s="3" t="str">
        <f>CONCATENATE("54820009980")</f>
        <v>54820009980</v>
      </c>
      <c r="K2356" s="3" t="s">
        <v>33</v>
      </c>
      <c r="L2356" s="3"/>
      <c r="M2356" s="3" t="s">
        <v>131</v>
      </c>
      <c r="N2356" s="3" t="str">
        <f>CONCATENATE("NTNDRN67L04B474O")</f>
        <v>NTNDRN67L04B474O</v>
      </c>
      <c r="O2356" s="3" t="s">
        <v>2491</v>
      </c>
      <c r="P2356" s="3" t="s">
        <v>36</v>
      </c>
      <c r="Q2356" s="3"/>
      <c r="R2356" s="4">
        <v>45996</v>
      </c>
      <c r="S2356" s="3" t="s">
        <v>37</v>
      </c>
      <c r="T2356" s="3" t="s">
        <v>38</v>
      </c>
      <c r="U2356" s="3" t="s">
        <v>39</v>
      </c>
      <c r="V2356" s="3">
        <v>92.94</v>
      </c>
      <c r="W2356" s="3">
        <v>39.5</v>
      </c>
      <c r="X2356" s="3">
        <v>37.409999999999997</v>
      </c>
      <c r="Y2356" s="3">
        <v>16.03</v>
      </c>
    </row>
    <row r="2357" spans="1:25" ht="60.75" x14ac:dyDescent="0.25">
      <c r="A2357" s="3" t="s">
        <v>26</v>
      </c>
      <c r="B2357" s="3" t="s">
        <v>27</v>
      </c>
      <c r="C2357" s="3" t="s">
        <v>28</v>
      </c>
      <c r="D2357" s="3" t="s">
        <v>29</v>
      </c>
      <c r="E2357" s="3" t="s">
        <v>208</v>
      </c>
      <c r="F2357" s="3" t="s">
        <v>31</v>
      </c>
      <c r="G2357" s="3" t="s">
        <v>208</v>
      </c>
      <c r="H2357" s="3" t="s">
        <v>45</v>
      </c>
      <c r="I2357" s="3">
        <v>2025</v>
      </c>
      <c r="J2357" s="3" t="str">
        <f>CONCATENATE("54820062187")</f>
        <v>54820062187</v>
      </c>
      <c r="K2357" s="3" t="s">
        <v>33</v>
      </c>
      <c r="L2357" s="3"/>
      <c r="M2357" s="3" t="s">
        <v>131</v>
      </c>
      <c r="N2357" s="3" t="str">
        <f>CONCATENATE("SPDNGL50H25C830N")</f>
        <v>SPDNGL50H25C830N</v>
      </c>
      <c r="O2357" s="3" t="s">
        <v>2492</v>
      </c>
      <c r="P2357" s="3" t="s">
        <v>36</v>
      </c>
      <c r="Q2357" s="3"/>
      <c r="R2357" s="4">
        <v>45996</v>
      </c>
      <c r="S2357" s="3" t="s">
        <v>37</v>
      </c>
      <c r="T2357" s="3" t="s">
        <v>38</v>
      </c>
      <c r="U2357" s="3" t="s">
        <v>39</v>
      </c>
      <c r="V2357" s="3">
        <v>249.26</v>
      </c>
      <c r="W2357" s="3">
        <v>105.94</v>
      </c>
      <c r="X2357" s="3">
        <v>100.33</v>
      </c>
      <c r="Y2357" s="3">
        <v>42.99</v>
      </c>
    </row>
    <row r="2358" spans="1:25" ht="60.75" x14ac:dyDescent="0.25">
      <c r="A2358" s="3" t="s">
        <v>26</v>
      </c>
      <c r="B2358" s="3" t="s">
        <v>27</v>
      </c>
      <c r="C2358" s="3" t="s">
        <v>28</v>
      </c>
      <c r="D2358" s="3" t="s">
        <v>50</v>
      </c>
      <c r="E2358" s="3" t="s">
        <v>173</v>
      </c>
      <c r="F2358" s="3" t="s">
        <v>52</v>
      </c>
      <c r="G2358" s="3" t="s">
        <v>173</v>
      </c>
      <c r="H2358" s="3" t="s">
        <v>45</v>
      </c>
      <c r="I2358" s="3">
        <v>2025</v>
      </c>
      <c r="J2358" s="3" t="str">
        <f>CONCATENATE("54820028832")</f>
        <v>54820028832</v>
      </c>
      <c r="K2358" s="3" t="s">
        <v>33</v>
      </c>
      <c r="L2358" s="3"/>
      <c r="M2358" s="3" t="s">
        <v>131</v>
      </c>
      <c r="N2358" s="3" t="str">
        <f>CONCATENATE("CSTDNL80R05I459Y")</f>
        <v>CSTDNL80R05I459Y</v>
      </c>
      <c r="O2358" s="3" t="s">
        <v>2493</v>
      </c>
      <c r="P2358" s="3" t="s">
        <v>36</v>
      </c>
      <c r="Q2358" s="3"/>
      <c r="R2358" s="4">
        <v>45996</v>
      </c>
      <c r="S2358" s="3" t="s">
        <v>37</v>
      </c>
      <c r="T2358" s="3" t="s">
        <v>38</v>
      </c>
      <c r="U2358" s="3" t="s">
        <v>39</v>
      </c>
      <c r="V2358" s="3">
        <v>110.94</v>
      </c>
      <c r="W2358" s="3">
        <v>47.15</v>
      </c>
      <c r="X2358" s="3">
        <v>44.65</v>
      </c>
      <c r="Y2358" s="3">
        <v>19.14</v>
      </c>
    </row>
    <row r="2359" spans="1:25" ht="72.75" x14ac:dyDescent="0.25">
      <c r="A2359" s="3" t="s">
        <v>26</v>
      </c>
      <c r="B2359" s="3" t="s">
        <v>27</v>
      </c>
      <c r="C2359" s="3" t="s">
        <v>28</v>
      </c>
      <c r="D2359" s="3" t="s">
        <v>29</v>
      </c>
      <c r="E2359" s="3" t="s">
        <v>233</v>
      </c>
      <c r="F2359" s="3" t="s">
        <v>31</v>
      </c>
      <c r="G2359" s="3" t="s">
        <v>233</v>
      </c>
      <c r="H2359" s="3" t="s">
        <v>96</v>
      </c>
      <c r="I2359" s="3">
        <v>2025</v>
      </c>
      <c r="J2359" s="3" t="str">
        <f>CONCATENATE("54820042528")</f>
        <v>54820042528</v>
      </c>
      <c r="K2359" s="3" t="s">
        <v>33</v>
      </c>
      <c r="L2359" s="3"/>
      <c r="M2359" s="3" t="s">
        <v>131</v>
      </c>
      <c r="N2359" s="3" t="str">
        <f>CONCATENATE("FBNRTR72B19A462N")</f>
        <v>FBNRTR72B19A462N</v>
      </c>
      <c r="O2359" s="3" t="s">
        <v>2494</v>
      </c>
      <c r="P2359" s="3" t="s">
        <v>36</v>
      </c>
      <c r="Q2359" s="3"/>
      <c r="R2359" s="4">
        <v>45996</v>
      </c>
      <c r="S2359" s="3" t="s">
        <v>37</v>
      </c>
      <c r="T2359" s="3" t="s">
        <v>38</v>
      </c>
      <c r="U2359" s="3" t="s">
        <v>39</v>
      </c>
      <c r="V2359" s="3">
        <v>101.64</v>
      </c>
      <c r="W2359" s="3">
        <v>43.2</v>
      </c>
      <c r="X2359" s="3">
        <v>40.909999999999997</v>
      </c>
      <c r="Y2359" s="3">
        <v>17.53</v>
      </c>
    </row>
    <row r="2360" spans="1:25" ht="60.75" x14ac:dyDescent="0.25">
      <c r="A2360" s="3" t="s">
        <v>26</v>
      </c>
      <c r="B2360" s="3" t="s">
        <v>27</v>
      </c>
      <c r="C2360" s="3" t="s">
        <v>28</v>
      </c>
      <c r="D2360" s="3" t="s">
        <v>29</v>
      </c>
      <c r="E2360" s="3" t="s">
        <v>136</v>
      </c>
      <c r="F2360" s="3" t="s">
        <v>31</v>
      </c>
      <c r="G2360" s="3" t="s">
        <v>136</v>
      </c>
      <c r="H2360" s="3" t="s">
        <v>48</v>
      </c>
      <c r="I2360" s="3">
        <v>2025</v>
      </c>
      <c r="J2360" s="3" t="str">
        <f>CONCATENATE("54820017959")</f>
        <v>54820017959</v>
      </c>
      <c r="K2360" s="3" t="s">
        <v>33</v>
      </c>
      <c r="L2360" s="3"/>
      <c r="M2360" s="3" t="s">
        <v>131</v>
      </c>
      <c r="N2360" s="3" t="str">
        <f>CONCATENATE("BNCVNI45S60I461T")</f>
        <v>BNCVNI45S60I461T</v>
      </c>
      <c r="O2360" s="3" t="s">
        <v>2495</v>
      </c>
      <c r="P2360" s="3" t="s">
        <v>36</v>
      </c>
      <c r="Q2360" s="3"/>
      <c r="R2360" s="4">
        <v>45996</v>
      </c>
      <c r="S2360" s="3" t="s">
        <v>37</v>
      </c>
      <c r="T2360" s="3" t="s">
        <v>38</v>
      </c>
      <c r="U2360" s="3" t="s">
        <v>39</v>
      </c>
      <c r="V2360" s="3">
        <v>91.31</v>
      </c>
      <c r="W2360" s="3">
        <v>38.81</v>
      </c>
      <c r="X2360" s="3">
        <v>36.75</v>
      </c>
      <c r="Y2360" s="3">
        <v>15.75</v>
      </c>
    </row>
    <row r="2361" spans="1:25" ht="60.75" x14ac:dyDescent="0.25">
      <c r="A2361" s="3" t="s">
        <v>26</v>
      </c>
      <c r="B2361" s="3" t="s">
        <v>27</v>
      </c>
      <c r="C2361" s="3" t="s">
        <v>28</v>
      </c>
      <c r="D2361" s="3" t="s">
        <v>29</v>
      </c>
      <c r="E2361" s="3" t="s">
        <v>186</v>
      </c>
      <c r="F2361" s="3" t="s">
        <v>31</v>
      </c>
      <c r="G2361" s="3" t="s">
        <v>186</v>
      </c>
      <c r="H2361" s="3" t="s">
        <v>45</v>
      </c>
      <c r="I2361" s="3">
        <v>2025</v>
      </c>
      <c r="J2361" s="3" t="str">
        <f>CONCATENATE("54820053608")</f>
        <v>54820053608</v>
      </c>
      <c r="K2361" s="3" t="s">
        <v>33</v>
      </c>
      <c r="L2361" s="3"/>
      <c r="M2361" s="3" t="s">
        <v>131</v>
      </c>
      <c r="N2361" s="3" t="str">
        <f>CONCATENATE("SCCLSN84H13I459Q")</f>
        <v>SCCLSN84H13I459Q</v>
      </c>
      <c r="O2361" s="3" t="s">
        <v>2496</v>
      </c>
      <c r="P2361" s="3" t="s">
        <v>36</v>
      </c>
      <c r="Q2361" s="3"/>
      <c r="R2361" s="4">
        <v>45996</v>
      </c>
      <c r="S2361" s="3" t="s">
        <v>37</v>
      </c>
      <c r="T2361" s="3" t="s">
        <v>38</v>
      </c>
      <c r="U2361" s="3" t="s">
        <v>39</v>
      </c>
      <c r="V2361" s="3">
        <v>126.5</v>
      </c>
      <c r="W2361" s="3">
        <v>53.76</v>
      </c>
      <c r="X2361" s="3">
        <v>50.92</v>
      </c>
      <c r="Y2361" s="3">
        <v>21.82</v>
      </c>
    </row>
    <row r="2362" spans="1:25" ht="60.75" x14ac:dyDescent="0.25">
      <c r="A2362" s="3" t="s">
        <v>26</v>
      </c>
      <c r="B2362" s="3" t="s">
        <v>27</v>
      </c>
      <c r="C2362" s="3" t="s">
        <v>28</v>
      </c>
      <c r="D2362" s="3" t="s">
        <v>29</v>
      </c>
      <c r="E2362" s="3" t="s">
        <v>186</v>
      </c>
      <c r="F2362" s="3" t="s">
        <v>31</v>
      </c>
      <c r="G2362" s="3" t="s">
        <v>186</v>
      </c>
      <c r="H2362" s="3" t="s">
        <v>45</v>
      </c>
      <c r="I2362" s="3">
        <v>2025</v>
      </c>
      <c r="J2362" s="3" t="str">
        <f>CONCATENATE("54820046164")</f>
        <v>54820046164</v>
      </c>
      <c r="K2362" s="3" t="s">
        <v>33</v>
      </c>
      <c r="L2362" s="3"/>
      <c r="M2362" s="3" t="s">
        <v>131</v>
      </c>
      <c r="N2362" s="3" t="str">
        <f>CONCATENATE("RGGGPL67E04G551J")</f>
        <v>RGGGPL67E04G551J</v>
      </c>
      <c r="O2362" s="3" t="s">
        <v>187</v>
      </c>
      <c r="P2362" s="3" t="s">
        <v>36</v>
      </c>
      <c r="Q2362" s="3"/>
      <c r="R2362" s="4">
        <v>45996</v>
      </c>
      <c r="S2362" s="3" t="s">
        <v>37</v>
      </c>
      <c r="T2362" s="3" t="s">
        <v>38</v>
      </c>
      <c r="U2362" s="3" t="s">
        <v>39</v>
      </c>
      <c r="V2362" s="3">
        <v>628.84</v>
      </c>
      <c r="W2362" s="3">
        <v>267.26</v>
      </c>
      <c r="X2362" s="3">
        <v>253.11</v>
      </c>
      <c r="Y2362" s="3">
        <v>108.47</v>
      </c>
    </row>
    <row r="2363" spans="1:25" ht="60.75" x14ac:dyDescent="0.25">
      <c r="A2363" s="3" t="s">
        <v>26</v>
      </c>
      <c r="B2363" s="3" t="s">
        <v>27</v>
      </c>
      <c r="C2363" s="3" t="s">
        <v>28</v>
      </c>
      <c r="D2363" s="3" t="s">
        <v>29</v>
      </c>
      <c r="E2363" s="3" t="s">
        <v>228</v>
      </c>
      <c r="F2363" s="3" t="s">
        <v>31</v>
      </c>
      <c r="G2363" s="3" t="s">
        <v>228</v>
      </c>
      <c r="H2363" s="3" t="s">
        <v>45</v>
      </c>
      <c r="I2363" s="3">
        <v>2025</v>
      </c>
      <c r="J2363" s="3" t="str">
        <f>CONCATENATE("54820078852")</f>
        <v>54820078852</v>
      </c>
      <c r="K2363" s="3" t="s">
        <v>33</v>
      </c>
      <c r="L2363" s="3"/>
      <c r="M2363" s="3" t="s">
        <v>131</v>
      </c>
      <c r="N2363" s="3" t="str">
        <f>CONCATENATE("MRCLRD51C06D749L")</f>
        <v>MRCLRD51C06D749L</v>
      </c>
      <c r="O2363" s="3" t="s">
        <v>2497</v>
      </c>
      <c r="P2363" s="3" t="s">
        <v>36</v>
      </c>
      <c r="Q2363" s="3"/>
      <c r="R2363" s="4">
        <v>45996</v>
      </c>
      <c r="S2363" s="3" t="s">
        <v>37</v>
      </c>
      <c r="T2363" s="3" t="s">
        <v>38</v>
      </c>
      <c r="U2363" s="3" t="s">
        <v>39</v>
      </c>
      <c r="V2363" s="3">
        <v>373.74</v>
      </c>
      <c r="W2363" s="3">
        <v>158.84</v>
      </c>
      <c r="X2363" s="3">
        <v>150.43</v>
      </c>
      <c r="Y2363" s="3">
        <v>64.47</v>
      </c>
    </row>
    <row r="2364" spans="1:25" ht="60.75" x14ac:dyDescent="0.25">
      <c r="A2364" s="3" t="s">
        <v>26</v>
      </c>
      <c r="B2364" s="3" t="s">
        <v>27</v>
      </c>
      <c r="C2364" s="3" t="s">
        <v>28</v>
      </c>
      <c r="D2364" s="3" t="s">
        <v>29</v>
      </c>
      <c r="E2364" s="3" t="s">
        <v>47</v>
      </c>
      <c r="F2364" s="3" t="s">
        <v>31</v>
      </c>
      <c r="G2364" s="3" t="s">
        <v>47</v>
      </c>
      <c r="H2364" s="3" t="s">
        <v>48</v>
      </c>
      <c r="I2364" s="3">
        <v>2025</v>
      </c>
      <c r="J2364" s="3" t="str">
        <f>CONCATENATE("54820043179")</f>
        <v>54820043179</v>
      </c>
      <c r="K2364" s="3" t="s">
        <v>33</v>
      </c>
      <c r="L2364" s="3"/>
      <c r="M2364" s="3" t="s">
        <v>131</v>
      </c>
      <c r="N2364" s="3" t="str">
        <f>CONCATENATE("GRNSST48C02D965P")</f>
        <v>GRNSST48C02D965P</v>
      </c>
      <c r="O2364" s="3" t="s">
        <v>2498</v>
      </c>
      <c r="P2364" s="3" t="s">
        <v>36</v>
      </c>
      <c r="Q2364" s="3"/>
      <c r="R2364" s="4">
        <v>45996</v>
      </c>
      <c r="S2364" s="3" t="s">
        <v>37</v>
      </c>
      <c r="T2364" s="3" t="s">
        <v>38</v>
      </c>
      <c r="U2364" s="3" t="s">
        <v>39</v>
      </c>
      <c r="V2364" s="3">
        <v>218.64</v>
      </c>
      <c r="W2364" s="3">
        <v>92.92</v>
      </c>
      <c r="X2364" s="3">
        <v>88</v>
      </c>
      <c r="Y2364" s="3">
        <v>37.72</v>
      </c>
    </row>
    <row r="2365" spans="1:25" ht="60.75" x14ac:dyDescent="0.25">
      <c r="A2365" s="3" t="s">
        <v>26</v>
      </c>
      <c r="B2365" s="3" t="s">
        <v>27</v>
      </c>
      <c r="C2365" s="3" t="s">
        <v>28</v>
      </c>
      <c r="D2365" s="3" t="s">
        <v>29</v>
      </c>
      <c r="E2365" s="3" t="s">
        <v>119</v>
      </c>
      <c r="F2365" s="3" t="s">
        <v>31</v>
      </c>
      <c r="G2365" s="3" t="s">
        <v>119</v>
      </c>
      <c r="H2365" s="3" t="s">
        <v>96</v>
      </c>
      <c r="I2365" s="3">
        <v>2025</v>
      </c>
      <c r="J2365" s="3" t="str">
        <f>CONCATENATE("54820009147")</f>
        <v>54820009147</v>
      </c>
      <c r="K2365" s="3" t="s">
        <v>33</v>
      </c>
      <c r="L2365" s="3"/>
      <c r="M2365" s="3" t="s">
        <v>131</v>
      </c>
      <c r="N2365" s="3" t="str">
        <f>CONCATENATE("BRNFNC49P03G436V")</f>
        <v>BRNFNC49P03G436V</v>
      </c>
      <c r="O2365" s="3" t="s">
        <v>2499</v>
      </c>
      <c r="P2365" s="3" t="s">
        <v>36</v>
      </c>
      <c r="Q2365" s="3"/>
      <c r="R2365" s="4">
        <v>45996</v>
      </c>
      <c r="S2365" s="3" t="s">
        <v>37</v>
      </c>
      <c r="T2365" s="3" t="s">
        <v>38</v>
      </c>
      <c r="U2365" s="3" t="s">
        <v>39</v>
      </c>
      <c r="V2365" s="3">
        <v>49.92</v>
      </c>
      <c r="W2365" s="3">
        <v>21.22</v>
      </c>
      <c r="X2365" s="3">
        <v>20.09</v>
      </c>
      <c r="Y2365" s="3">
        <v>8.61</v>
      </c>
    </row>
    <row r="2366" spans="1:25" ht="60.75" x14ac:dyDescent="0.25">
      <c r="A2366" s="3" t="s">
        <v>26</v>
      </c>
      <c r="B2366" s="3" t="s">
        <v>27</v>
      </c>
      <c r="C2366" s="3" t="s">
        <v>28</v>
      </c>
      <c r="D2366" s="3" t="s">
        <v>29</v>
      </c>
      <c r="E2366" s="3" t="s">
        <v>182</v>
      </c>
      <c r="F2366" s="3" t="s">
        <v>31</v>
      </c>
      <c r="G2366" s="3" t="s">
        <v>182</v>
      </c>
      <c r="H2366" s="3" t="s">
        <v>45</v>
      </c>
      <c r="I2366" s="3">
        <v>2025</v>
      </c>
      <c r="J2366" s="3" t="str">
        <f>CONCATENATE("54820154034")</f>
        <v>54820154034</v>
      </c>
      <c r="K2366" s="3" t="s">
        <v>33</v>
      </c>
      <c r="L2366" s="3"/>
      <c r="M2366" s="3" t="s">
        <v>131</v>
      </c>
      <c r="N2366" s="3" t="str">
        <f>CONCATENATE("PTTBTN66D25F979F")</f>
        <v>PTTBTN66D25F979F</v>
      </c>
      <c r="O2366" s="3" t="s">
        <v>2500</v>
      </c>
      <c r="P2366" s="3" t="s">
        <v>36</v>
      </c>
      <c r="Q2366" s="3"/>
      <c r="R2366" s="4">
        <v>45996</v>
      </c>
      <c r="S2366" s="3" t="s">
        <v>37</v>
      </c>
      <c r="T2366" s="3" t="s">
        <v>38</v>
      </c>
      <c r="U2366" s="3" t="s">
        <v>39</v>
      </c>
      <c r="V2366" s="5">
        <v>1442.94</v>
      </c>
      <c r="W2366" s="3">
        <v>613.25</v>
      </c>
      <c r="X2366" s="3">
        <v>580.78</v>
      </c>
      <c r="Y2366" s="3">
        <v>248.91</v>
      </c>
    </row>
    <row r="2367" spans="1:25" ht="60.75" x14ac:dyDescent="0.25">
      <c r="A2367" s="3" t="s">
        <v>26</v>
      </c>
      <c r="B2367" s="3" t="s">
        <v>27</v>
      </c>
      <c r="C2367" s="3" t="s">
        <v>28</v>
      </c>
      <c r="D2367" s="3" t="s">
        <v>50</v>
      </c>
      <c r="E2367" s="3" t="s">
        <v>60</v>
      </c>
      <c r="F2367" s="3" t="s">
        <v>52</v>
      </c>
      <c r="G2367" s="3" t="s">
        <v>60</v>
      </c>
      <c r="H2367" s="3" t="s">
        <v>45</v>
      </c>
      <c r="I2367" s="3">
        <v>2025</v>
      </c>
      <c r="J2367" s="3" t="str">
        <f>CONCATENATE("54820291760")</f>
        <v>54820291760</v>
      </c>
      <c r="K2367" s="3" t="s">
        <v>33</v>
      </c>
      <c r="L2367" s="3"/>
      <c r="M2367" s="3" t="s">
        <v>131</v>
      </c>
      <c r="N2367" s="3" t="str">
        <f>CONCATENATE("BRTVDO57S10D791G")</f>
        <v>BRTVDO57S10D791G</v>
      </c>
      <c r="O2367" s="3" t="s">
        <v>2501</v>
      </c>
      <c r="P2367" s="3" t="s">
        <v>36</v>
      </c>
      <c r="Q2367" s="3"/>
      <c r="R2367" s="4">
        <v>45996</v>
      </c>
      <c r="S2367" s="3" t="s">
        <v>37</v>
      </c>
      <c r="T2367" s="3" t="s">
        <v>38</v>
      </c>
      <c r="U2367" s="3" t="s">
        <v>39</v>
      </c>
      <c r="V2367" s="3">
        <v>94.33</v>
      </c>
      <c r="W2367" s="3">
        <v>40.090000000000003</v>
      </c>
      <c r="X2367" s="3">
        <v>37.97</v>
      </c>
      <c r="Y2367" s="3">
        <v>16.27</v>
      </c>
    </row>
    <row r="2368" spans="1:25" ht="72.75" x14ac:dyDescent="0.25">
      <c r="A2368" s="3" t="s">
        <v>26</v>
      </c>
      <c r="B2368" s="3" t="s">
        <v>27</v>
      </c>
      <c r="C2368" s="3" t="s">
        <v>28</v>
      </c>
      <c r="D2368" s="3" t="s">
        <v>29</v>
      </c>
      <c r="E2368" s="3" t="s">
        <v>80</v>
      </c>
      <c r="F2368" s="3" t="s">
        <v>31</v>
      </c>
      <c r="G2368" s="3" t="s">
        <v>80</v>
      </c>
      <c r="H2368" s="3" t="s">
        <v>45</v>
      </c>
      <c r="I2368" s="3">
        <v>2025</v>
      </c>
      <c r="J2368" s="3" t="str">
        <f>CONCATENATE("54820167069")</f>
        <v>54820167069</v>
      </c>
      <c r="K2368" s="3" t="s">
        <v>33</v>
      </c>
      <c r="L2368" s="3"/>
      <c r="M2368" s="3" t="s">
        <v>131</v>
      </c>
      <c r="N2368" s="3" t="str">
        <f>CONCATENATE("MNCFBA68A09B352A")</f>
        <v>MNCFBA68A09B352A</v>
      </c>
      <c r="O2368" s="3" t="s">
        <v>2502</v>
      </c>
      <c r="P2368" s="3" t="s">
        <v>36</v>
      </c>
      <c r="Q2368" s="3"/>
      <c r="R2368" s="4">
        <v>45996</v>
      </c>
      <c r="S2368" s="3" t="s">
        <v>37</v>
      </c>
      <c r="T2368" s="3" t="s">
        <v>38</v>
      </c>
      <c r="U2368" s="3" t="s">
        <v>39</v>
      </c>
      <c r="V2368" s="3">
        <v>75.72</v>
      </c>
      <c r="W2368" s="3">
        <v>32.18</v>
      </c>
      <c r="X2368" s="3">
        <v>30.48</v>
      </c>
      <c r="Y2368" s="3">
        <v>13.06</v>
      </c>
    </row>
    <row r="2369" spans="1:25" ht="60.75" x14ac:dyDescent="0.25">
      <c r="A2369" s="3" t="s">
        <v>26</v>
      </c>
      <c r="B2369" s="3" t="s">
        <v>27</v>
      </c>
      <c r="C2369" s="3" t="s">
        <v>28</v>
      </c>
      <c r="D2369" s="3" t="s">
        <v>29</v>
      </c>
      <c r="E2369" s="3" t="s">
        <v>56</v>
      </c>
      <c r="F2369" s="3" t="s">
        <v>31</v>
      </c>
      <c r="G2369" s="3" t="s">
        <v>56</v>
      </c>
      <c r="H2369" s="3" t="s">
        <v>32</v>
      </c>
      <c r="I2369" s="3">
        <v>2025</v>
      </c>
      <c r="J2369" s="3" t="str">
        <f>CONCATENATE("54820187455")</f>
        <v>54820187455</v>
      </c>
      <c r="K2369" s="3" t="s">
        <v>33</v>
      </c>
      <c r="L2369" s="3"/>
      <c r="M2369" s="3" t="s">
        <v>131</v>
      </c>
      <c r="N2369" s="3" t="str">
        <f>CONCATENATE("MCCRRT76T25B474R")</f>
        <v>MCCRRT76T25B474R</v>
      </c>
      <c r="O2369" s="3" t="s">
        <v>2503</v>
      </c>
      <c r="P2369" s="3" t="s">
        <v>36</v>
      </c>
      <c r="Q2369" s="3"/>
      <c r="R2369" s="4">
        <v>45996</v>
      </c>
      <c r="S2369" s="3" t="s">
        <v>37</v>
      </c>
      <c r="T2369" s="3" t="s">
        <v>38</v>
      </c>
      <c r="U2369" s="3" t="s">
        <v>39</v>
      </c>
      <c r="V2369" s="3">
        <v>687.26</v>
      </c>
      <c r="W2369" s="3">
        <v>292.08999999999997</v>
      </c>
      <c r="X2369" s="3">
        <v>276.62</v>
      </c>
      <c r="Y2369" s="3">
        <v>118.55</v>
      </c>
    </row>
    <row r="2370" spans="1:25" ht="36.75" x14ac:dyDescent="0.25">
      <c r="A2370" s="3" t="s">
        <v>26</v>
      </c>
      <c r="B2370" s="3" t="s">
        <v>27</v>
      </c>
      <c r="C2370" s="3" t="s">
        <v>28</v>
      </c>
      <c r="D2370" s="3" t="s">
        <v>91</v>
      </c>
      <c r="E2370" s="3" t="s">
        <v>151</v>
      </c>
      <c r="F2370" s="3" t="s">
        <v>93</v>
      </c>
      <c r="G2370" s="3" t="s">
        <v>151</v>
      </c>
      <c r="H2370" s="3" t="s">
        <v>45</v>
      </c>
      <c r="I2370" s="3">
        <v>2025</v>
      </c>
      <c r="J2370" s="3" t="str">
        <f>CONCATENATE("54820206313")</f>
        <v>54820206313</v>
      </c>
      <c r="K2370" s="3" t="s">
        <v>33</v>
      </c>
      <c r="L2370" s="3"/>
      <c r="M2370" s="3" t="s">
        <v>131</v>
      </c>
      <c r="N2370" s="3" t="str">
        <f>CONCATENATE("02794450417")</f>
        <v>02794450417</v>
      </c>
      <c r="O2370" s="3" t="s">
        <v>2504</v>
      </c>
      <c r="P2370" s="3" t="s">
        <v>36</v>
      </c>
      <c r="Q2370" s="3"/>
      <c r="R2370" s="4">
        <v>45996</v>
      </c>
      <c r="S2370" s="3" t="s">
        <v>37</v>
      </c>
      <c r="T2370" s="3" t="s">
        <v>38</v>
      </c>
      <c r="U2370" s="3" t="s">
        <v>39</v>
      </c>
      <c r="V2370" s="3">
        <v>593.70000000000005</v>
      </c>
      <c r="W2370" s="3">
        <v>252.32</v>
      </c>
      <c r="X2370" s="3">
        <v>238.96</v>
      </c>
      <c r="Y2370" s="3">
        <v>102.42</v>
      </c>
    </row>
    <row r="2371" spans="1:25" ht="60.75" x14ac:dyDescent="0.25">
      <c r="A2371" s="3" t="s">
        <v>26</v>
      </c>
      <c r="B2371" s="3" t="s">
        <v>27</v>
      </c>
      <c r="C2371" s="3" t="s">
        <v>28</v>
      </c>
      <c r="D2371" s="3" t="s">
        <v>91</v>
      </c>
      <c r="E2371" s="3" t="s">
        <v>151</v>
      </c>
      <c r="F2371" s="3" t="s">
        <v>93</v>
      </c>
      <c r="G2371" s="3" t="s">
        <v>151</v>
      </c>
      <c r="H2371" s="3" t="s">
        <v>45</v>
      </c>
      <c r="I2371" s="3">
        <v>2025</v>
      </c>
      <c r="J2371" s="3" t="str">
        <f>CONCATENATE("54820253679")</f>
        <v>54820253679</v>
      </c>
      <c r="K2371" s="3" t="s">
        <v>33</v>
      </c>
      <c r="L2371" s="3"/>
      <c r="M2371" s="3" t="s">
        <v>131</v>
      </c>
      <c r="N2371" s="3" t="str">
        <f>CONCATENATE("LGILCU82E12L500W")</f>
        <v>LGILCU82E12L500W</v>
      </c>
      <c r="O2371" s="3" t="s">
        <v>2505</v>
      </c>
      <c r="P2371" s="3" t="s">
        <v>36</v>
      </c>
      <c r="Q2371" s="3"/>
      <c r="R2371" s="4">
        <v>45996</v>
      </c>
      <c r="S2371" s="3" t="s">
        <v>37</v>
      </c>
      <c r="T2371" s="3" t="s">
        <v>38</v>
      </c>
      <c r="U2371" s="3" t="s">
        <v>39</v>
      </c>
      <c r="V2371" s="3">
        <v>353.37</v>
      </c>
      <c r="W2371" s="3">
        <v>150.18</v>
      </c>
      <c r="X2371" s="3">
        <v>142.22999999999999</v>
      </c>
      <c r="Y2371" s="3">
        <v>60.96</v>
      </c>
    </row>
    <row r="2372" spans="1:25" ht="60.75" x14ac:dyDescent="0.25">
      <c r="A2372" s="3" t="s">
        <v>26</v>
      </c>
      <c r="B2372" s="3" t="s">
        <v>27</v>
      </c>
      <c r="C2372" s="3" t="s">
        <v>28</v>
      </c>
      <c r="D2372" s="3" t="s">
        <v>104</v>
      </c>
      <c r="E2372" s="3" t="s">
        <v>141</v>
      </c>
      <c r="F2372" s="3" t="s">
        <v>104</v>
      </c>
      <c r="G2372" s="3" t="s">
        <v>141</v>
      </c>
      <c r="H2372" s="3" t="s">
        <v>96</v>
      </c>
      <c r="I2372" s="3">
        <v>2025</v>
      </c>
      <c r="J2372" s="3" t="str">
        <f>CONCATENATE("54820281688")</f>
        <v>54820281688</v>
      </c>
      <c r="K2372" s="3" t="s">
        <v>33</v>
      </c>
      <c r="L2372" s="3"/>
      <c r="M2372" s="3" t="s">
        <v>131</v>
      </c>
      <c r="N2372" s="3" t="str">
        <f>CONCATENATE("SLNRRT80P18A252O")</f>
        <v>SLNRRT80P18A252O</v>
      </c>
      <c r="O2372" s="3" t="s">
        <v>2506</v>
      </c>
      <c r="P2372" s="3" t="s">
        <v>36</v>
      </c>
      <c r="Q2372" s="3"/>
      <c r="R2372" s="4">
        <v>45996</v>
      </c>
      <c r="S2372" s="3" t="s">
        <v>37</v>
      </c>
      <c r="T2372" s="3" t="s">
        <v>38</v>
      </c>
      <c r="U2372" s="3" t="s">
        <v>39</v>
      </c>
      <c r="V2372" s="3">
        <v>69.72</v>
      </c>
      <c r="W2372" s="3">
        <v>29.63</v>
      </c>
      <c r="X2372" s="3">
        <v>28.06</v>
      </c>
      <c r="Y2372" s="3">
        <v>12.03</v>
      </c>
    </row>
    <row r="2373" spans="1:25" ht="60.75" x14ac:dyDescent="0.25">
      <c r="A2373" s="3" t="s">
        <v>26</v>
      </c>
      <c r="B2373" s="3" t="s">
        <v>27</v>
      </c>
      <c r="C2373" s="3" t="s">
        <v>28</v>
      </c>
      <c r="D2373" s="3" t="s">
        <v>29</v>
      </c>
      <c r="E2373" s="3" t="s">
        <v>182</v>
      </c>
      <c r="F2373" s="3" t="s">
        <v>31</v>
      </c>
      <c r="G2373" s="3" t="s">
        <v>182</v>
      </c>
      <c r="H2373" s="3" t="s">
        <v>45</v>
      </c>
      <c r="I2373" s="3">
        <v>2025</v>
      </c>
      <c r="J2373" s="3" t="str">
        <f>CONCATENATE("54820170113")</f>
        <v>54820170113</v>
      </c>
      <c r="K2373" s="3" t="s">
        <v>33</v>
      </c>
      <c r="L2373" s="3"/>
      <c r="M2373" s="3" t="s">
        <v>131</v>
      </c>
      <c r="N2373" s="3" t="str">
        <f>CONCATENATE("PGNMCS75L24L500W")</f>
        <v>PGNMCS75L24L500W</v>
      </c>
      <c r="O2373" s="3" t="s">
        <v>2507</v>
      </c>
      <c r="P2373" s="3" t="s">
        <v>36</v>
      </c>
      <c r="Q2373" s="3"/>
      <c r="R2373" s="4">
        <v>45996</v>
      </c>
      <c r="S2373" s="3" t="s">
        <v>37</v>
      </c>
      <c r="T2373" s="3" t="s">
        <v>38</v>
      </c>
      <c r="U2373" s="3" t="s">
        <v>39</v>
      </c>
      <c r="V2373" s="3">
        <v>423.61</v>
      </c>
      <c r="W2373" s="3">
        <v>180.03</v>
      </c>
      <c r="X2373" s="3">
        <v>170.5</v>
      </c>
      <c r="Y2373" s="3">
        <v>73.08</v>
      </c>
    </row>
    <row r="2374" spans="1:25" ht="72.75" x14ac:dyDescent="0.25">
      <c r="A2374" s="3" t="s">
        <v>26</v>
      </c>
      <c r="B2374" s="3" t="s">
        <v>27</v>
      </c>
      <c r="C2374" s="3" t="s">
        <v>28</v>
      </c>
      <c r="D2374" s="3" t="s">
        <v>464</v>
      </c>
      <c r="E2374" s="3" t="s">
        <v>465</v>
      </c>
      <c r="F2374" s="3" t="s">
        <v>466</v>
      </c>
      <c r="G2374" s="3" t="s">
        <v>465</v>
      </c>
      <c r="H2374" s="3" t="s">
        <v>96</v>
      </c>
      <c r="I2374" s="3">
        <v>2025</v>
      </c>
      <c r="J2374" s="3" t="str">
        <f>CONCATENATE("54820189881")</f>
        <v>54820189881</v>
      </c>
      <c r="K2374" s="3" t="s">
        <v>33</v>
      </c>
      <c r="L2374" s="3"/>
      <c r="M2374" s="3" t="s">
        <v>131</v>
      </c>
      <c r="N2374" s="3" t="str">
        <f>CONCATENATE("DFBGCM78D07A462A")</f>
        <v>DFBGCM78D07A462A</v>
      </c>
      <c r="O2374" s="3" t="s">
        <v>2508</v>
      </c>
      <c r="P2374" s="3" t="s">
        <v>36</v>
      </c>
      <c r="Q2374" s="3"/>
      <c r="R2374" s="4">
        <v>45996</v>
      </c>
      <c r="S2374" s="3" t="s">
        <v>37</v>
      </c>
      <c r="T2374" s="3" t="s">
        <v>38</v>
      </c>
      <c r="U2374" s="3" t="s">
        <v>39</v>
      </c>
      <c r="V2374" s="3">
        <v>117</v>
      </c>
      <c r="W2374" s="3">
        <v>49.73</v>
      </c>
      <c r="X2374" s="3">
        <v>47.09</v>
      </c>
      <c r="Y2374" s="3">
        <v>20.18</v>
      </c>
    </row>
    <row r="2375" spans="1:25" ht="60.75" x14ac:dyDescent="0.25">
      <c r="A2375" s="3" t="s">
        <v>26</v>
      </c>
      <c r="B2375" s="3" t="s">
        <v>27</v>
      </c>
      <c r="C2375" s="3" t="s">
        <v>28</v>
      </c>
      <c r="D2375" s="3" t="s">
        <v>40</v>
      </c>
      <c r="E2375" s="3" t="s">
        <v>44</v>
      </c>
      <c r="F2375" s="3" t="s">
        <v>42</v>
      </c>
      <c r="G2375" s="3" t="s">
        <v>44</v>
      </c>
      <c r="H2375" s="3" t="s">
        <v>32</v>
      </c>
      <c r="I2375" s="3">
        <v>2025</v>
      </c>
      <c r="J2375" s="3" t="str">
        <f>CONCATENATE("54820253919")</f>
        <v>54820253919</v>
      </c>
      <c r="K2375" s="3" t="s">
        <v>33</v>
      </c>
      <c r="L2375" s="3"/>
      <c r="M2375" s="3" t="s">
        <v>131</v>
      </c>
      <c r="N2375" s="3" t="str">
        <f>CONCATENATE("GRSNNL65P56E783L")</f>
        <v>GRSNNL65P56E783L</v>
      </c>
      <c r="O2375" s="3" t="s">
        <v>2509</v>
      </c>
      <c r="P2375" s="3" t="s">
        <v>36</v>
      </c>
      <c r="Q2375" s="3"/>
      <c r="R2375" s="4">
        <v>45996</v>
      </c>
      <c r="S2375" s="3" t="s">
        <v>37</v>
      </c>
      <c r="T2375" s="3" t="s">
        <v>38</v>
      </c>
      <c r="U2375" s="3" t="s">
        <v>39</v>
      </c>
      <c r="V2375" s="3">
        <v>57.67</v>
      </c>
      <c r="W2375" s="3">
        <v>24.51</v>
      </c>
      <c r="X2375" s="3">
        <v>23.21</v>
      </c>
      <c r="Y2375" s="3">
        <v>9.9499999999999993</v>
      </c>
    </row>
    <row r="2376" spans="1:25" ht="60.75" x14ac:dyDescent="0.25">
      <c r="A2376" s="3" t="s">
        <v>26</v>
      </c>
      <c r="B2376" s="3" t="s">
        <v>27</v>
      </c>
      <c r="C2376" s="3" t="s">
        <v>28</v>
      </c>
      <c r="D2376" s="3" t="s">
        <v>29</v>
      </c>
      <c r="E2376" s="3" t="s">
        <v>56</v>
      </c>
      <c r="F2376" s="3" t="s">
        <v>31</v>
      </c>
      <c r="G2376" s="3" t="s">
        <v>56</v>
      </c>
      <c r="H2376" s="3" t="s">
        <v>32</v>
      </c>
      <c r="I2376" s="3">
        <v>2025</v>
      </c>
      <c r="J2376" s="3" t="str">
        <f>CONCATENATE("54820174933")</f>
        <v>54820174933</v>
      </c>
      <c r="K2376" s="3" t="s">
        <v>33</v>
      </c>
      <c r="L2376" s="3"/>
      <c r="M2376" s="3" t="s">
        <v>131</v>
      </c>
      <c r="N2376" s="3" t="str">
        <f>CONCATENATE("LTNFLL66H70F051Q")</f>
        <v>LTNFLL66H70F051Q</v>
      </c>
      <c r="O2376" s="3" t="s">
        <v>2510</v>
      </c>
      <c r="P2376" s="3" t="s">
        <v>36</v>
      </c>
      <c r="Q2376" s="3"/>
      <c r="R2376" s="4">
        <v>45996</v>
      </c>
      <c r="S2376" s="3" t="s">
        <v>37</v>
      </c>
      <c r="T2376" s="3" t="s">
        <v>38</v>
      </c>
      <c r="U2376" s="3" t="s">
        <v>39</v>
      </c>
      <c r="V2376" s="3">
        <v>666.9</v>
      </c>
      <c r="W2376" s="3">
        <v>283.43</v>
      </c>
      <c r="X2376" s="3">
        <v>268.43</v>
      </c>
      <c r="Y2376" s="3">
        <v>115.04</v>
      </c>
    </row>
    <row r="2377" spans="1:25" ht="60.75" x14ac:dyDescent="0.25">
      <c r="A2377" s="3" t="s">
        <v>26</v>
      </c>
      <c r="B2377" s="3" t="s">
        <v>27</v>
      </c>
      <c r="C2377" s="3" t="s">
        <v>28</v>
      </c>
      <c r="D2377" s="3" t="s">
        <v>104</v>
      </c>
      <c r="E2377" s="3" t="s">
        <v>141</v>
      </c>
      <c r="F2377" s="3" t="s">
        <v>104</v>
      </c>
      <c r="G2377" s="3" t="s">
        <v>141</v>
      </c>
      <c r="H2377" s="3" t="s">
        <v>96</v>
      </c>
      <c r="I2377" s="3">
        <v>2025</v>
      </c>
      <c r="J2377" s="3" t="str">
        <f>CONCATENATE("54820277199")</f>
        <v>54820277199</v>
      </c>
      <c r="K2377" s="3" t="s">
        <v>33</v>
      </c>
      <c r="L2377" s="3"/>
      <c r="M2377" s="3" t="s">
        <v>131</v>
      </c>
      <c r="N2377" s="3" t="str">
        <f>CONCATENATE("LPUGPP68D27C935R")</f>
        <v>LPUGPP68D27C935R</v>
      </c>
      <c r="O2377" s="3" t="s">
        <v>2511</v>
      </c>
      <c r="P2377" s="3" t="s">
        <v>36</v>
      </c>
      <c r="Q2377" s="3"/>
      <c r="R2377" s="4">
        <v>45996</v>
      </c>
      <c r="S2377" s="3" t="s">
        <v>37</v>
      </c>
      <c r="T2377" s="3" t="s">
        <v>38</v>
      </c>
      <c r="U2377" s="3" t="s">
        <v>39</v>
      </c>
      <c r="V2377" s="3">
        <v>187.59</v>
      </c>
      <c r="W2377" s="3">
        <v>79.73</v>
      </c>
      <c r="X2377" s="3">
        <v>75.5</v>
      </c>
      <c r="Y2377" s="3">
        <v>32.36</v>
      </c>
    </row>
    <row r="2378" spans="1:25" ht="36.75" x14ac:dyDescent="0.25">
      <c r="A2378" s="3" t="s">
        <v>26</v>
      </c>
      <c r="B2378" s="3" t="s">
        <v>27</v>
      </c>
      <c r="C2378" s="3" t="s">
        <v>28</v>
      </c>
      <c r="D2378" s="3" t="s">
        <v>40</v>
      </c>
      <c r="E2378" s="3" t="s">
        <v>44</v>
      </c>
      <c r="F2378" s="3" t="s">
        <v>42</v>
      </c>
      <c r="G2378" s="3" t="s">
        <v>44</v>
      </c>
      <c r="H2378" s="3" t="s">
        <v>32</v>
      </c>
      <c r="I2378" s="3">
        <v>2025</v>
      </c>
      <c r="J2378" s="3" t="str">
        <f>CONCATENATE("54820270665")</f>
        <v>54820270665</v>
      </c>
      <c r="K2378" s="3" t="s">
        <v>33</v>
      </c>
      <c r="L2378" s="3"/>
      <c r="M2378" s="3" t="s">
        <v>131</v>
      </c>
      <c r="N2378" s="3" t="str">
        <f>CONCATENATE("01540890439")</f>
        <v>01540890439</v>
      </c>
      <c r="O2378" s="3" t="s">
        <v>2512</v>
      </c>
      <c r="P2378" s="3" t="s">
        <v>36</v>
      </c>
      <c r="Q2378" s="3"/>
      <c r="R2378" s="4">
        <v>45996</v>
      </c>
      <c r="S2378" s="3" t="s">
        <v>37</v>
      </c>
      <c r="T2378" s="3" t="s">
        <v>38</v>
      </c>
      <c r="U2378" s="3" t="s">
        <v>39</v>
      </c>
      <c r="V2378" s="5">
        <v>1924.43</v>
      </c>
      <c r="W2378" s="3">
        <v>817.88</v>
      </c>
      <c r="X2378" s="3">
        <v>774.58</v>
      </c>
      <c r="Y2378" s="3">
        <v>331.97</v>
      </c>
    </row>
    <row r="2379" spans="1:25" ht="36.75" x14ac:dyDescent="0.25">
      <c r="A2379" s="3" t="s">
        <v>26</v>
      </c>
      <c r="B2379" s="3" t="s">
        <v>27</v>
      </c>
      <c r="C2379" s="3" t="s">
        <v>28</v>
      </c>
      <c r="D2379" s="3" t="s">
        <v>29</v>
      </c>
      <c r="E2379" s="3" t="s">
        <v>47</v>
      </c>
      <c r="F2379" s="3" t="s">
        <v>31</v>
      </c>
      <c r="G2379" s="3" t="s">
        <v>47</v>
      </c>
      <c r="H2379" s="3" t="s">
        <v>48</v>
      </c>
      <c r="I2379" s="3">
        <v>2025</v>
      </c>
      <c r="J2379" s="3" t="str">
        <f>CONCATENATE("54820185657")</f>
        <v>54820185657</v>
      </c>
      <c r="K2379" s="3" t="s">
        <v>33</v>
      </c>
      <c r="L2379" s="3"/>
      <c r="M2379" s="3" t="s">
        <v>131</v>
      </c>
      <c r="N2379" s="3" t="str">
        <f>CONCATENATE("02901710422")</f>
        <v>02901710422</v>
      </c>
      <c r="O2379" s="3" t="s">
        <v>2513</v>
      </c>
      <c r="P2379" s="3" t="s">
        <v>36</v>
      </c>
      <c r="Q2379" s="3"/>
      <c r="R2379" s="4">
        <v>45996</v>
      </c>
      <c r="S2379" s="3" t="s">
        <v>37</v>
      </c>
      <c r="T2379" s="3" t="s">
        <v>38</v>
      </c>
      <c r="U2379" s="3" t="s">
        <v>39</v>
      </c>
      <c r="V2379" s="5">
        <v>1265.6199999999999</v>
      </c>
      <c r="W2379" s="3">
        <v>537.89</v>
      </c>
      <c r="X2379" s="3">
        <v>509.41</v>
      </c>
      <c r="Y2379" s="3">
        <v>218.32</v>
      </c>
    </row>
    <row r="2380" spans="1:25" ht="36.75" x14ac:dyDescent="0.25">
      <c r="A2380" s="3" t="s">
        <v>26</v>
      </c>
      <c r="B2380" s="3" t="s">
        <v>27</v>
      </c>
      <c r="C2380" s="3" t="s">
        <v>28</v>
      </c>
      <c r="D2380" s="3" t="s">
        <v>50</v>
      </c>
      <c r="E2380" s="3" t="s">
        <v>163</v>
      </c>
      <c r="F2380" s="3" t="s">
        <v>52</v>
      </c>
      <c r="G2380" s="3" t="s">
        <v>163</v>
      </c>
      <c r="H2380" s="3" t="s">
        <v>96</v>
      </c>
      <c r="I2380" s="3">
        <v>2025</v>
      </c>
      <c r="J2380" s="3" t="str">
        <f>CONCATENATE("54820211578")</f>
        <v>54820211578</v>
      </c>
      <c r="K2380" s="3" t="s">
        <v>33</v>
      </c>
      <c r="L2380" s="3"/>
      <c r="M2380" s="3" t="s">
        <v>131</v>
      </c>
      <c r="N2380" s="3" t="str">
        <f>CONCATENATE("02326090442")</f>
        <v>02326090442</v>
      </c>
      <c r="O2380" s="3" t="s">
        <v>2514</v>
      </c>
      <c r="P2380" s="3" t="s">
        <v>36</v>
      </c>
      <c r="Q2380" s="3"/>
      <c r="R2380" s="4">
        <v>45996</v>
      </c>
      <c r="S2380" s="3" t="s">
        <v>37</v>
      </c>
      <c r="T2380" s="3" t="s">
        <v>38</v>
      </c>
      <c r="U2380" s="3" t="s">
        <v>39</v>
      </c>
      <c r="V2380" s="3">
        <v>70.38</v>
      </c>
      <c r="W2380" s="3">
        <v>29.91</v>
      </c>
      <c r="X2380" s="3">
        <v>28.33</v>
      </c>
      <c r="Y2380" s="3">
        <v>12.14</v>
      </c>
    </row>
    <row r="2381" spans="1:25" ht="36.75" x14ac:dyDescent="0.25">
      <c r="A2381" s="3" t="s">
        <v>26</v>
      </c>
      <c r="B2381" s="3" t="s">
        <v>27</v>
      </c>
      <c r="C2381" s="3" t="s">
        <v>28</v>
      </c>
      <c r="D2381" s="3" t="s">
        <v>50</v>
      </c>
      <c r="E2381" s="3" t="s">
        <v>367</v>
      </c>
      <c r="F2381" s="3" t="s">
        <v>52</v>
      </c>
      <c r="G2381" s="3" t="s">
        <v>367</v>
      </c>
      <c r="H2381" s="3" t="s">
        <v>32</v>
      </c>
      <c r="I2381" s="3">
        <v>2025</v>
      </c>
      <c r="J2381" s="3" t="str">
        <f>CONCATENATE("54820231972")</f>
        <v>54820231972</v>
      </c>
      <c r="K2381" s="3" t="s">
        <v>33</v>
      </c>
      <c r="L2381" s="3"/>
      <c r="M2381" s="3" t="s">
        <v>131</v>
      </c>
      <c r="N2381" s="3" t="str">
        <f>CONCATENATE("02415440540")</f>
        <v>02415440540</v>
      </c>
      <c r="O2381" s="3" t="s">
        <v>2515</v>
      </c>
      <c r="P2381" s="3" t="s">
        <v>36</v>
      </c>
      <c r="Q2381" s="3"/>
      <c r="R2381" s="4">
        <v>45996</v>
      </c>
      <c r="S2381" s="3" t="s">
        <v>37</v>
      </c>
      <c r="T2381" s="3" t="s">
        <v>38</v>
      </c>
      <c r="U2381" s="3" t="s">
        <v>39</v>
      </c>
      <c r="V2381" s="3">
        <v>218.32</v>
      </c>
      <c r="W2381" s="3">
        <v>92.79</v>
      </c>
      <c r="X2381" s="3">
        <v>87.87</v>
      </c>
      <c r="Y2381" s="3">
        <v>37.659999999999997</v>
      </c>
    </row>
    <row r="2382" spans="1:25" ht="60.75" x14ac:dyDescent="0.25">
      <c r="A2382" s="3" t="s">
        <v>26</v>
      </c>
      <c r="B2382" s="3" t="s">
        <v>27</v>
      </c>
      <c r="C2382" s="3" t="s">
        <v>28</v>
      </c>
      <c r="D2382" s="3" t="s">
        <v>29</v>
      </c>
      <c r="E2382" s="3" t="s">
        <v>47</v>
      </c>
      <c r="F2382" s="3" t="s">
        <v>31</v>
      </c>
      <c r="G2382" s="3" t="s">
        <v>47</v>
      </c>
      <c r="H2382" s="3" t="s">
        <v>48</v>
      </c>
      <c r="I2382" s="3">
        <v>2025</v>
      </c>
      <c r="J2382" s="3" t="str">
        <f>CONCATENATE("54820169438")</f>
        <v>54820169438</v>
      </c>
      <c r="K2382" s="3" t="s">
        <v>33</v>
      </c>
      <c r="L2382" s="3"/>
      <c r="M2382" s="3" t="s">
        <v>131</v>
      </c>
      <c r="N2382" s="3" t="str">
        <f>CONCATENATE("GHTGLC81A31D451L")</f>
        <v>GHTGLC81A31D451L</v>
      </c>
      <c r="O2382" s="3" t="s">
        <v>2516</v>
      </c>
      <c r="P2382" s="3" t="s">
        <v>36</v>
      </c>
      <c r="Q2382" s="3"/>
      <c r="R2382" s="4">
        <v>45996</v>
      </c>
      <c r="S2382" s="3" t="s">
        <v>37</v>
      </c>
      <c r="T2382" s="3" t="s">
        <v>38</v>
      </c>
      <c r="U2382" s="3" t="s">
        <v>39</v>
      </c>
      <c r="V2382" s="3">
        <v>91.44</v>
      </c>
      <c r="W2382" s="3">
        <v>38.86</v>
      </c>
      <c r="X2382" s="3">
        <v>36.799999999999997</v>
      </c>
      <c r="Y2382" s="3">
        <v>15.78</v>
      </c>
    </row>
    <row r="2383" spans="1:25" ht="60.75" x14ac:dyDescent="0.25">
      <c r="A2383" s="3" t="s">
        <v>26</v>
      </c>
      <c r="B2383" s="3" t="s">
        <v>27</v>
      </c>
      <c r="C2383" s="3" t="s">
        <v>28</v>
      </c>
      <c r="D2383" s="3" t="s">
        <v>104</v>
      </c>
      <c r="E2383" s="3" t="s">
        <v>691</v>
      </c>
      <c r="F2383" s="3" t="s">
        <v>104</v>
      </c>
      <c r="G2383" s="3" t="s">
        <v>691</v>
      </c>
      <c r="H2383" s="3" t="s">
        <v>48</v>
      </c>
      <c r="I2383" s="3">
        <v>2025</v>
      </c>
      <c r="J2383" s="3" t="str">
        <f>CONCATENATE("54820161153")</f>
        <v>54820161153</v>
      </c>
      <c r="K2383" s="3" t="s">
        <v>33</v>
      </c>
      <c r="L2383" s="3"/>
      <c r="M2383" s="3" t="s">
        <v>131</v>
      </c>
      <c r="N2383" s="3" t="str">
        <f>CONCATENATE("NGLNGL68B08D451Y")</f>
        <v>NGLNGL68B08D451Y</v>
      </c>
      <c r="O2383" s="3" t="s">
        <v>2517</v>
      </c>
      <c r="P2383" s="3" t="s">
        <v>36</v>
      </c>
      <c r="Q2383" s="3"/>
      <c r="R2383" s="4">
        <v>45996</v>
      </c>
      <c r="S2383" s="3" t="s">
        <v>37</v>
      </c>
      <c r="T2383" s="3" t="s">
        <v>38</v>
      </c>
      <c r="U2383" s="3" t="s">
        <v>39</v>
      </c>
      <c r="V2383" s="3">
        <v>48.67</v>
      </c>
      <c r="W2383" s="3">
        <v>20.68</v>
      </c>
      <c r="X2383" s="3">
        <v>19.59</v>
      </c>
      <c r="Y2383" s="3">
        <v>8.4</v>
      </c>
    </row>
    <row r="2384" spans="1:25" ht="60.75" x14ac:dyDescent="0.25">
      <c r="A2384" s="3" t="s">
        <v>26</v>
      </c>
      <c r="B2384" s="3" t="s">
        <v>27</v>
      </c>
      <c r="C2384" s="3" t="s">
        <v>28</v>
      </c>
      <c r="D2384" s="3" t="s">
        <v>29</v>
      </c>
      <c r="E2384" s="3" t="s">
        <v>47</v>
      </c>
      <c r="F2384" s="3" t="s">
        <v>31</v>
      </c>
      <c r="G2384" s="3" t="s">
        <v>47</v>
      </c>
      <c r="H2384" s="3" t="s">
        <v>48</v>
      </c>
      <c r="I2384" s="3">
        <v>2025</v>
      </c>
      <c r="J2384" s="3" t="str">
        <f>CONCATENATE("54820206354")</f>
        <v>54820206354</v>
      </c>
      <c r="K2384" s="3" t="s">
        <v>33</v>
      </c>
      <c r="L2384" s="3"/>
      <c r="M2384" s="3" t="s">
        <v>131</v>
      </c>
      <c r="N2384" s="3" t="str">
        <f>CONCATENATE("SRGFNC84P07A271W")</f>
        <v>SRGFNC84P07A271W</v>
      </c>
      <c r="O2384" s="3" t="s">
        <v>2518</v>
      </c>
      <c r="P2384" s="3" t="s">
        <v>36</v>
      </c>
      <c r="Q2384" s="3"/>
      <c r="R2384" s="4">
        <v>45996</v>
      </c>
      <c r="S2384" s="3" t="s">
        <v>37</v>
      </c>
      <c r="T2384" s="3" t="s">
        <v>38</v>
      </c>
      <c r="U2384" s="3" t="s">
        <v>39</v>
      </c>
      <c r="V2384" s="3">
        <v>395.9</v>
      </c>
      <c r="W2384" s="3">
        <v>168.26</v>
      </c>
      <c r="X2384" s="3">
        <v>159.35</v>
      </c>
      <c r="Y2384" s="3">
        <v>68.290000000000006</v>
      </c>
    </row>
    <row r="2385" spans="1:25" ht="36.75" x14ac:dyDescent="0.25">
      <c r="A2385" s="3" t="s">
        <v>26</v>
      </c>
      <c r="B2385" s="3" t="s">
        <v>27</v>
      </c>
      <c r="C2385" s="3" t="s">
        <v>28</v>
      </c>
      <c r="D2385" s="3" t="s">
        <v>29</v>
      </c>
      <c r="E2385" s="3" t="s">
        <v>101</v>
      </c>
      <c r="F2385" s="3" t="s">
        <v>31</v>
      </c>
      <c r="G2385" s="3" t="s">
        <v>101</v>
      </c>
      <c r="H2385" s="3" t="s">
        <v>32</v>
      </c>
      <c r="I2385" s="3">
        <v>2025</v>
      </c>
      <c r="J2385" s="3" t="str">
        <f>CONCATENATE("54820179734")</f>
        <v>54820179734</v>
      </c>
      <c r="K2385" s="3" t="s">
        <v>33</v>
      </c>
      <c r="L2385" s="3"/>
      <c r="M2385" s="3" t="s">
        <v>131</v>
      </c>
      <c r="N2385" s="3" t="str">
        <f>CONCATENATE("02070830431")</f>
        <v>02070830431</v>
      </c>
      <c r="O2385" s="3" t="s">
        <v>102</v>
      </c>
      <c r="P2385" s="3" t="s">
        <v>36</v>
      </c>
      <c r="Q2385" s="3"/>
      <c r="R2385" s="4">
        <v>45996</v>
      </c>
      <c r="S2385" s="3" t="s">
        <v>37</v>
      </c>
      <c r="T2385" s="3" t="s">
        <v>38</v>
      </c>
      <c r="U2385" s="3" t="s">
        <v>39</v>
      </c>
      <c r="V2385" s="3">
        <v>706.95</v>
      </c>
      <c r="W2385" s="3">
        <v>300.45</v>
      </c>
      <c r="X2385" s="3">
        <v>284.55</v>
      </c>
      <c r="Y2385" s="3">
        <v>121.95</v>
      </c>
    </row>
    <row r="2386" spans="1:25" ht="60.75" x14ac:dyDescent="0.25">
      <c r="A2386" s="3" t="s">
        <v>26</v>
      </c>
      <c r="B2386" s="3" t="s">
        <v>27</v>
      </c>
      <c r="C2386" s="3" t="s">
        <v>28</v>
      </c>
      <c r="D2386" s="3" t="s">
        <v>50</v>
      </c>
      <c r="E2386" s="3" t="s">
        <v>51</v>
      </c>
      <c r="F2386" s="3" t="s">
        <v>52</v>
      </c>
      <c r="G2386" s="3" t="s">
        <v>51</v>
      </c>
      <c r="H2386" s="3" t="s">
        <v>48</v>
      </c>
      <c r="I2386" s="3">
        <v>2025</v>
      </c>
      <c r="J2386" s="3" t="str">
        <f>CONCATENATE("54820160098")</f>
        <v>54820160098</v>
      </c>
      <c r="K2386" s="3" t="s">
        <v>33</v>
      </c>
      <c r="L2386" s="3"/>
      <c r="M2386" s="3" t="s">
        <v>131</v>
      </c>
      <c r="N2386" s="3" t="str">
        <f>CONCATENATE("CPRFVN90M67D451F")</f>
        <v>CPRFVN90M67D451F</v>
      </c>
      <c r="O2386" s="3" t="s">
        <v>2519</v>
      </c>
      <c r="P2386" s="3" t="s">
        <v>36</v>
      </c>
      <c r="Q2386" s="3"/>
      <c r="R2386" s="4">
        <v>45996</v>
      </c>
      <c r="S2386" s="3" t="s">
        <v>37</v>
      </c>
      <c r="T2386" s="3" t="s">
        <v>38</v>
      </c>
      <c r="U2386" s="3" t="s">
        <v>39</v>
      </c>
      <c r="V2386" s="3">
        <v>172.95</v>
      </c>
      <c r="W2386" s="3">
        <v>73.5</v>
      </c>
      <c r="X2386" s="3">
        <v>69.61</v>
      </c>
      <c r="Y2386" s="3">
        <v>29.84</v>
      </c>
    </row>
    <row r="2387" spans="1:25" ht="36.75" x14ac:dyDescent="0.25">
      <c r="A2387" s="3" t="s">
        <v>26</v>
      </c>
      <c r="B2387" s="3" t="s">
        <v>27</v>
      </c>
      <c r="C2387" s="3" t="s">
        <v>28</v>
      </c>
      <c r="D2387" s="3" t="s">
        <v>29</v>
      </c>
      <c r="E2387" s="3" t="s">
        <v>341</v>
      </c>
      <c r="F2387" s="3" t="s">
        <v>31</v>
      </c>
      <c r="G2387" s="3" t="s">
        <v>341</v>
      </c>
      <c r="H2387" s="3" t="s">
        <v>45</v>
      </c>
      <c r="I2387" s="3">
        <v>2025</v>
      </c>
      <c r="J2387" s="3" t="str">
        <f>CONCATENATE("54820198122")</f>
        <v>54820198122</v>
      </c>
      <c r="K2387" s="3" t="s">
        <v>33</v>
      </c>
      <c r="L2387" s="3"/>
      <c r="M2387" s="3" t="s">
        <v>131</v>
      </c>
      <c r="N2387" s="3" t="str">
        <f>CONCATENATE("01355430412")</f>
        <v>01355430412</v>
      </c>
      <c r="O2387" s="3" t="s">
        <v>2520</v>
      </c>
      <c r="P2387" s="3" t="s">
        <v>36</v>
      </c>
      <c r="Q2387" s="3"/>
      <c r="R2387" s="4">
        <v>45996</v>
      </c>
      <c r="S2387" s="3" t="s">
        <v>37</v>
      </c>
      <c r="T2387" s="3" t="s">
        <v>38</v>
      </c>
      <c r="U2387" s="3" t="s">
        <v>39</v>
      </c>
      <c r="V2387" s="3">
        <v>792.8</v>
      </c>
      <c r="W2387" s="3">
        <v>336.94</v>
      </c>
      <c r="X2387" s="3">
        <v>319.10000000000002</v>
      </c>
      <c r="Y2387" s="3">
        <v>136.76</v>
      </c>
    </row>
    <row r="2388" spans="1:25" ht="60.75" x14ac:dyDescent="0.25">
      <c r="A2388" s="3" t="s">
        <v>26</v>
      </c>
      <c r="B2388" s="3" t="s">
        <v>27</v>
      </c>
      <c r="C2388" s="3" t="s">
        <v>28</v>
      </c>
      <c r="D2388" s="3" t="s">
        <v>29</v>
      </c>
      <c r="E2388" s="3" t="s">
        <v>47</v>
      </c>
      <c r="F2388" s="3" t="s">
        <v>31</v>
      </c>
      <c r="G2388" s="3" t="s">
        <v>47</v>
      </c>
      <c r="H2388" s="3" t="s">
        <v>48</v>
      </c>
      <c r="I2388" s="3">
        <v>2025</v>
      </c>
      <c r="J2388" s="3" t="str">
        <f>CONCATENATE("54820200266")</f>
        <v>54820200266</v>
      </c>
      <c r="K2388" s="3" t="s">
        <v>33</v>
      </c>
      <c r="L2388" s="3"/>
      <c r="M2388" s="3" t="s">
        <v>131</v>
      </c>
      <c r="N2388" s="3" t="str">
        <f>CONCATENATE("LRNSRI49R09D451J")</f>
        <v>LRNSRI49R09D451J</v>
      </c>
      <c r="O2388" s="3" t="s">
        <v>2521</v>
      </c>
      <c r="P2388" s="3" t="s">
        <v>36</v>
      </c>
      <c r="Q2388" s="3"/>
      <c r="R2388" s="4">
        <v>45996</v>
      </c>
      <c r="S2388" s="3" t="s">
        <v>37</v>
      </c>
      <c r="T2388" s="3" t="s">
        <v>38</v>
      </c>
      <c r="U2388" s="3" t="s">
        <v>39</v>
      </c>
      <c r="V2388" s="3">
        <v>118.04</v>
      </c>
      <c r="W2388" s="3">
        <v>50.17</v>
      </c>
      <c r="X2388" s="3">
        <v>47.51</v>
      </c>
      <c r="Y2388" s="3">
        <v>20.36</v>
      </c>
    </row>
    <row r="2389" spans="1:25" ht="36.75" x14ac:dyDescent="0.25">
      <c r="A2389" s="3" t="s">
        <v>26</v>
      </c>
      <c r="B2389" s="3" t="s">
        <v>27</v>
      </c>
      <c r="C2389" s="3" t="s">
        <v>28</v>
      </c>
      <c r="D2389" s="3" t="s">
        <v>50</v>
      </c>
      <c r="E2389" s="3" t="s">
        <v>51</v>
      </c>
      <c r="F2389" s="3" t="s">
        <v>52</v>
      </c>
      <c r="G2389" s="3" t="s">
        <v>51</v>
      </c>
      <c r="H2389" s="3" t="s">
        <v>48</v>
      </c>
      <c r="I2389" s="3">
        <v>2025</v>
      </c>
      <c r="J2389" s="3" t="str">
        <f>CONCATENATE("54820246699")</f>
        <v>54820246699</v>
      </c>
      <c r="K2389" s="3" t="s">
        <v>33</v>
      </c>
      <c r="L2389" s="3"/>
      <c r="M2389" s="3" t="s">
        <v>131</v>
      </c>
      <c r="N2389" s="3" t="str">
        <f>CONCATENATE("02898570425")</f>
        <v>02898570425</v>
      </c>
      <c r="O2389" s="3" t="s">
        <v>2522</v>
      </c>
      <c r="P2389" s="3" t="s">
        <v>36</v>
      </c>
      <c r="Q2389" s="3"/>
      <c r="R2389" s="4">
        <v>45996</v>
      </c>
      <c r="S2389" s="3" t="s">
        <v>37</v>
      </c>
      <c r="T2389" s="3" t="s">
        <v>38</v>
      </c>
      <c r="U2389" s="3" t="s">
        <v>39</v>
      </c>
      <c r="V2389" s="3">
        <v>94.15</v>
      </c>
      <c r="W2389" s="3">
        <v>40.01</v>
      </c>
      <c r="X2389" s="3">
        <v>37.9</v>
      </c>
      <c r="Y2389" s="3">
        <v>16.239999999999998</v>
      </c>
    </row>
    <row r="2390" spans="1:25" ht="60.75" x14ac:dyDescent="0.25">
      <c r="A2390" s="3" t="s">
        <v>26</v>
      </c>
      <c r="B2390" s="3" t="s">
        <v>27</v>
      </c>
      <c r="C2390" s="3" t="s">
        <v>28</v>
      </c>
      <c r="D2390" s="3" t="s">
        <v>29</v>
      </c>
      <c r="E2390" s="3" t="s">
        <v>182</v>
      </c>
      <c r="F2390" s="3" t="s">
        <v>31</v>
      </c>
      <c r="G2390" s="3" t="s">
        <v>182</v>
      </c>
      <c r="H2390" s="3" t="s">
        <v>45</v>
      </c>
      <c r="I2390" s="3">
        <v>2025</v>
      </c>
      <c r="J2390" s="3" t="str">
        <f>CONCATENATE("54820145420")</f>
        <v>54820145420</v>
      </c>
      <c r="K2390" s="3" t="s">
        <v>33</v>
      </c>
      <c r="L2390" s="3"/>
      <c r="M2390" s="3" t="s">
        <v>131</v>
      </c>
      <c r="N2390" s="3" t="str">
        <f>CONCATENATE("LGIBRN56M29L500G")</f>
        <v>LGIBRN56M29L500G</v>
      </c>
      <c r="O2390" s="3" t="s">
        <v>2523</v>
      </c>
      <c r="P2390" s="3" t="s">
        <v>36</v>
      </c>
      <c r="Q2390" s="3"/>
      <c r="R2390" s="4">
        <v>45996</v>
      </c>
      <c r="S2390" s="3" t="s">
        <v>37</v>
      </c>
      <c r="T2390" s="3" t="s">
        <v>38</v>
      </c>
      <c r="U2390" s="3" t="s">
        <v>39</v>
      </c>
      <c r="V2390" s="3">
        <v>800.71</v>
      </c>
      <c r="W2390" s="3">
        <v>340.3</v>
      </c>
      <c r="X2390" s="3">
        <v>322.29000000000002</v>
      </c>
      <c r="Y2390" s="3">
        <v>138.12</v>
      </c>
    </row>
    <row r="2391" spans="1:25" ht="36.75" x14ac:dyDescent="0.25">
      <c r="A2391" s="3" t="s">
        <v>26</v>
      </c>
      <c r="B2391" s="3" t="s">
        <v>27</v>
      </c>
      <c r="C2391" s="3" t="s">
        <v>28</v>
      </c>
      <c r="D2391" s="3" t="s">
        <v>91</v>
      </c>
      <c r="E2391" s="3" t="s">
        <v>151</v>
      </c>
      <c r="F2391" s="3" t="s">
        <v>93</v>
      </c>
      <c r="G2391" s="3" t="s">
        <v>151</v>
      </c>
      <c r="H2391" s="3" t="s">
        <v>45</v>
      </c>
      <c r="I2391" s="3">
        <v>2025</v>
      </c>
      <c r="J2391" s="3" t="str">
        <f>CONCATENATE("54820227616")</f>
        <v>54820227616</v>
      </c>
      <c r="K2391" s="3" t="s">
        <v>33</v>
      </c>
      <c r="L2391" s="3"/>
      <c r="M2391" s="3" t="s">
        <v>131</v>
      </c>
      <c r="N2391" s="3" t="str">
        <f>CONCATENATE("02230300416")</f>
        <v>02230300416</v>
      </c>
      <c r="O2391" s="3" t="s">
        <v>2524</v>
      </c>
      <c r="P2391" s="3" t="s">
        <v>36</v>
      </c>
      <c r="Q2391" s="3"/>
      <c r="R2391" s="4">
        <v>45996</v>
      </c>
      <c r="S2391" s="3" t="s">
        <v>37</v>
      </c>
      <c r="T2391" s="3" t="s">
        <v>38</v>
      </c>
      <c r="U2391" s="3" t="s">
        <v>39</v>
      </c>
      <c r="V2391" s="3">
        <v>293.24</v>
      </c>
      <c r="W2391" s="3">
        <v>124.63</v>
      </c>
      <c r="X2391" s="3">
        <v>118.03</v>
      </c>
      <c r="Y2391" s="3">
        <v>50.58</v>
      </c>
    </row>
    <row r="2392" spans="1:25" ht="60.75" x14ac:dyDescent="0.25">
      <c r="A2392" s="3" t="s">
        <v>26</v>
      </c>
      <c r="B2392" s="3" t="s">
        <v>27</v>
      </c>
      <c r="C2392" s="3" t="s">
        <v>28</v>
      </c>
      <c r="D2392" s="3" t="s">
        <v>29</v>
      </c>
      <c r="E2392" s="3" t="s">
        <v>72</v>
      </c>
      <c r="F2392" s="3" t="s">
        <v>31</v>
      </c>
      <c r="G2392" s="3" t="s">
        <v>72</v>
      </c>
      <c r="H2392" s="3" t="s">
        <v>45</v>
      </c>
      <c r="I2392" s="3">
        <v>2025</v>
      </c>
      <c r="J2392" s="3" t="str">
        <f>CONCATENATE("54820258025")</f>
        <v>54820258025</v>
      </c>
      <c r="K2392" s="3" t="s">
        <v>33</v>
      </c>
      <c r="L2392" s="3"/>
      <c r="M2392" s="3" t="s">
        <v>131</v>
      </c>
      <c r="N2392" s="3" t="str">
        <f>CONCATENATE("LCCPRC99A05B352U")</f>
        <v>LCCPRC99A05B352U</v>
      </c>
      <c r="O2392" s="3" t="s">
        <v>2525</v>
      </c>
      <c r="P2392" s="3" t="s">
        <v>36</v>
      </c>
      <c r="Q2392" s="3"/>
      <c r="R2392" s="4">
        <v>45996</v>
      </c>
      <c r="S2392" s="3" t="s">
        <v>37</v>
      </c>
      <c r="T2392" s="3" t="s">
        <v>38</v>
      </c>
      <c r="U2392" s="3" t="s">
        <v>39</v>
      </c>
      <c r="V2392" s="3">
        <v>980.06</v>
      </c>
      <c r="W2392" s="3">
        <v>416.53</v>
      </c>
      <c r="X2392" s="3">
        <v>394.47</v>
      </c>
      <c r="Y2392" s="3">
        <v>169.06</v>
      </c>
    </row>
    <row r="2393" spans="1:25" ht="60.75" x14ac:dyDescent="0.25">
      <c r="A2393" s="3" t="s">
        <v>26</v>
      </c>
      <c r="B2393" s="3" t="s">
        <v>27</v>
      </c>
      <c r="C2393" s="3" t="s">
        <v>28</v>
      </c>
      <c r="D2393" s="3" t="s">
        <v>29</v>
      </c>
      <c r="E2393" s="3" t="s">
        <v>56</v>
      </c>
      <c r="F2393" s="3" t="s">
        <v>31</v>
      </c>
      <c r="G2393" s="3" t="s">
        <v>56</v>
      </c>
      <c r="H2393" s="3" t="s">
        <v>32</v>
      </c>
      <c r="I2393" s="3">
        <v>2025</v>
      </c>
      <c r="J2393" s="3" t="str">
        <f>CONCATENATE("54820323829")</f>
        <v>54820323829</v>
      </c>
      <c r="K2393" s="3" t="s">
        <v>33</v>
      </c>
      <c r="L2393" s="3"/>
      <c r="M2393" s="3" t="s">
        <v>131</v>
      </c>
      <c r="N2393" s="3" t="str">
        <f>CONCATENATE("TRTFNC63E65F051Z")</f>
        <v>TRTFNC63E65F051Z</v>
      </c>
      <c r="O2393" s="3" t="s">
        <v>2526</v>
      </c>
      <c r="P2393" s="3" t="s">
        <v>36</v>
      </c>
      <c r="Q2393" s="3"/>
      <c r="R2393" s="4">
        <v>45996</v>
      </c>
      <c r="S2393" s="3" t="s">
        <v>37</v>
      </c>
      <c r="T2393" s="3" t="s">
        <v>38</v>
      </c>
      <c r="U2393" s="3" t="s">
        <v>39</v>
      </c>
      <c r="V2393" s="3">
        <v>122.5</v>
      </c>
      <c r="W2393" s="3">
        <v>52.06</v>
      </c>
      <c r="X2393" s="3">
        <v>49.31</v>
      </c>
      <c r="Y2393" s="3">
        <v>21.13</v>
      </c>
    </row>
    <row r="2394" spans="1:25" ht="60.75" x14ac:dyDescent="0.25">
      <c r="A2394" s="3" t="s">
        <v>26</v>
      </c>
      <c r="B2394" s="3" t="s">
        <v>27</v>
      </c>
      <c r="C2394" s="3" t="s">
        <v>28</v>
      </c>
      <c r="D2394" s="3" t="s">
        <v>104</v>
      </c>
      <c r="E2394" s="3" t="s">
        <v>691</v>
      </c>
      <c r="F2394" s="3" t="s">
        <v>104</v>
      </c>
      <c r="G2394" s="3" t="s">
        <v>691</v>
      </c>
      <c r="H2394" s="3" t="s">
        <v>48</v>
      </c>
      <c r="I2394" s="3">
        <v>2025</v>
      </c>
      <c r="J2394" s="3" t="str">
        <f>CONCATENATE("54820367529")</f>
        <v>54820367529</v>
      </c>
      <c r="K2394" s="3" t="s">
        <v>33</v>
      </c>
      <c r="L2394" s="3"/>
      <c r="M2394" s="3" t="s">
        <v>131</v>
      </c>
      <c r="N2394" s="3" t="str">
        <f>CONCATENATE("RSSRRT66S16I932M")</f>
        <v>RSSRRT66S16I932M</v>
      </c>
      <c r="O2394" s="3" t="s">
        <v>2527</v>
      </c>
      <c r="P2394" s="3" t="s">
        <v>36</v>
      </c>
      <c r="Q2394" s="3"/>
      <c r="R2394" s="4">
        <v>45996</v>
      </c>
      <c r="S2394" s="3" t="s">
        <v>37</v>
      </c>
      <c r="T2394" s="3" t="s">
        <v>38</v>
      </c>
      <c r="U2394" s="3" t="s">
        <v>39</v>
      </c>
      <c r="V2394" s="3">
        <v>276.32</v>
      </c>
      <c r="W2394" s="3">
        <v>117.44</v>
      </c>
      <c r="X2394" s="3">
        <v>111.22</v>
      </c>
      <c r="Y2394" s="3">
        <v>47.66</v>
      </c>
    </row>
    <row r="2395" spans="1:25" ht="60.75" x14ac:dyDescent="0.25">
      <c r="A2395" s="3" t="s">
        <v>26</v>
      </c>
      <c r="B2395" s="3" t="s">
        <v>27</v>
      </c>
      <c r="C2395" s="3" t="s">
        <v>28</v>
      </c>
      <c r="D2395" s="3" t="s">
        <v>104</v>
      </c>
      <c r="E2395" s="3" t="s">
        <v>691</v>
      </c>
      <c r="F2395" s="3" t="s">
        <v>104</v>
      </c>
      <c r="G2395" s="3" t="s">
        <v>691</v>
      </c>
      <c r="H2395" s="3" t="s">
        <v>48</v>
      </c>
      <c r="I2395" s="3">
        <v>2025</v>
      </c>
      <c r="J2395" s="3" t="str">
        <f>CONCATENATE("54820367776")</f>
        <v>54820367776</v>
      </c>
      <c r="K2395" s="3" t="s">
        <v>33</v>
      </c>
      <c r="L2395" s="3"/>
      <c r="M2395" s="3" t="s">
        <v>131</v>
      </c>
      <c r="N2395" s="3" t="str">
        <f>CONCATENATE("CRNRLA48T66I932W")</f>
        <v>CRNRLA48T66I932W</v>
      </c>
      <c r="O2395" s="3" t="s">
        <v>2528</v>
      </c>
      <c r="P2395" s="3" t="s">
        <v>36</v>
      </c>
      <c r="Q2395" s="3"/>
      <c r="R2395" s="4">
        <v>45996</v>
      </c>
      <c r="S2395" s="3" t="s">
        <v>37</v>
      </c>
      <c r="T2395" s="3" t="s">
        <v>38</v>
      </c>
      <c r="U2395" s="3" t="s">
        <v>39</v>
      </c>
      <c r="V2395" s="3">
        <v>52.72</v>
      </c>
      <c r="W2395" s="3">
        <v>22.41</v>
      </c>
      <c r="X2395" s="3">
        <v>21.22</v>
      </c>
      <c r="Y2395" s="3">
        <v>9.09</v>
      </c>
    </row>
    <row r="2396" spans="1:25" ht="60.75" x14ac:dyDescent="0.25">
      <c r="A2396" s="3" t="s">
        <v>26</v>
      </c>
      <c r="B2396" s="3" t="s">
        <v>27</v>
      </c>
      <c r="C2396" s="3" t="s">
        <v>28</v>
      </c>
      <c r="D2396" s="3" t="s">
        <v>104</v>
      </c>
      <c r="E2396" s="3" t="s">
        <v>141</v>
      </c>
      <c r="F2396" s="3" t="s">
        <v>104</v>
      </c>
      <c r="G2396" s="3" t="s">
        <v>141</v>
      </c>
      <c r="H2396" s="3" t="s">
        <v>96</v>
      </c>
      <c r="I2396" s="3">
        <v>2025</v>
      </c>
      <c r="J2396" s="3" t="str">
        <f>CONCATENATE("54820277256")</f>
        <v>54820277256</v>
      </c>
      <c r="K2396" s="3" t="s">
        <v>33</v>
      </c>
      <c r="L2396" s="3"/>
      <c r="M2396" s="3" t="s">
        <v>131</v>
      </c>
      <c r="N2396" s="3" t="str">
        <f>CONCATENATE("MZZGNN47S51I436R")</f>
        <v>MZZGNN47S51I436R</v>
      </c>
      <c r="O2396" s="3" t="s">
        <v>2529</v>
      </c>
      <c r="P2396" s="3" t="s">
        <v>36</v>
      </c>
      <c r="Q2396" s="3"/>
      <c r="R2396" s="4">
        <v>45996</v>
      </c>
      <c r="S2396" s="3" t="s">
        <v>37</v>
      </c>
      <c r="T2396" s="3" t="s">
        <v>38</v>
      </c>
      <c r="U2396" s="3" t="s">
        <v>39</v>
      </c>
      <c r="V2396" s="3">
        <v>90.71</v>
      </c>
      <c r="W2396" s="3">
        <v>38.549999999999997</v>
      </c>
      <c r="X2396" s="3">
        <v>36.51</v>
      </c>
      <c r="Y2396" s="3">
        <v>15.65</v>
      </c>
    </row>
    <row r="2397" spans="1:25" ht="60.75" x14ac:dyDescent="0.25">
      <c r="A2397" s="3" t="s">
        <v>26</v>
      </c>
      <c r="B2397" s="3" t="s">
        <v>27</v>
      </c>
      <c r="C2397" s="3" t="s">
        <v>28</v>
      </c>
      <c r="D2397" s="3" t="s">
        <v>104</v>
      </c>
      <c r="E2397" s="3" t="s">
        <v>141</v>
      </c>
      <c r="F2397" s="3" t="s">
        <v>104</v>
      </c>
      <c r="G2397" s="3" t="s">
        <v>141</v>
      </c>
      <c r="H2397" s="3" t="s">
        <v>96</v>
      </c>
      <c r="I2397" s="3">
        <v>2025</v>
      </c>
      <c r="J2397" s="3" t="str">
        <f>CONCATENATE("54820277314")</f>
        <v>54820277314</v>
      </c>
      <c r="K2397" s="3" t="s">
        <v>33</v>
      </c>
      <c r="L2397" s="3"/>
      <c r="M2397" s="3" t="s">
        <v>131</v>
      </c>
      <c r="N2397" s="3" t="str">
        <f>CONCATENATE("LPUDLN52H45A252P")</f>
        <v>LPUDLN52H45A252P</v>
      </c>
      <c r="O2397" s="3" t="s">
        <v>2530</v>
      </c>
      <c r="P2397" s="3" t="s">
        <v>36</v>
      </c>
      <c r="Q2397" s="3"/>
      <c r="R2397" s="4">
        <v>45996</v>
      </c>
      <c r="S2397" s="3" t="s">
        <v>37</v>
      </c>
      <c r="T2397" s="3" t="s">
        <v>38</v>
      </c>
      <c r="U2397" s="3" t="s">
        <v>39</v>
      </c>
      <c r="V2397" s="3">
        <v>378.9</v>
      </c>
      <c r="W2397" s="3">
        <v>161.03</v>
      </c>
      <c r="X2397" s="3">
        <v>152.51</v>
      </c>
      <c r="Y2397" s="3">
        <v>65.36</v>
      </c>
    </row>
    <row r="2398" spans="1:25" ht="60.75" x14ac:dyDescent="0.25">
      <c r="A2398" s="3" t="s">
        <v>26</v>
      </c>
      <c r="B2398" s="3" t="s">
        <v>27</v>
      </c>
      <c r="C2398" s="3" t="s">
        <v>28</v>
      </c>
      <c r="D2398" s="3" t="s">
        <v>104</v>
      </c>
      <c r="E2398" s="3" t="s">
        <v>141</v>
      </c>
      <c r="F2398" s="3" t="s">
        <v>104</v>
      </c>
      <c r="G2398" s="3" t="s">
        <v>141</v>
      </c>
      <c r="H2398" s="3" t="s">
        <v>96</v>
      </c>
      <c r="I2398" s="3">
        <v>2025</v>
      </c>
      <c r="J2398" s="3" t="str">
        <f>CONCATENATE("54820277371")</f>
        <v>54820277371</v>
      </c>
      <c r="K2398" s="3" t="s">
        <v>33</v>
      </c>
      <c r="L2398" s="3"/>
      <c r="M2398" s="3" t="s">
        <v>131</v>
      </c>
      <c r="N2398" s="3" t="str">
        <f>CONCATENATE("CSTLRT70D18A252E")</f>
        <v>CSTLRT70D18A252E</v>
      </c>
      <c r="O2398" s="3" t="s">
        <v>2531</v>
      </c>
      <c r="P2398" s="3" t="s">
        <v>36</v>
      </c>
      <c r="Q2398" s="3"/>
      <c r="R2398" s="4">
        <v>45996</v>
      </c>
      <c r="S2398" s="3" t="s">
        <v>37</v>
      </c>
      <c r="T2398" s="3" t="s">
        <v>38</v>
      </c>
      <c r="U2398" s="3" t="s">
        <v>39</v>
      </c>
      <c r="V2398" s="3">
        <v>104.67</v>
      </c>
      <c r="W2398" s="3">
        <v>44.48</v>
      </c>
      <c r="X2398" s="3">
        <v>42.13</v>
      </c>
      <c r="Y2398" s="3">
        <v>18.059999999999999</v>
      </c>
    </row>
    <row r="2399" spans="1:25" ht="60.75" x14ac:dyDescent="0.25">
      <c r="A2399" s="3" t="s">
        <v>26</v>
      </c>
      <c r="B2399" s="3" t="s">
        <v>27</v>
      </c>
      <c r="C2399" s="3" t="s">
        <v>28</v>
      </c>
      <c r="D2399" s="3" t="s">
        <v>104</v>
      </c>
      <c r="E2399" s="3" t="s">
        <v>141</v>
      </c>
      <c r="F2399" s="3" t="s">
        <v>104</v>
      </c>
      <c r="G2399" s="3" t="s">
        <v>141</v>
      </c>
      <c r="H2399" s="3" t="s">
        <v>96</v>
      </c>
      <c r="I2399" s="3">
        <v>2025</v>
      </c>
      <c r="J2399" s="3" t="str">
        <f>CONCATENATE("54820277454")</f>
        <v>54820277454</v>
      </c>
      <c r="K2399" s="3" t="s">
        <v>33</v>
      </c>
      <c r="L2399" s="3"/>
      <c r="M2399" s="3" t="s">
        <v>131</v>
      </c>
      <c r="N2399" s="3" t="str">
        <f>CONCATENATE("LNRNGL80C04A252I")</f>
        <v>LNRNGL80C04A252I</v>
      </c>
      <c r="O2399" s="3" t="s">
        <v>2532</v>
      </c>
      <c r="P2399" s="3" t="s">
        <v>36</v>
      </c>
      <c r="Q2399" s="3"/>
      <c r="R2399" s="4">
        <v>45996</v>
      </c>
      <c r="S2399" s="3" t="s">
        <v>37</v>
      </c>
      <c r="T2399" s="3" t="s">
        <v>38</v>
      </c>
      <c r="U2399" s="3" t="s">
        <v>39</v>
      </c>
      <c r="V2399" s="3">
        <v>183.99</v>
      </c>
      <c r="W2399" s="3">
        <v>78.2</v>
      </c>
      <c r="X2399" s="3">
        <v>74.06</v>
      </c>
      <c r="Y2399" s="3">
        <v>31.73</v>
      </c>
    </row>
    <row r="2400" spans="1:25" ht="60.75" x14ac:dyDescent="0.25">
      <c r="A2400" s="3" t="s">
        <v>26</v>
      </c>
      <c r="B2400" s="3" t="s">
        <v>27</v>
      </c>
      <c r="C2400" s="3" t="s">
        <v>28</v>
      </c>
      <c r="D2400" s="3" t="s">
        <v>50</v>
      </c>
      <c r="E2400" s="3" t="s">
        <v>60</v>
      </c>
      <c r="F2400" s="3" t="s">
        <v>52</v>
      </c>
      <c r="G2400" s="3" t="s">
        <v>60</v>
      </c>
      <c r="H2400" s="3" t="s">
        <v>45</v>
      </c>
      <c r="I2400" s="3">
        <v>2025</v>
      </c>
      <c r="J2400" s="3" t="str">
        <f>CONCATENATE("54820218276")</f>
        <v>54820218276</v>
      </c>
      <c r="K2400" s="3" t="s">
        <v>33</v>
      </c>
      <c r="L2400" s="3"/>
      <c r="M2400" s="3" t="s">
        <v>131</v>
      </c>
      <c r="N2400" s="3" t="str">
        <f>CONCATENATE("FNLCRL53B44E256F")</f>
        <v>FNLCRL53B44E256F</v>
      </c>
      <c r="O2400" s="3" t="s">
        <v>2533</v>
      </c>
      <c r="P2400" s="3" t="s">
        <v>36</v>
      </c>
      <c r="Q2400" s="3"/>
      <c r="R2400" s="4">
        <v>45996</v>
      </c>
      <c r="S2400" s="3" t="s">
        <v>37</v>
      </c>
      <c r="T2400" s="3" t="s">
        <v>38</v>
      </c>
      <c r="U2400" s="3" t="s">
        <v>39</v>
      </c>
      <c r="V2400" s="3">
        <v>475.27</v>
      </c>
      <c r="W2400" s="3">
        <v>201.99</v>
      </c>
      <c r="X2400" s="3">
        <v>191.3</v>
      </c>
      <c r="Y2400" s="3">
        <v>81.98</v>
      </c>
    </row>
    <row r="2401" spans="1:25" ht="60.75" x14ac:dyDescent="0.25">
      <c r="A2401" s="3" t="s">
        <v>26</v>
      </c>
      <c r="B2401" s="3" t="s">
        <v>27</v>
      </c>
      <c r="C2401" s="3" t="s">
        <v>28</v>
      </c>
      <c r="D2401" s="3" t="s">
        <v>50</v>
      </c>
      <c r="E2401" s="3" t="s">
        <v>60</v>
      </c>
      <c r="F2401" s="3" t="s">
        <v>52</v>
      </c>
      <c r="G2401" s="3" t="s">
        <v>60</v>
      </c>
      <c r="H2401" s="3" t="s">
        <v>45</v>
      </c>
      <c r="I2401" s="3">
        <v>2025</v>
      </c>
      <c r="J2401" s="3" t="str">
        <f>CONCATENATE("54820218250")</f>
        <v>54820218250</v>
      </c>
      <c r="K2401" s="3" t="s">
        <v>33</v>
      </c>
      <c r="L2401" s="3"/>
      <c r="M2401" s="3" t="s">
        <v>131</v>
      </c>
      <c r="N2401" s="3" t="str">
        <f>CONCATENATE("BFRCLD56B05H958C")</f>
        <v>BFRCLD56B05H958C</v>
      </c>
      <c r="O2401" s="3" t="s">
        <v>2534</v>
      </c>
      <c r="P2401" s="3" t="s">
        <v>36</v>
      </c>
      <c r="Q2401" s="3"/>
      <c r="R2401" s="4">
        <v>45996</v>
      </c>
      <c r="S2401" s="3" t="s">
        <v>37</v>
      </c>
      <c r="T2401" s="3" t="s">
        <v>38</v>
      </c>
      <c r="U2401" s="3" t="s">
        <v>39</v>
      </c>
      <c r="V2401" s="3">
        <v>212.77</v>
      </c>
      <c r="W2401" s="3">
        <v>90.43</v>
      </c>
      <c r="X2401" s="3">
        <v>85.64</v>
      </c>
      <c r="Y2401" s="3">
        <v>36.700000000000003</v>
      </c>
    </row>
    <row r="2402" spans="1:25" ht="60.75" x14ac:dyDescent="0.25">
      <c r="A2402" s="3" t="s">
        <v>26</v>
      </c>
      <c r="B2402" s="3" t="s">
        <v>27</v>
      </c>
      <c r="C2402" s="3" t="s">
        <v>28</v>
      </c>
      <c r="D2402" s="3" t="s">
        <v>104</v>
      </c>
      <c r="E2402" s="3" t="s">
        <v>141</v>
      </c>
      <c r="F2402" s="3" t="s">
        <v>104</v>
      </c>
      <c r="G2402" s="3" t="s">
        <v>141</v>
      </c>
      <c r="H2402" s="3" t="s">
        <v>96</v>
      </c>
      <c r="I2402" s="3">
        <v>2025</v>
      </c>
      <c r="J2402" s="3" t="str">
        <f>CONCATENATE("54820276704")</f>
        <v>54820276704</v>
      </c>
      <c r="K2402" s="3" t="s">
        <v>33</v>
      </c>
      <c r="L2402" s="3"/>
      <c r="M2402" s="3" t="s">
        <v>131</v>
      </c>
      <c r="N2402" s="3" t="str">
        <f>CONCATENATE("VGNGNN62A09A252Z")</f>
        <v>VGNGNN62A09A252Z</v>
      </c>
      <c r="O2402" s="3" t="s">
        <v>2535</v>
      </c>
      <c r="P2402" s="3" t="s">
        <v>36</v>
      </c>
      <c r="Q2402" s="3"/>
      <c r="R2402" s="4">
        <v>45996</v>
      </c>
      <c r="S2402" s="3" t="s">
        <v>37</v>
      </c>
      <c r="T2402" s="3" t="s">
        <v>38</v>
      </c>
      <c r="U2402" s="3" t="s">
        <v>39</v>
      </c>
      <c r="V2402" s="3">
        <v>68.33</v>
      </c>
      <c r="W2402" s="3">
        <v>29.04</v>
      </c>
      <c r="X2402" s="3">
        <v>27.5</v>
      </c>
      <c r="Y2402" s="3">
        <v>11.79</v>
      </c>
    </row>
    <row r="2403" spans="1:25" ht="60.75" x14ac:dyDescent="0.25">
      <c r="A2403" s="3" t="s">
        <v>26</v>
      </c>
      <c r="B2403" s="3" t="s">
        <v>27</v>
      </c>
      <c r="C2403" s="3" t="s">
        <v>28</v>
      </c>
      <c r="D2403" s="3" t="s">
        <v>104</v>
      </c>
      <c r="E2403" s="3" t="s">
        <v>141</v>
      </c>
      <c r="F2403" s="3" t="s">
        <v>104</v>
      </c>
      <c r="G2403" s="3" t="s">
        <v>141</v>
      </c>
      <c r="H2403" s="3" t="s">
        <v>96</v>
      </c>
      <c r="I2403" s="3">
        <v>2025</v>
      </c>
      <c r="J2403" s="3" t="str">
        <f>CONCATENATE("54820280979")</f>
        <v>54820280979</v>
      </c>
      <c r="K2403" s="3" t="s">
        <v>33</v>
      </c>
      <c r="L2403" s="3"/>
      <c r="M2403" s="3" t="s">
        <v>131</v>
      </c>
      <c r="N2403" s="3" t="str">
        <f>CONCATENATE("SRCNGL71S20F570C")</f>
        <v>SRCNGL71S20F570C</v>
      </c>
      <c r="O2403" s="3" t="s">
        <v>2536</v>
      </c>
      <c r="P2403" s="3" t="s">
        <v>36</v>
      </c>
      <c r="Q2403" s="3"/>
      <c r="R2403" s="4">
        <v>45996</v>
      </c>
      <c r="S2403" s="3" t="s">
        <v>37</v>
      </c>
      <c r="T2403" s="3" t="s">
        <v>38</v>
      </c>
      <c r="U2403" s="3" t="s">
        <v>39</v>
      </c>
      <c r="V2403" s="3">
        <v>123.62</v>
      </c>
      <c r="W2403" s="3">
        <v>52.54</v>
      </c>
      <c r="X2403" s="3">
        <v>49.76</v>
      </c>
      <c r="Y2403" s="3">
        <v>21.32</v>
      </c>
    </row>
    <row r="2404" spans="1:25" ht="60.75" x14ac:dyDescent="0.25">
      <c r="A2404" s="3" t="s">
        <v>26</v>
      </c>
      <c r="B2404" s="3" t="s">
        <v>27</v>
      </c>
      <c r="C2404" s="3" t="s">
        <v>28</v>
      </c>
      <c r="D2404" s="3" t="s">
        <v>457</v>
      </c>
      <c r="E2404" s="3" t="s">
        <v>1376</v>
      </c>
      <c r="F2404" s="3" t="s">
        <v>459</v>
      </c>
      <c r="G2404" s="3" t="s">
        <v>1376</v>
      </c>
      <c r="H2404" s="3" t="s">
        <v>48</v>
      </c>
      <c r="I2404" s="3">
        <v>2025</v>
      </c>
      <c r="J2404" s="3" t="str">
        <f>CONCATENATE("54820278684")</f>
        <v>54820278684</v>
      </c>
      <c r="K2404" s="3" t="s">
        <v>33</v>
      </c>
      <c r="L2404" s="3"/>
      <c r="M2404" s="3" t="s">
        <v>131</v>
      </c>
      <c r="N2404" s="3" t="str">
        <f>CONCATENATE("NDRRRT70T23I461I")</f>
        <v>NDRRRT70T23I461I</v>
      </c>
      <c r="O2404" s="3" t="s">
        <v>2537</v>
      </c>
      <c r="P2404" s="3" t="s">
        <v>36</v>
      </c>
      <c r="Q2404" s="3"/>
      <c r="R2404" s="4">
        <v>45996</v>
      </c>
      <c r="S2404" s="3" t="s">
        <v>37</v>
      </c>
      <c r="T2404" s="3" t="s">
        <v>38</v>
      </c>
      <c r="U2404" s="3" t="s">
        <v>39</v>
      </c>
      <c r="V2404" s="3">
        <v>126.55</v>
      </c>
      <c r="W2404" s="3">
        <v>53.78</v>
      </c>
      <c r="X2404" s="3">
        <v>50.94</v>
      </c>
      <c r="Y2404" s="3">
        <v>21.83</v>
      </c>
    </row>
    <row r="2405" spans="1:25" ht="60.75" x14ac:dyDescent="0.25">
      <c r="A2405" s="3" t="s">
        <v>26</v>
      </c>
      <c r="B2405" s="3" t="s">
        <v>27</v>
      </c>
      <c r="C2405" s="3" t="s">
        <v>28</v>
      </c>
      <c r="D2405" s="3" t="s">
        <v>40</v>
      </c>
      <c r="E2405" s="3" t="s">
        <v>44</v>
      </c>
      <c r="F2405" s="3" t="s">
        <v>42</v>
      </c>
      <c r="G2405" s="3" t="s">
        <v>44</v>
      </c>
      <c r="H2405" s="3" t="s">
        <v>32</v>
      </c>
      <c r="I2405" s="3">
        <v>2025</v>
      </c>
      <c r="J2405" s="3" t="str">
        <f>CONCATENATE("54820246475")</f>
        <v>54820246475</v>
      </c>
      <c r="K2405" s="3" t="s">
        <v>33</v>
      </c>
      <c r="L2405" s="3"/>
      <c r="M2405" s="3" t="s">
        <v>131</v>
      </c>
      <c r="N2405" s="3" t="str">
        <f>CONCATENATE("CSTLCU76L24B474H")</f>
        <v>CSTLCU76L24B474H</v>
      </c>
      <c r="O2405" s="3" t="s">
        <v>2538</v>
      </c>
      <c r="P2405" s="3" t="s">
        <v>36</v>
      </c>
      <c r="Q2405" s="3"/>
      <c r="R2405" s="4">
        <v>45996</v>
      </c>
      <c r="S2405" s="3" t="s">
        <v>37</v>
      </c>
      <c r="T2405" s="3" t="s">
        <v>38</v>
      </c>
      <c r="U2405" s="3" t="s">
        <v>39</v>
      </c>
      <c r="V2405" s="3">
        <v>346.1</v>
      </c>
      <c r="W2405" s="3">
        <v>147.09</v>
      </c>
      <c r="X2405" s="3">
        <v>139.31</v>
      </c>
      <c r="Y2405" s="3">
        <v>59.7</v>
      </c>
    </row>
    <row r="2406" spans="1:25" ht="60.75" x14ac:dyDescent="0.25">
      <c r="A2406" s="3" t="s">
        <v>26</v>
      </c>
      <c r="B2406" s="3" t="s">
        <v>27</v>
      </c>
      <c r="C2406" s="3" t="s">
        <v>28</v>
      </c>
      <c r="D2406" s="3" t="s">
        <v>104</v>
      </c>
      <c r="E2406" s="3" t="s">
        <v>691</v>
      </c>
      <c r="F2406" s="3" t="s">
        <v>104</v>
      </c>
      <c r="G2406" s="3" t="s">
        <v>691</v>
      </c>
      <c r="H2406" s="3" t="s">
        <v>48</v>
      </c>
      <c r="I2406" s="3">
        <v>2025</v>
      </c>
      <c r="J2406" s="3" t="str">
        <f>CONCATENATE("54820367834")</f>
        <v>54820367834</v>
      </c>
      <c r="K2406" s="3" t="s">
        <v>33</v>
      </c>
      <c r="L2406" s="3"/>
      <c r="M2406" s="3" t="s">
        <v>131</v>
      </c>
      <c r="N2406" s="3" t="str">
        <f>CONCATENATE("BRCDLA56A63F145G")</f>
        <v>BRCDLA56A63F145G</v>
      </c>
      <c r="O2406" s="3" t="s">
        <v>2539</v>
      </c>
      <c r="P2406" s="3" t="s">
        <v>36</v>
      </c>
      <c r="Q2406" s="3"/>
      <c r="R2406" s="4">
        <v>45996</v>
      </c>
      <c r="S2406" s="3" t="s">
        <v>37</v>
      </c>
      <c r="T2406" s="3" t="s">
        <v>38</v>
      </c>
      <c r="U2406" s="3" t="s">
        <v>39</v>
      </c>
      <c r="V2406" s="3">
        <v>81.97</v>
      </c>
      <c r="W2406" s="3">
        <v>34.840000000000003</v>
      </c>
      <c r="X2406" s="3">
        <v>32.99</v>
      </c>
      <c r="Y2406" s="3">
        <v>14.14</v>
      </c>
    </row>
    <row r="2407" spans="1:25" ht="60.75" x14ac:dyDescent="0.25">
      <c r="A2407" s="3" t="s">
        <v>26</v>
      </c>
      <c r="B2407" s="3" t="s">
        <v>27</v>
      </c>
      <c r="C2407" s="3" t="s">
        <v>28</v>
      </c>
      <c r="D2407" s="3" t="s">
        <v>29</v>
      </c>
      <c r="E2407" s="3" t="s">
        <v>101</v>
      </c>
      <c r="F2407" s="3" t="s">
        <v>31</v>
      </c>
      <c r="G2407" s="3" t="s">
        <v>101</v>
      </c>
      <c r="H2407" s="3" t="s">
        <v>32</v>
      </c>
      <c r="I2407" s="3">
        <v>2025</v>
      </c>
      <c r="J2407" s="3" t="str">
        <f>CONCATENATE("54820222609")</f>
        <v>54820222609</v>
      </c>
      <c r="K2407" s="3" t="s">
        <v>33</v>
      </c>
      <c r="L2407" s="3"/>
      <c r="M2407" s="3" t="s">
        <v>131</v>
      </c>
      <c r="N2407" s="3" t="str">
        <f>CONCATENATE("SPRPRZ79S08B474K")</f>
        <v>SPRPRZ79S08B474K</v>
      </c>
      <c r="O2407" s="3" t="s">
        <v>2540</v>
      </c>
      <c r="P2407" s="3" t="s">
        <v>36</v>
      </c>
      <c r="Q2407" s="3"/>
      <c r="R2407" s="4">
        <v>45996</v>
      </c>
      <c r="S2407" s="3" t="s">
        <v>37</v>
      </c>
      <c r="T2407" s="3" t="s">
        <v>38</v>
      </c>
      <c r="U2407" s="3" t="s">
        <v>39</v>
      </c>
      <c r="V2407" s="3">
        <v>138.06</v>
      </c>
      <c r="W2407" s="3">
        <v>58.68</v>
      </c>
      <c r="X2407" s="3">
        <v>55.57</v>
      </c>
      <c r="Y2407" s="3">
        <v>23.81</v>
      </c>
    </row>
    <row r="2408" spans="1:25" ht="36.75" x14ac:dyDescent="0.25">
      <c r="A2408" s="3" t="s">
        <v>26</v>
      </c>
      <c r="B2408" s="3" t="s">
        <v>27</v>
      </c>
      <c r="C2408" s="3" t="s">
        <v>28</v>
      </c>
      <c r="D2408" s="3" t="s">
        <v>29</v>
      </c>
      <c r="E2408" s="3" t="s">
        <v>72</v>
      </c>
      <c r="F2408" s="3" t="s">
        <v>31</v>
      </c>
      <c r="G2408" s="3" t="s">
        <v>72</v>
      </c>
      <c r="H2408" s="3" t="s">
        <v>45</v>
      </c>
      <c r="I2408" s="3">
        <v>2025</v>
      </c>
      <c r="J2408" s="3" t="str">
        <f>CONCATENATE("54820273677")</f>
        <v>54820273677</v>
      </c>
      <c r="K2408" s="3" t="s">
        <v>33</v>
      </c>
      <c r="L2408" s="3"/>
      <c r="M2408" s="3" t="s">
        <v>131</v>
      </c>
      <c r="N2408" s="3" t="str">
        <f>CONCATENATE("02634470419")</f>
        <v>02634470419</v>
      </c>
      <c r="O2408" s="3" t="s">
        <v>198</v>
      </c>
      <c r="P2408" s="3" t="s">
        <v>36</v>
      </c>
      <c r="Q2408" s="3"/>
      <c r="R2408" s="4">
        <v>45996</v>
      </c>
      <c r="S2408" s="3" t="s">
        <v>37</v>
      </c>
      <c r="T2408" s="3" t="s">
        <v>38</v>
      </c>
      <c r="U2408" s="3" t="s">
        <v>39</v>
      </c>
      <c r="V2408" s="5">
        <v>1210.0999999999999</v>
      </c>
      <c r="W2408" s="3">
        <v>514.29</v>
      </c>
      <c r="X2408" s="3">
        <v>487.07</v>
      </c>
      <c r="Y2408" s="3">
        <v>208.74</v>
      </c>
    </row>
    <row r="2409" spans="1:25" ht="60.75" x14ac:dyDescent="0.25">
      <c r="A2409" s="3" t="s">
        <v>26</v>
      </c>
      <c r="B2409" s="3" t="s">
        <v>27</v>
      </c>
      <c r="C2409" s="3" t="s">
        <v>28</v>
      </c>
      <c r="D2409" s="3" t="s">
        <v>50</v>
      </c>
      <c r="E2409" s="3" t="s">
        <v>60</v>
      </c>
      <c r="F2409" s="3" t="s">
        <v>52</v>
      </c>
      <c r="G2409" s="3" t="s">
        <v>60</v>
      </c>
      <c r="H2409" s="3" t="s">
        <v>45</v>
      </c>
      <c r="I2409" s="3">
        <v>2025</v>
      </c>
      <c r="J2409" s="3" t="str">
        <f>CONCATENATE("54820209713")</f>
        <v>54820209713</v>
      </c>
      <c r="K2409" s="3" t="s">
        <v>33</v>
      </c>
      <c r="L2409" s="3"/>
      <c r="M2409" s="3" t="s">
        <v>131</v>
      </c>
      <c r="N2409" s="3" t="str">
        <f>CONCATENATE("DLLDNC65M31G453L")</f>
        <v>DLLDNC65M31G453L</v>
      </c>
      <c r="O2409" s="3" t="s">
        <v>2541</v>
      </c>
      <c r="P2409" s="3" t="s">
        <v>36</v>
      </c>
      <c r="Q2409" s="3"/>
      <c r="R2409" s="4">
        <v>45996</v>
      </c>
      <c r="S2409" s="3" t="s">
        <v>37</v>
      </c>
      <c r="T2409" s="3" t="s">
        <v>38</v>
      </c>
      <c r="U2409" s="3" t="s">
        <v>39</v>
      </c>
      <c r="V2409" s="3">
        <v>175.81</v>
      </c>
      <c r="W2409" s="3">
        <v>74.72</v>
      </c>
      <c r="X2409" s="3">
        <v>70.760000000000005</v>
      </c>
      <c r="Y2409" s="3">
        <v>30.33</v>
      </c>
    </row>
    <row r="2410" spans="1:25" ht="60.75" x14ac:dyDescent="0.25">
      <c r="A2410" s="3" t="s">
        <v>26</v>
      </c>
      <c r="B2410" s="3" t="s">
        <v>27</v>
      </c>
      <c r="C2410" s="3" t="s">
        <v>28</v>
      </c>
      <c r="D2410" s="3" t="s">
        <v>50</v>
      </c>
      <c r="E2410" s="3" t="s">
        <v>60</v>
      </c>
      <c r="F2410" s="3" t="s">
        <v>52</v>
      </c>
      <c r="G2410" s="3" t="s">
        <v>60</v>
      </c>
      <c r="H2410" s="3" t="s">
        <v>45</v>
      </c>
      <c r="I2410" s="3">
        <v>2025</v>
      </c>
      <c r="J2410" s="3" t="str">
        <f>CONCATENATE("54820268792")</f>
        <v>54820268792</v>
      </c>
      <c r="K2410" s="3" t="s">
        <v>33</v>
      </c>
      <c r="L2410" s="3"/>
      <c r="M2410" s="3" t="s">
        <v>131</v>
      </c>
      <c r="N2410" s="3" t="str">
        <f>CONCATENATE("NCCNDR78P05B352T")</f>
        <v>NCCNDR78P05B352T</v>
      </c>
      <c r="O2410" s="3" t="s">
        <v>2542</v>
      </c>
      <c r="P2410" s="3" t="s">
        <v>36</v>
      </c>
      <c r="Q2410" s="3"/>
      <c r="R2410" s="4">
        <v>45996</v>
      </c>
      <c r="S2410" s="3" t="s">
        <v>37</v>
      </c>
      <c r="T2410" s="3" t="s">
        <v>38</v>
      </c>
      <c r="U2410" s="3" t="s">
        <v>39</v>
      </c>
      <c r="V2410" s="3">
        <v>245.88</v>
      </c>
      <c r="W2410" s="3">
        <v>104.5</v>
      </c>
      <c r="X2410" s="3">
        <v>98.97</v>
      </c>
      <c r="Y2410" s="3">
        <v>42.41</v>
      </c>
    </row>
    <row r="2411" spans="1:25" ht="72.75" x14ac:dyDescent="0.25">
      <c r="A2411" s="3" t="s">
        <v>26</v>
      </c>
      <c r="B2411" s="3" t="s">
        <v>27</v>
      </c>
      <c r="C2411" s="3" t="s">
        <v>28</v>
      </c>
      <c r="D2411" s="3" t="s">
        <v>29</v>
      </c>
      <c r="E2411" s="3" t="s">
        <v>182</v>
      </c>
      <c r="F2411" s="3" t="s">
        <v>31</v>
      </c>
      <c r="G2411" s="3" t="s">
        <v>182</v>
      </c>
      <c r="H2411" s="3" t="s">
        <v>45</v>
      </c>
      <c r="I2411" s="3">
        <v>2025</v>
      </c>
      <c r="J2411" s="3" t="str">
        <f>CONCATENATE("54820258249")</f>
        <v>54820258249</v>
      </c>
      <c r="K2411" s="3" t="s">
        <v>33</v>
      </c>
      <c r="L2411" s="3"/>
      <c r="M2411" s="3" t="s">
        <v>131</v>
      </c>
      <c r="N2411" s="3" t="str">
        <f>CONCATENATE("RMGMLE63H25L500A")</f>
        <v>RMGMLE63H25L500A</v>
      </c>
      <c r="O2411" s="3" t="s">
        <v>2543</v>
      </c>
      <c r="P2411" s="3" t="s">
        <v>36</v>
      </c>
      <c r="Q2411" s="3"/>
      <c r="R2411" s="4">
        <v>45996</v>
      </c>
      <c r="S2411" s="3" t="s">
        <v>37</v>
      </c>
      <c r="T2411" s="3" t="s">
        <v>38</v>
      </c>
      <c r="U2411" s="3" t="s">
        <v>39</v>
      </c>
      <c r="V2411" s="5">
        <v>1128.6400000000001</v>
      </c>
      <c r="W2411" s="3">
        <v>479.67</v>
      </c>
      <c r="X2411" s="3">
        <v>454.28</v>
      </c>
      <c r="Y2411" s="3">
        <v>194.69</v>
      </c>
    </row>
    <row r="2412" spans="1:25" ht="72.75" x14ac:dyDescent="0.25">
      <c r="A2412" s="3" t="s">
        <v>26</v>
      </c>
      <c r="B2412" s="3" t="s">
        <v>27</v>
      </c>
      <c r="C2412" s="3" t="s">
        <v>28</v>
      </c>
      <c r="D2412" s="3" t="s">
        <v>464</v>
      </c>
      <c r="E2412" s="3" t="s">
        <v>465</v>
      </c>
      <c r="F2412" s="3" t="s">
        <v>466</v>
      </c>
      <c r="G2412" s="3" t="s">
        <v>465</v>
      </c>
      <c r="H2412" s="3" t="s">
        <v>96</v>
      </c>
      <c r="I2412" s="3">
        <v>2025</v>
      </c>
      <c r="J2412" s="3" t="str">
        <f>CONCATENATE("54820284161")</f>
        <v>54820284161</v>
      </c>
      <c r="K2412" s="3" t="s">
        <v>33</v>
      </c>
      <c r="L2412" s="3"/>
      <c r="M2412" s="3" t="s">
        <v>131</v>
      </c>
      <c r="N2412" s="3" t="str">
        <f>CONCATENATE("MLNDNC53H59H390B")</f>
        <v>MLNDNC53H59H390B</v>
      </c>
      <c r="O2412" s="3" t="s">
        <v>2544</v>
      </c>
      <c r="P2412" s="3" t="s">
        <v>36</v>
      </c>
      <c r="Q2412" s="3"/>
      <c r="R2412" s="4">
        <v>45996</v>
      </c>
      <c r="S2412" s="3" t="s">
        <v>37</v>
      </c>
      <c r="T2412" s="3" t="s">
        <v>38</v>
      </c>
      <c r="U2412" s="3" t="s">
        <v>39</v>
      </c>
      <c r="V2412" s="3">
        <v>83.74</v>
      </c>
      <c r="W2412" s="3">
        <v>35.590000000000003</v>
      </c>
      <c r="X2412" s="3">
        <v>33.71</v>
      </c>
      <c r="Y2412" s="3">
        <v>14.44</v>
      </c>
    </row>
    <row r="2413" spans="1:25" ht="60.75" x14ac:dyDescent="0.25">
      <c r="A2413" s="3" t="s">
        <v>26</v>
      </c>
      <c r="B2413" s="3" t="s">
        <v>27</v>
      </c>
      <c r="C2413" s="3" t="s">
        <v>28</v>
      </c>
      <c r="D2413" s="3" t="s">
        <v>29</v>
      </c>
      <c r="E2413" s="3" t="s">
        <v>182</v>
      </c>
      <c r="F2413" s="3" t="s">
        <v>31</v>
      </c>
      <c r="G2413" s="3" t="s">
        <v>182</v>
      </c>
      <c r="H2413" s="3" t="s">
        <v>45</v>
      </c>
      <c r="I2413" s="3">
        <v>2025</v>
      </c>
      <c r="J2413" s="3" t="str">
        <f>CONCATENATE("54820152665")</f>
        <v>54820152665</v>
      </c>
      <c r="K2413" s="3" t="s">
        <v>33</v>
      </c>
      <c r="L2413" s="3"/>
      <c r="M2413" s="3" t="s">
        <v>131</v>
      </c>
      <c r="N2413" s="3" t="str">
        <f>CONCATENATE("PRNMLN74M68L500C")</f>
        <v>PRNMLN74M68L500C</v>
      </c>
      <c r="O2413" s="3" t="s">
        <v>2545</v>
      </c>
      <c r="P2413" s="3" t="s">
        <v>36</v>
      </c>
      <c r="Q2413" s="3"/>
      <c r="R2413" s="4">
        <v>45996</v>
      </c>
      <c r="S2413" s="3" t="s">
        <v>37</v>
      </c>
      <c r="T2413" s="3" t="s">
        <v>38</v>
      </c>
      <c r="U2413" s="3" t="s">
        <v>39</v>
      </c>
      <c r="V2413" s="3">
        <v>954.86</v>
      </c>
      <c r="W2413" s="3">
        <v>405.82</v>
      </c>
      <c r="X2413" s="3">
        <v>384.33</v>
      </c>
      <c r="Y2413" s="3">
        <v>164.71</v>
      </c>
    </row>
    <row r="2414" spans="1:25" ht="60.75" x14ac:dyDescent="0.25">
      <c r="A2414" s="3" t="s">
        <v>26</v>
      </c>
      <c r="B2414" s="3" t="s">
        <v>27</v>
      </c>
      <c r="C2414" s="3" t="s">
        <v>28</v>
      </c>
      <c r="D2414" s="3" t="s">
        <v>29</v>
      </c>
      <c r="E2414" s="3" t="s">
        <v>136</v>
      </c>
      <c r="F2414" s="3" t="s">
        <v>31</v>
      </c>
      <c r="G2414" s="3" t="s">
        <v>136</v>
      </c>
      <c r="H2414" s="3" t="s">
        <v>48</v>
      </c>
      <c r="I2414" s="3">
        <v>2025</v>
      </c>
      <c r="J2414" s="3" t="str">
        <f>CONCATENATE("54820191408")</f>
        <v>54820191408</v>
      </c>
      <c r="K2414" s="3" t="s">
        <v>33</v>
      </c>
      <c r="L2414" s="3"/>
      <c r="M2414" s="3" t="s">
        <v>131</v>
      </c>
      <c r="N2414" s="3" t="str">
        <f>CONCATENATE("VTLMRZ55H11I461H")</f>
        <v>VTLMRZ55H11I461H</v>
      </c>
      <c r="O2414" s="3" t="s">
        <v>2546</v>
      </c>
      <c r="P2414" s="3" t="s">
        <v>36</v>
      </c>
      <c r="Q2414" s="3"/>
      <c r="R2414" s="4">
        <v>45996</v>
      </c>
      <c r="S2414" s="3" t="s">
        <v>37</v>
      </c>
      <c r="T2414" s="3" t="s">
        <v>38</v>
      </c>
      <c r="U2414" s="3" t="s">
        <v>39</v>
      </c>
      <c r="V2414" s="3">
        <v>252.72</v>
      </c>
      <c r="W2414" s="3">
        <v>107.41</v>
      </c>
      <c r="X2414" s="3">
        <v>101.72</v>
      </c>
      <c r="Y2414" s="3">
        <v>43.59</v>
      </c>
    </row>
    <row r="2415" spans="1:25" ht="60.75" x14ac:dyDescent="0.25">
      <c r="A2415" s="3" t="s">
        <v>26</v>
      </c>
      <c r="B2415" s="3" t="s">
        <v>27</v>
      </c>
      <c r="C2415" s="3" t="s">
        <v>28</v>
      </c>
      <c r="D2415" s="3" t="s">
        <v>29</v>
      </c>
      <c r="E2415" s="3" t="s">
        <v>47</v>
      </c>
      <c r="F2415" s="3" t="s">
        <v>31</v>
      </c>
      <c r="G2415" s="3" t="s">
        <v>47</v>
      </c>
      <c r="H2415" s="3" t="s">
        <v>48</v>
      </c>
      <c r="I2415" s="3">
        <v>2025</v>
      </c>
      <c r="J2415" s="3" t="str">
        <f>CONCATENATE("54820192414")</f>
        <v>54820192414</v>
      </c>
      <c r="K2415" s="3" t="s">
        <v>33</v>
      </c>
      <c r="L2415" s="3"/>
      <c r="M2415" s="3" t="s">
        <v>131</v>
      </c>
      <c r="N2415" s="3" t="str">
        <f>CONCATENATE("DNINNA61P66B872O")</f>
        <v>DNINNA61P66B872O</v>
      </c>
      <c r="O2415" s="3" t="s">
        <v>2547</v>
      </c>
      <c r="P2415" s="3" t="s">
        <v>36</v>
      </c>
      <c r="Q2415" s="3"/>
      <c r="R2415" s="4">
        <v>45996</v>
      </c>
      <c r="S2415" s="3" t="s">
        <v>37</v>
      </c>
      <c r="T2415" s="3" t="s">
        <v>38</v>
      </c>
      <c r="U2415" s="3" t="s">
        <v>39</v>
      </c>
      <c r="V2415" s="3">
        <v>193.24</v>
      </c>
      <c r="W2415" s="3">
        <v>82.13</v>
      </c>
      <c r="X2415" s="3">
        <v>77.78</v>
      </c>
      <c r="Y2415" s="3">
        <v>33.33</v>
      </c>
    </row>
    <row r="2416" spans="1:25" ht="60.75" x14ac:dyDescent="0.25">
      <c r="A2416" s="3" t="s">
        <v>26</v>
      </c>
      <c r="B2416" s="3" t="s">
        <v>27</v>
      </c>
      <c r="C2416" s="3" t="s">
        <v>28</v>
      </c>
      <c r="D2416" s="3" t="s">
        <v>29</v>
      </c>
      <c r="E2416" s="3" t="s">
        <v>341</v>
      </c>
      <c r="F2416" s="3" t="s">
        <v>31</v>
      </c>
      <c r="G2416" s="3" t="s">
        <v>341</v>
      </c>
      <c r="H2416" s="3" t="s">
        <v>45</v>
      </c>
      <c r="I2416" s="3">
        <v>2025</v>
      </c>
      <c r="J2416" s="3" t="str">
        <f>CONCATENATE("54820260245")</f>
        <v>54820260245</v>
      </c>
      <c r="K2416" s="3" t="s">
        <v>33</v>
      </c>
      <c r="L2416" s="3"/>
      <c r="M2416" s="3" t="s">
        <v>131</v>
      </c>
      <c r="N2416" s="3" t="str">
        <f>CONCATENATE("SCCMRC02P07G479D")</f>
        <v>SCCMRC02P07G479D</v>
      </c>
      <c r="O2416" s="3" t="s">
        <v>2548</v>
      </c>
      <c r="P2416" s="3" t="s">
        <v>36</v>
      </c>
      <c r="Q2416" s="3"/>
      <c r="R2416" s="4">
        <v>45996</v>
      </c>
      <c r="S2416" s="3" t="s">
        <v>37</v>
      </c>
      <c r="T2416" s="3" t="s">
        <v>38</v>
      </c>
      <c r="U2416" s="3" t="s">
        <v>39</v>
      </c>
      <c r="V2416" s="3">
        <v>178.96</v>
      </c>
      <c r="W2416" s="3">
        <v>76.06</v>
      </c>
      <c r="X2416" s="3">
        <v>72.03</v>
      </c>
      <c r="Y2416" s="3">
        <v>30.87</v>
      </c>
    </row>
    <row r="2417" spans="1:25" ht="60.75" x14ac:dyDescent="0.25">
      <c r="A2417" s="3" t="s">
        <v>26</v>
      </c>
      <c r="B2417" s="3" t="s">
        <v>27</v>
      </c>
      <c r="C2417" s="3" t="s">
        <v>28</v>
      </c>
      <c r="D2417" s="3" t="s">
        <v>50</v>
      </c>
      <c r="E2417" s="3" t="s">
        <v>147</v>
      </c>
      <c r="F2417" s="3" t="s">
        <v>52</v>
      </c>
      <c r="G2417" s="3" t="s">
        <v>147</v>
      </c>
      <c r="H2417" s="3" t="s">
        <v>45</v>
      </c>
      <c r="I2417" s="3">
        <v>2025</v>
      </c>
      <c r="J2417" s="3" t="str">
        <f>CONCATENATE("54820169735")</f>
        <v>54820169735</v>
      </c>
      <c r="K2417" s="3" t="s">
        <v>33</v>
      </c>
      <c r="L2417" s="3"/>
      <c r="M2417" s="3" t="s">
        <v>131</v>
      </c>
      <c r="N2417" s="3" t="str">
        <f>CONCATENATE("CNTRRT70S13F135E")</f>
        <v>CNTRRT70S13F135E</v>
      </c>
      <c r="O2417" s="3" t="s">
        <v>2549</v>
      </c>
      <c r="P2417" s="3" t="s">
        <v>36</v>
      </c>
      <c r="Q2417" s="3"/>
      <c r="R2417" s="4">
        <v>45996</v>
      </c>
      <c r="S2417" s="3" t="s">
        <v>37</v>
      </c>
      <c r="T2417" s="3" t="s">
        <v>38</v>
      </c>
      <c r="U2417" s="3" t="s">
        <v>39</v>
      </c>
      <c r="V2417" s="3">
        <v>537.20000000000005</v>
      </c>
      <c r="W2417" s="3">
        <v>228.31</v>
      </c>
      <c r="X2417" s="3">
        <v>216.22</v>
      </c>
      <c r="Y2417" s="3">
        <v>92.67</v>
      </c>
    </row>
    <row r="2418" spans="1:25" ht="60.75" x14ac:dyDescent="0.25">
      <c r="A2418" s="3" t="s">
        <v>26</v>
      </c>
      <c r="B2418" s="3" t="s">
        <v>27</v>
      </c>
      <c r="C2418" s="3" t="s">
        <v>28</v>
      </c>
      <c r="D2418" s="3" t="s">
        <v>29</v>
      </c>
      <c r="E2418" s="3" t="s">
        <v>47</v>
      </c>
      <c r="F2418" s="3" t="s">
        <v>31</v>
      </c>
      <c r="G2418" s="3" t="s">
        <v>47</v>
      </c>
      <c r="H2418" s="3" t="s">
        <v>48</v>
      </c>
      <c r="I2418" s="3">
        <v>2025</v>
      </c>
      <c r="J2418" s="3" t="str">
        <f>CONCATENATE("54820206909")</f>
        <v>54820206909</v>
      </c>
      <c r="K2418" s="3" t="s">
        <v>33</v>
      </c>
      <c r="L2418" s="3"/>
      <c r="M2418" s="3" t="s">
        <v>131</v>
      </c>
      <c r="N2418" s="3" t="str">
        <f>CONCATENATE("PCRMRZ60S09I653L")</f>
        <v>PCRMRZ60S09I653L</v>
      </c>
      <c r="O2418" s="3" t="s">
        <v>2550</v>
      </c>
      <c r="P2418" s="3" t="s">
        <v>36</v>
      </c>
      <c r="Q2418" s="3"/>
      <c r="R2418" s="4">
        <v>45996</v>
      </c>
      <c r="S2418" s="3" t="s">
        <v>37</v>
      </c>
      <c r="T2418" s="3" t="s">
        <v>38</v>
      </c>
      <c r="U2418" s="3" t="s">
        <v>39</v>
      </c>
      <c r="V2418" s="3">
        <v>106.23</v>
      </c>
      <c r="W2418" s="3">
        <v>45.15</v>
      </c>
      <c r="X2418" s="3">
        <v>42.76</v>
      </c>
      <c r="Y2418" s="3">
        <v>18.32</v>
      </c>
    </row>
    <row r="2419" spans="1:25" ht="72.75" x14ac:dyDescent="0.25">
      <c r="A2419" s="3" t="s">
        <v>26</v>
      </c>
      <c r="B2419" s="3" t="s">
        <v>27</v>
      </c>
      <c r="C2419" s="3" t="s">
        <v>28</v>
      </c>
      <c r="D2419" s="3" t="s">
        <v>104</v>
      </c>
      <c r="E2419" s="3" t="s">
        <v>661</v>
      </c>
      <c r="F2419" s="3" t="s">
        <v>104</v>
      </c>
      <c r="G2419" s="3" t="s">
        <v>661</v>
      </c>
      <c r="H2419" s="3" t="s">
        <v>45</v>
      </c>
      <c r="I2419" s="3">
        <v>2025</v>
      </c>
      <c r="J2419" s="3" t="str">
        <f>CONCATENATE("54820194865")</f>
        <v>54820194865</v>
      </c>
      <c r="K2419" s="3" t="s">
        <v>33</v>
      </c>
      <c r="L2419" s="3"/>
      <c r="M2419" s="3" t="s">
        <v>131</v>
      </c>
      <c r="N2419" s="3" t="str">
        <f>CONCATENATE("VCHMSM62D29G479Z")</f>
        <v>VCHMSM62D29G479Z</v>
      </c>
      <c r="O2419" s="3" t="s">
        <v>2551</v>
      </c>
      <c r="P2419" s="3" t="s">
        <v>36</v>
      </c>
      <c r="Q2419" s="3"/>
      <c r="R2419" s="4">
        <v>45996</v>
      </c>
      <c r="S2419" s="3" t="s">
        <v>37</v>
      </c>
      <c r="T2419" s="3" t="s">
        <v>38</v>
      </c>
      <c r="U2419" s="3" t="s">
        <v>39</v>
      </c>
      <c r="V2419" s="3">
        <v>59.04</v>
      </c>
      <c r="W2419" s="3">
        <v>25.09</v>
      </c>
      <c r="X2419" s="3">
        <v>23.76</v>
      </c>
      <c r="Y2419" s="3">
        <v>10.19</v>
      </c>
    </row>
    <row r="2420" spans="1:25" ht="60.75" x14ac:dyDescent="0.25">
      <c r="A2420" s="3" t="s">
        <v>26</v>
      </c>
      <c r="B2420" s="3" t="s">
        <v>27</v>
      </c>
      <c r="C2420" s="3" t="s">
        <v>28</v>
      </c>
      <c r="D2420" s="3" t="s">
        <v>2552</v>
      </c>
      <c r="E2420" s="3" t="s">
        <v>2553</v>
      </c>
      <c r="F2420" s="3" t="s">
        <v>2554</v>
      </c>
      <c r="G2420" s="3" t="s">
        <v>2553</v>
      </c>
      <c r="H2420" s="3" t="s">
        <v>45</v>
      </c>
      <c r="I2420" s="3">
        <v>2025</v>
      </c>
      <c r="J2420" s="3" t="str">
        <f>CONCATENATE("54820174115")</f>
        <v>54820174115</v>
      </c>
      <c r="K2420" s="3" t="s">
        <v>33</v>
      </c>
      <c r="L2420" s="3"/>
      <c r="M2420" s="3" t="s">
        <v>131</v>
      </c>
      <c r="N2420" s="3" t="str">
        <f>CONCATENATE("CRZPLA74D27I459Y")</f>
        <v>CRZPLA74D27I459Y</v>
      </c>
      <c r="O2420" s="3" t="s">
        <v>2555</v>
      </c>
      <c r="P2420" s="3" t="s">
        <v>36</v>
      </c>
      <c r="Q2420" s="3"/>
      <c r="R2420" s="4">
        <v>45996</v>
      </c>
      <c r="S2420" s="3" t="s">
        <v>37</v>
      </c>
      <c r="T2420" s="3" t="s">
        <v>38</v>
      </c>
      <c r="U2420" s="3" t="s">
        <v>39</v>
      </c>
      <c r="V2420" s="3">
        <v>192.52</v>
      </c>
      <c r="W2420" s="3">
        <v>81.819999999999993</v>
      </c>
      <c r="X2420" s="3">
        <v>77.489999999999995</v>
      </c>
      <c r="Y2420" s="3">
        <v>33.21</v>
      </c>
    </row>
    <row r="2421" spans="1:25" ht="36.75" x14ac:dyDescent="0.25">
      <c r="A2421" s="3" t="s">
        <v>26</v>
      </c>
      <c r="B2421" s="3" t="s">
        <v>27</v>
      </c>
      <c r="C2421" s="3" t="s">
        <v>28</v>
      </c>
      <c r="D2421" s="3" t="s">
        <v>91</v>
      </c>
      <c r="E2421" s="3" t="s">
        <v>151</v>
      </c>
      <c r="F2421" s="3" t="s">
        <v>93</v>
      </c>
      <c r="G2421" s="3" t="s">
        <v>151</v>
      </c>
      <c r="H2421" s="3" t="s">
        <v>45</v>
      </c>
      <c r="I2421" s="3">
        <v>2025</v>
      </c>
      <c r="J2421" s="3" t="str">
        <f>CONCATENATE("54820188750")</f>
        <v>54820188750</v>
      </c>
      <c r="K2421" s="3" t="s">
        <v>33</v>
      </c>
      <c r="L2421" s="3"/>
      <c r="M2421" s="3" t="s">
        <v>131</v>
      </c>
      <c r="N2421" s="3" t="str">
        <f>CONCATENATE("02090800414")</f>
        <v>02090800414</v>
      </c>
      <c r="O2421" s="3" t="s">
        <v>2556</v>
      </c>
      <c r="P2421" s="3" t="s">
        <v>36</v>
      </c>
      <c r="Q2421" s="3"/>
      <c r="R2421" s="4">
        <v>45996</v>
      </c>
      <c r="S2421" s="3" t="s">
        <v>37</v>
      </c>
      <c r="T2421" s="3" t="s">
        <v>38</v>
      </c>
      <c r="U2421" s="3" t="s">
        <v>39</v>
      </c>
      <c r="V2421" s="3">
        <v>302.85000000000002</v>
      </c>
      <c r="W2421" s="3">
        <v>128.71</v>
      </c>
      <c r="X2421" s="3">
        <v>121.9</v>
      </c>
      <c r="Y2421" s="3">
        <v>52.24</v>
      </c>
    </row>
    <row r="2422" spans="1:25" ht="60.75" x14ac:dyDescent="0.25">
      <c r="A2422" s="3" t="s">
        <v>26</v>
      </c>
      <c r="B2422" s="3" t="s">
        <v>27</v>
      </c>
      <c r="C2422" s="3" t="s">
        <v>28</v>
      </c>
      <c r="D2422" s="3" t="s">
        <v>50</v>
      </c>
      <c r="E2422" s="3" t="s">
        <v>51</v>
      </c>
      <c r="F2422" s="3" t="s">
        <v>52</v>
      </c>
      <c r="G2422" s="3" t="s">
        <v>51</v>
      </c>
      <c r="H2422" s="3" t="s">
        <v>48</v>
      </c>
      <c r="I2422" s="3">
        <v>2025</v>
      </c>
      <c r="J2422" s="3" t="str">
        <f>CONCATENATE("54820181953")</f>
        <v>54820181953</v>
      </c>
      <c r="K2422" s="3" t="s">
        <v>33</v>
      </c>
      <c r="L2422" s="3"/>
      <c r="M2422" s="3" t="s">
        <v>131</v>
      </c>
      <c r="N2422" s="3" t="str">
        <f>CONCATENATE("CCCDNI50M14I461D")</f>
        <v>CCCDNI50M14I461D</v>
      </c>
      <c r="O2422" s="3" t="s">
        <v>2557</v>
      </c>
      <c r="P2422" s="3" t="s">
        <v>36</v>
      </c>
      <c r="Q2422" s="3"/>
      <c r="R2422" s="4">
        <v>45996</v>
      </c>
      <c r="S2422" s="3" t="s">
        <v>37</v>
      </c>
      <c r="T2422" s="3" t="s">
        <v>38</v>
      </c>
      <c r="U2422" s="3" t="s">
        <v>39</v>
      </c>
      <c r="V2422" s="3">
        <v>79.290000000000006</v>
      </c>
      <c r="W2422" s="3">
        <v>33.700000000000003</v>
      </c>
      <c r="X2422" s="3">
        <v>31.91</v>
      </c>
      <c r="Y2422" s="3">
        <v>13.68</v>
      </c>
    </row>
    <row r="2423" spans="1:25" ht="72.75" x14ac:dyDescent="0.25">
      <c r="A2423" s="3" t="s">
        <v>26</v>
      </c>
      <c r="B2423" s="3" t="s">
        <v>27</v>
      </c>
      <c r="C2423" s="3" t="s">
        <v>28</v>
      </c>
      <c r="D2423" s="3" t="s">
        <v>91</v>
      </c>
      <c r="E2423" s="3" t="s">
        <v>151</v>
      </c>
      <c r="F2423" s="3" t="s">
        <v>93</v>
      </c>
      <c r="G2423" s="3" t="s">
        <v>151</v>
      </c>
      <c r="H2423" s="3" t="s">
        <v>45</v>
      </c>
      <c r="I2423" s="3">
        <v>2025</v>
      </c>
      <c r="J2423" s="3" t="str">
        <f>CONCATENATE("54820235304")</f>
        <v>54820235304</v>
      </c>
      <c r="K2423" s="3" t="s">
        <v>33</v>
      </c>
      <c r="L2423" s="3"/>
      <c r="M2423" s="3" t="s">
        <v>131</v>
      </c>
      <c r="N2423" s="3" t="str">
        <f>CONCATENATE("PRCNMR44P70D749M")</f>
        <v>PRCNMR44P70D749M</v>
      </c>
      <c r="O2423" s="3" t="s">
        <v>2558</v>
      </c>
      <c r="P2423" s="3" t="s">
        <v>36</v>
      </c>
      <c r="Q2423" s="3"/>
      <c r="R2423" s="4">
        <v>45996</v>
      </c>
      <c r="S2423" s="3" t="s">
        <v>37</v>
      </c>
      <c r="T2423" s="3" t="s">
        <v>38</v>
      </c>
      <c r="U2423" s="3" t="s">
        <v>39</v>
      </c>
      <c r="V2423" s="3">
        <v>254.75</v>
      </c>
      <c r="W2423" s="3">
        <v>108.27</v>
      </c>
      <c r="X2423" s="3">
        <v>102.54</v>
      </c>
      <c r="Y2423" s="3">
        <v>43.94</v>
      </c>
    </row>
    <row r="2424" spans="1:25" ht="60.75" x14ac:dyDescent="0.25">
      <c r="A2424" s="3" t="s">
        <v>26</v>
      </c>
      <c r="B2424" s="3" t="s">
        <v>27</v>
      </c>
      <c r="C2424" s="3" t="s">
        <v>28</v>
      </c>
      <c r="D2424" s="3" t="s">
        <v>29</v>
      </c>
      <c r="E2424" s="3" t="s">
        <v>136</v>
      </c>
      <c r="F2424" s="3" t="s">
        <v>31</v>
      </c>
      <c r="G2424" s="3" t="s">
        <v>136</v>
      </c>
      <c r="H2424" s="3" t="s">
        <v>48</v>
      </c>
      <c r="I2424" s="3">
        <v>2025</v>
      </c>
      <c r="J2424" s="3" t="str">
        <f>CONCATENATE("54820180021")</f>
        <v>54820180021</v>
      </c>
      <c r="K2424" s="3" t="s">
        <v>33</v>
      </c>
      <c r="L2424" s="3"/>
      <c r="M2424" s="3" t="s">
        <v>131</v>
      </c>
      <c r="N2424" s="3" t="str">
        <f>CONCATENATE("SNTLVR46A19I461I")</f>
        <v>SNTLVR46A19I461I</v>
      </c>
      <c r="O2424" s="3" t="s">
        <v>2559</v>
      </c>
      <c r="P2424" s="3" t="s">
        <v>36</v>
      </c>
      <c r="Q2424" s="3"/>
      <c r="R2424" s="4">
        <v>45996</v>
      </c>
      <c r="S2424" s="3" t="s">
        <v>37</v>
      </c>
      <c r="T2424" s="3" t="s">
        <v>38</v>
      </c>
      <c r="U2424" s="3" t="s">
        <v>39</v>
      </c>
      <c r="V2424" s="3">
        <v>56.9</v>
      </c>
      <c r="W2424" s="3">
        <v>24.18</v>
      </c>
      <c r="X2424" s="3">
        <v>22.9</v>
      </c>
      <c r="Y2424" s="3">
        <v>9.82</v>
      </c>
    </row>
    <row r="2425" spans="1:25" ht="60.75" x14ac:dyDescent="0.25">
      <c r="A2425" s="3" t="s">
        <v>26</v>
      </c>
      <c r="B2425" s="3" t="s">
        <v>27</v>
      </c>
      <c r="C2425" s="3" t="s">
        <v>28</v>
      </c>
      <c r="D2425" s="3" t="s">
        <v>50</v>
      </c>
      <c r="E2425" s="3" t="s">
        <v>60</v>
      </c>
      <c r="F2425" s="3" t="s">
        <v>52</v>
      </c>
      <c r="G2425" s="3" t="s">
        <v>60</v>
      </c>
      <c r="H2425" s="3" t="s">
        <v>45</v>
      </c>
      <c r="I2425" s="3">
        <v>2025</v>
      </c>
      <c r="J2425" s="3" t="str">
        <f>CONCATENATE("54820116322")</f>
        <v>54820116322</v>
      </c>
      <c r="K2425" s="3" t="s">
        <v>33</v>
      </c>
      <c r="L2425" s="3"/>
      <c r="M2425" s="3" t="s">
        <v>131</v>
      </c>
      <c r="N2425" s="3" t="str">
        <f>CONCATENATE("MNCPTR44H27G682J")</f>
        <v>MNCPTR44H27G682J</v>
      </c>
      <c r="O2425" s="3" t="s">
        <v>2560</v>
      </c>
      <c r="P2425" s="3" t="s">
        <v>36</v>
      </c>
      <c r="Q2425" s="3"/>
      <c r="R2425" s="4">
        <v>45996</v>
      </c>
      <c r="S2425" s="3" t="s">
        <v>37</v>
      </c>
      <c r="T2425" s="3" t="s">
        <v>38</v>
      </c>
      <c r="U2425" s="3" t="s">
        <v>39</v>
      </c>
      <c r="V2425" s="3">
        <v>132.38999999999999</v>
      </c>
      <c r="W2425" s="3">
        <v>56.27</v>
      </c>
      <c r="X2425" s="3">
        <v>53.29</v>
      </c>
      <c r="Y2425" s="3">
        <v>22.83</v>
      </c>
    </row>
    <row r="2426" spans="1:25" ht="72.75" x14ac:dyDescent="0.25">
      <c r="A2426" s="3" t="s">
        <v>26</v>
      </c>
      <c r="B2426" s="3" t="s">
        <v>27</v>
      </c>
      <c r="C2426" s="3" t="s">
        <v>28</v>
      </c>
      <c r="D2426" s="3" t="s">
        <v>29</v>
      </c>
      <c r="E2426" s="3" t="s">
        <v>182</v>
      </c>
      <c r="F2426" s="3" t="s">
        <v>31</v>
      </c>
      <c r="G2426" s="3" t="s">
        <v>182</v>
      </c>
      <c r="H2426" s="3" t="s">
        <v>45</v>
      </c>
      <c r="I2426" s="3">
        <v>2025</v>
      </c>
      <c r="J2426" s="3" t="str">
        <f>CONCATENATE("54820153804")</f>
        <v>54820153804</v>
      </c>
      <c r="K2426" s="3" t="s">
        <v>33</v>
      </c>
      <c r="L2426" s="3"/>
      <c r="M2426" s="3" t="s">
        <v>131</v>
      </c>
      <c r="N2426" s="3" t="str">
        <f>CONCATENATE("CCCNMR55R56D541W")</f>
        <v>CCCNMR55R56D541W</v>
      </c>
      <c r="O2426" s="3" t="s">
        <v>2561</v>
      </c>
      <c r="P2426" s="3" t="s">
        <v>36</v>
      </c>
      <c r="Q2426" s="3"/>
      <c r="R2426" s="4">
        <v>45996</v>
      </c>
      <c r="S2426" s="3" t="s">
        <v>37</v>
      </c>
      <c r="T2426" s="3" t="s">
        <v>38</v>
      </c>
      <c r="U2426" s="3" t="s">
        <v>39</v>
      </c>
      <c r="V2426" s="3">
        <v>661.66</v>
      </c>
      <c r="W2426" s="3">
        <v>281.20999999999998</v>
      </c>
      <c r="X2426" s="3">
        <v>266.32</v>
      </c>
      <c r="Y2426" s="3">
        <v>114.13</v>
      </c>
    </row>
    <row r="2427" spans="1:25" ht="72.75" x14ac:dyDescent="0.25">
      <c r="A2427" s="3" t="s">
        <v>26</v>
      </c>
      <c r="B2427" s="3" t="s">
        <v>27</v>
      </c>
      <c r="C2427" s="3" t="s">
        <v>28</v>
      </c>
      <c r="D2427" s="3" t="s">
        <v>29</v>
      </c>
      <c r="E2427" s="3" t="s">
        <v>186</v>
      </c>
      <c r="F2427" s="3" t="s">
        <v>31</v>
      </c>
      <c r="G2427" s="3" t="s">
        <v>186</v>
      </c>
      <c r="H2427" s="3" t="s">
        <v>45</v>
      </c>
      <c r="I2427" s="3">
        <v>2025</v>
      </c>
      <c r="J2427" s="3" t="str">
        <f>CONCATENATE("54820082847")</f>
        <v>54820082847</v>
      </c>
      <c r="K2427" s="3" t="s">
        <v>33</v>
      </c>
      <c r="L2427" s="3"/>
      <c r="M2427" s="3" t="s">
        <v>131</v>
      </c>
      <c r="N2427" s="3" t="str">
        <f>CONCATENATE("MGNMRA80S22I459P")</f>
        <v>MGNMRA80S22I459P</v>
      </c>
      <c r="O2427" s="3" t="s">
        <v>2562</v>
      </c>
      <c r="P2427" s="3" t="s">
        <v>36</v>
      </c>
      <c r="Q2427" s="3"/>
      <c r="R2427" s="4">
        <v>45996</v>
      </c>
      <c r="S2427" s="3" t="s">
        <v>37</v>
      </c>
      <c r="T2427" s="3" t="s">
        <v>38</v>
      </c>
      <c r="U2427" s="3" t="s">
        <v>39</v>
      </c>
      <c r="V2427" s="3">
        <v>826.45</v>
      </c>
      <c r="W2427" s="3">
        <v>351.24</v>
      </c>
      <c r="X2427" s="3">
        <v>332.65</v>
      </c>
      <c r="Y2427" s="3">
        <v>142.56</v>
      </c>
    </row>
    <row r="2428" spans="1:25" ht="72.75" x14ac:dyDescent="0.25">
      <c r="A2428" s="3" t="s">
        <v>26</v>
      </c>
      <c r="B2428" s="3" t="s">
        <v>27</v>
      </c>
      <c r="C2428" s="3" t="s">
        <v>28</v>
      </c>
      <c r="D2428" s="3" t="s">
        <v>50</v>
      </c>
      <c r="E2428" s="3" t="s">
        <v>147</v>
      </c>
      <c r="F2428" s="3" t="s">
        <v>52</v>
      </c>
      <c r="G2428" s="3" t="s">
        <v>147</v>
      </c>
      <c r="H2428" s="3" t="s">
        <v>45</v>
      </c>
      <c r="I2428" s="3">
        <v>2025</v>
      </c>
      <c r="J2428" s="3" t="str">
        <f>CONCATENATE("54820161997")</f>
        <v>54820161997</v>
      </c>
      <c r="K2428" s="3" t="s">
        <v>33</v>
      </c>
      <c r="L2428" s="3"/>
      <c r="M2428" s="3" t="s">
        <v>131</v>
      </c>
      <c r="N2428" s="3" t="str">
        <f>CONCATENATE("VSTRND54B21D228A")</f>
        <v>VSTRND54B21D228A</v>
      </c>
      <c r="O2428" s="3" t="s">
        <v>2563</v>
      </c>
      <c r="P2428" s="3" t="s">
        <v>36</v>
      </c>
      <c r="Q2428" s="3"/>
      <c r="R2428" s="4">
        <v>45996</v>
      </c>
      <c r="S2428" s="3" t="s">
        <v>37</v>
      </c>
      <c r="T2428" s="3" t="s">
        <v>38</v>
      </c>
      <c r="U2428" s="3" t="s">
        <v>39</v>
      </c>
      <c r="V2428" s="3">
        <v>324.66000000000003</v>
      </c>
      <c r="W2428" s="3">
        <v>137.97999999999999</v>
      </c>
      <c r="X2428" s="3">
        <v>130.68</v>
      </c>
      <c r="Y2428" s="3">
        <v>56</v>
      </c>
    </row>
    <row r="2429" spans="1:25" ht="72.75" x14ac:dyDescent="0.25">
      <c r="A2429" s="3" t="s">
        <v>26</v>
      </c>
      <c r="B2429" s="3" t="s">
        <v>27</v>
      </c>
      <c r="C2429" s="3" t="s">
        <v>28</v>
      </c>
      <c r="D2429" s="3" t="s">
        <v>29</v>
      </c>
      <c r="E2429" s="3" t="s">
        <v>72</v>
      </c>
      <c r="F2429" s="3" t="s">
        <v>31</v>
      </c>
      <c r="G2429" s="3" t="s">
        <v>72</v>
      </c>
      <c r="H2429" s="3" t="s">
        <v>45</v>
      </c>
      <c r="I2429" s="3">
        <v>2025</v>
      </c>
      <c r="J2429" s="3" t="str">
        <f>CONCATENATE("54820025838")</f>
        <v>54820025838</v>
      </c>
      <c r="K2429" s="3" t="s">
        <v>33</v>
      </c>
      <c r="L2429" s="3"/>
      <c r="M2429" s="3" t="s">
        <v>131</v>
      </c>
      <c r="N2429" s="3" t="str">
        <f>CONCATENATE("BRZGRG51H23B352O")</f>
        <v>BRZGRG51H23B352O</v>
      </c>
      <c r="O2429" s="3" t="s">
        <v>2564</v>
      </c>
      <c r="P2429" s="3" t="s">
        <v>36</v>
      </c>
      <c r="Q2429" s="3"/>
      <c r="R2429" s="4">
        <v>45996</v>
      </c>
      <c r="S2429" s="3" t="s">
        <v>37</v>
      </c>
      <c r="T2429" s="3" t="s">
        <v>38</v>
      </c>
      <c r="U2429" s="3" t="s">
        <v>39</v>
      </c>
      <c r="V2429" s="3">
        <v>263.01</v>
      </c>
      <c r="W2429" s="3">
        <v>111.78</v>
      </c>
      <c r="X2429" s="3">
        <v>105.86</v>
      </c>
      <c r="Y2429" s="3">
        <v>45.37</v>
      </c>
    </row>
    <row r="2430" spans="1:25" ht="72.75" x14ac:dyDescent="0.25">
      <c r="A2430" s="3" t="s">
        <v>26</v>
      </c>
      <c r="B2430" s="3" t="s">
        <v>27</v>
      </c>
      <c r="C2430" s="3" t="s">
        <v>28</v>
      </c>
      <c r="D2430" s="3" t="s">
        <v>50</v>
      </c>
      <c r="E2430" s="3" t="s">
        <v>252</v>
      </c>
      <c r="F2430" s="3" t="s">
        <v>52</v>
      </c>
      <c r="G2430" s="3" t="s">
        <v>252</v>
      </c>
      <c r="H2430" s="3" t="s">
        <v>45</v>
      </c>
      <c r="I2430" s="3">
        <v>2025</v>
      </c>
      <c r="J2430" s="3" t="str">
        <f>CONCATENATE("54820267992")</f>
        <v>54820267992</v>
      </c>
      <c r="K2430" s="3" t="s">
        <v>33</v>
      </c>
      <c r="L2430" s="3"/>
      <c r="M2430" s="3" t="s">
        <v>131</v>
      </c>
      <c r="N2430" s="3" t="str">
        <f>CONCATENATE("GRMGCR47B12D749P")</f>
        <v>GRMGCR47B12D749P</v>
      </c>
      <c r="O2430" s="3" t="s">
        <v>2565</v>
      </c>
      <c r="P2430" s="3" t="s">
        <v>36</v>
      </c>
      <c r="Q2430" s="3"/>
      <c r="R2430" s="4">
        <v>45996</v>
      </c>
      <c r="S2430" s="3" t="s">
        <v>37</v>
      </c>
      <c r="T2430" s="3" t="s">
        <v>38</v>
      </c>
      <c r="U2430" s="3" t="s">
        <v>39</v>
      </c>
      <c r="V2430" s="3">
        <v>320.89999999999998</v>
      </c>
      <c r="W2430" s="3">
        <v>136.38</v>
      </c>
      <c r="X2430" s="3">
        <v>129.16</v>
      </c>
      <c r="Y2430" s="3">
        <v>55.36</v>
      </c>
    </row>
    <row r="2431" spans="1:25" ht="60.75" x14ac:dyDescent="0.25">
      <c r="A2431" s="3" t="s">
        <v>26</v>
      </c>
      <c r="B2431" s="3" t="s">
        <v>27</v>
      </c>
      <c r="C2431" s="3" t="s">
        <v>28</v>
      </c>
      <c r="D2431" s="3" t="s">
        <v>50</v>
      </c>
      <c r="E2431" s="3" t="s">
        <v>51</v>
      </c>
      <c r="F2431" s="3" t="s">
        <v>52</v>
      </c>
      <c r="G2431" s="3" t="s">
        <v>51</v>
      </c>
      <c r="H2431" s="3" t="s">
        <v>48</v>
      </c>
      <c r="I2431" s="3">
        <v>2025</v>
      </c>
      <c r="J2431" s="3" t="str">
        <f>CONCATENATE("54820211644")</f>
        <v>54820211644</v>
      </c>
      <c r="K2431" s="3" t="s">
        <v>33</v>
      </c>
      <c r="L2431" s="3"/>
      <c r="M2431" s="3" t="s">
        <v>131</v>
      </c>
      <c r="N2431" s="3" t="str">
        <f>CONCATENATE("SRDMRI73R47Z129F")</f>
        <v>SRDMRI73R47Z129F</v>
      </c>
      <c r="O2431" s="3" t="s">
        <v>2566</v>
      </c>
      <c r="P2431" s="3" t="s">
        <v>36</v>
      </c>
      <c r="Q2431" s="3"/>
      <c r="R2431" s="4">
        <v>45996</v>
      </c>
      <c r="S2431" s="3" t="s">
        <v>37</v>
      </c>
      <c r="T2431" s="3" t="s">
        <v>38</v>
      </c>
      <c r="U2431" s="3" t="s">
        <v>39</v>
      </c>
      <c r="V2431" s="3">
        <v>59.34</v>
      </c>
      <c r="W2431" s="3">
        <v>25.22</v>
      </c>
      <c r="X2431" s="3">
        <v>23.88</v>
      </c>
      <c r="Y2431" s="3">
        <v>10.24</v>
      </c>
    </row>
    <row r="2432" spans="1:25" ht="60.75" x14ac:dyDescent="0.25">
      <c r="A2432" s="3" t="s">
        <v>26</v>
      </c>
      <c r="B2432" s="3" t="s">
        <v>27</v>
      </c>
      <c r="C2432" s="3" t="s">
        <v>28</v>
      </c>
      <c r="D2432" s="3" t="s">
        <v>50</v>
      </c>
      <c r="E2432" s="3" t="s">
        <v>147</v>
      </c>
      <c r="F2432" s="3" t="s">
        <v>52</v>
      </c>
      <c r="G2432" s="3" t="s">
        <v>147</v>
      </c>
      <c r="H2432" s="3" t="s">
        <v>45</v>
      </c>
      <c r="I2432" s="3">
        <v>2025</v>
      </c>
      <c r="J2432" s="3" t="str">
        <f>CONCATENATE("54820189204")</f>
        <v>54820189204</v>
      </c>
      <c r="K2432" s="3" t="s">
        <v>33</v>
      </c>
      <c r="L2432" s="3"/>
      <c r="M2432" s="3" t="s">
        <v>131</v>
      </c>
      <c r="N2432" s="3" t="str">
        <f>CONCATENATE("BNCLRD60P05G514W")</f>
        <v>BNCLRD60P05G514W</v>
      </c>
      <c r="O2432" s="3" t="s">
        <v>2567</v>
      </c>
      <c r="P2432" s="3" t="s">
        <v>36</v>
      </c>
      <c r="Q2432" s="3"/>
      <c r="R2432" s="4">
        <v>45996</v>
      </c>
      <c r="S2432" s="3" t="s">
        <v>37</v>
      </c>
      <c r="T2432" s="3" t="s">
        <v>38</v>
      </c>
      <c r="U2432" s="3" t="s">
        <v>39</v>
      </c>
      <c r="V2432" s="3">
        <v>165.51</v>
      </c>
      <c r="W2432" s="3">
        <v>70.34</v>
      </c>
      <c r="X2432" s="3">
        <v>66.62</v>
      </c>
      <c r="Y2432" s="3">
        <v>28.55</v>
      </c>
    </row>
    <row r="2433" spans="1:25" ht="36.75" x14ac:dyDescent="0.25">
      <c r="A2433" s="3" t="s">
        <v>26</v>
      </c>
      <c r="B2433" s="3" t="s">
        <v>27</v>
      </c>
      <c r="C2433" s="3" t="s">
        <v>28</v>
      </c>
      <c r="D2433" s="3" t="s">
        <v>50</v>
      </c>
      <c r="E2433" s="3" t="s">
        <v>51</v>
      </c>
      <c r="F2433" s="3" t="s">
        <v>52</v>
      </c>
      <c r="G2433" s="3" t="s">
        <v>51</v>
      </c>
      <c r="H2433" s="3" t="s">
        <v>96</v>
      </c>
      <c r="I2433" s="3">
        <v>2025</v>
      </c>
      <c r="J2433" s="3" t="str">
        <f>CONCATENATE("54820192497")</f>
        <v>54820192497</v>
      </c>
      <c r="K2433" s="3" t="s">
        <v>33</v>
      </c>
      <c r="L2433" s="3"/>
      <c r="M2433" s="3" t="s">
        <v>131</v>
      </c>
      <c r="N2433" s="3" t="str">
        <f>CONCATENATE("01858460445")</f>
        <v>01858460445</v>
      </c>
      <c r="O2433" s="3" t="s">
        <v>2568</v>
      </c>
      <c r="P2433" s="3" t="s">
        <v>36</v>
      </c>
      <c r="Q2433" s="3"/>
      <c r="R2433" s="4">
        <v>45996</v>
      </c>
      <c r="S2433" s="3" t="s">
        <v>37</v>
      </c>
      <c r="T2433" s="3" t="s">
        <v>38</v>
      </c>
      <c r="U2433" s="3" t="s">
        <v>39</v>
      </c>
      <c r="V2433" s="3">
        <v>324.63</v>
      </c>
      <c r="W2433" s="3">
        <v>137.97</v>
      </c>
      <c r="X2433" s="3">
        <v>130.66</v>
      </c>
      <c r="Y2433" s="3">
        <v>56</v>
      </c>
    </row>
    <row r="2434" spans="1:25" ht="60.75" x14ac:dyDescent="0.25">
      <c r="A2434" s="3" t="s">
        <v>26</v>
      </c>
      <c r="B2434" s="3" t="s">
        <v>27</v>
      </c>
      <c r="C2434" s="3" t="s">
        <v>28</v>
      </c>
      <c r="D2434" s="3" t="s">
        <v>104</v>
      </c>
      <c r="E2434" s="3" t="s">
        <v>141</v>
      </c>
      <c r="F2434" s="3" t="s">
        <v>104</v>
      </c>
      <c r="G2434" s="3" t="s">
        <v>141</v>
      </c>
      <c r="H2434" s="3" t="s">
        <v>96</v>
      </c>
      <c r="I2434" s="3">
        <v>2025</v>
      </c>
      <c r="J2434" s="3" t="str">
        <f>CONCATENATE("54820277090")</f>
        <v>54820277090</v>
      </c>
      <c r="K2434" s="3" t="s">
        <v>33</v>
      </c>
      <c r="L2434" s="3"/>
      <c r="M2434" s="3" t="s">
        <v>131</v>
      </c>
      <c r="N2434" s="3" t="str">
        <f>CONCATENATE("LNRGNN47D13F570R")</f>
        <v>LNRGNN47D13F570R</v>
      </c>
      <c r="O2434" s="3" t="s">
        <v>2569</v>
      </c>
      <c r="P2434" s="3" t="s">
        <v>36</v>
      </c>
      <c r="Q2434" s="3"/>
      <c r="R2434" s="4">
        <v>45996</v>
      </c>
      <c r="S2434" s="3" t="s">
        <v>37</v>
      </c>
      <c r="T2434" s="3" t="s">
        <v>38</v>
      </c>
      <c r="U2434" s="3" t="s">
        <v>39</v>
      </c>
      <c r="V2434" s="3">
        <v>88.76</v>
      </c>
      <c r="W2434" s="3">
        <v>37.72</v>
      </c>
      <c r="X2434" s="3">
        <v>35.729999999999997</v>
      </c>
      <c r="Y2434" s="3">
        <v>15.31</v>
      </c>
    </row>
    <row r="2435" spans="1:25" ht="60.75" x14ac:dyDescent="0.25">
      <c r="A2435" s="3" t="s">
        <v>26</v>
      </c>
      <c r="B2435" s="3" t="s">
        <v>27</v>
      </c>
      <c r="C2435" s="3" t="s">
        <v>28</v>
      </c>
      <c r="D2435" s="3" t="s">
        <v>29</v>
      </c>
      <c r="E2435" s="3" t="s">
        <v>136</v>
      </c>
      <c r="F2435" s="3" t="s">
        <v>31</v>
      </c>
      <c r="G2435" s="3" t="s">
        <v>136</v>
      </c>
      <c r="H2435" s="3" t="s">
        <v>48</v>
      </c>
      <c r="I2435" s="3">
        <v>2025</v>
      </c>
      <c r="J2435" s="3" t="str">
        <f>CONCATENATE("54820232392")</f>
        <v>54820232392</v>
      </c>
      <c r="K2435" s="3" t="s">
        <v>33</v>
      </c>
      <c r="L2435" s="3"/>
      <c r="M2435" s="3" t="s">
        <v>131</v>
      </c>
      <c r="N2435" s="3" t="str">
        <f>CONCATENATE("ZPPLCU74E02I461F")</f>
        <v>ZPPLCU74E02I461F</v>
      </c>
      <c r="O2435" s="3" t="s">
        <v>2570</v>
      </c>
      <c r="P2435" s="3" t="s">
        <v>36</v>
      </c>
      <c r="Q2435" s="3"/>
      <c r="R2435" s="4">
        <v>45996</v>
      </c>
      <c r="S2435" s="3" t="s">
        <v>37</v>
      </c>
      <c r="T2435" s="3" t="s">
        <v>38</v>
      </c>
      <c r="U2435" s="3" t="s">
        <v>39</v>
      </c>
      <c r="V2435" s="3">
        <v>158.21</v>
      </c>
      <c r="W2435" s="3">
        <v>67.239999999999995</v>
      </c>
      <c r="X2435" s="3">
        <v>63.68</v>
      </c>
      <c r="Y2435" s="3">
        <v>27.29</v>
      </c>
    </row>
    <row r="2436" spans="1:25" ht="60.75" x14ac:dyDescent="0.25">
      <c r="A2436" s="3" t="s">
        <v>26</v>
      </c>
      <c r="B2436" s="3" t="s">
        <v>27</v>
      </c>
      <c r="C2436" s="3" t="s">
        <v>28</v>
      </c>
      <c r="D2436" s="3" t="s">
        <v>50</v>
      </c>
      <c r="E2436" s="3" t="s">
        <v>60</v>
      </c>
      <c r="F2436" s="3" t="s">
        <v>52</v>
      </c>
      <c r="G2436" s="3" t="s">
        <v>60</v>
      </c>
      <c r="H2436" s="3" t="s">
        <v>45</v>
      </c>
      <c r="I2436" s="3">
        <v>2025</v>
      </c>
      <c r="J2436" s="3" t="str">
        <f>CONCATENATE("54820213954")</f>
        <v>54820213954</v>
      </c>
      <c r="K2436" s="3" t="s">
        <v>33</v>
      </c>
      <c r="L2436" s="3"/>
      <c r="M2436" s="3" t="s">
        <v>131</v>
      </c>
      <c r="N2436" s="3" t="str">
        <f>CONCATENATE("PVNDTL60E65D808A")</f>
        <v>PVNDTL60E65D808A</v>
      </c>
      <c r="O2436" s="3" t="s">
        <v>2571</v>
      </c>
      <c r="P2436" s="3" t="s">
        <v>36</v>
      </c>
      <c r="Q2436" s="3"/>
      <c r="R2436" s="4">
        <v>45996</v>
      </c>
      <c r="S2436" s="3" t="s">
        <v>37</v>
      </c>
      <c r="T2436" s="3" t="s">
        <v>38</v>
      </c>
      <c r="U2436" s="3" t="s">
        <v>39</v>
      </c>
      <c r="V2436" s="3">
        <v>281.83</v>
      </c>
      <c r="W2436" s="3">
        <v>119.78</v>
      </c>
      <c r="X2436" s="3">
        <v>113.44</v>
      </c>
      <c r="Y2436" s="3">
        <v>48.61</v>
      </c>
    </row>
    <row r="2437" spans="1:25" ht="60.75" x14ac:dyDescent="0.25">
      <c r="A2437" s="3" t="s">
        <v>26</v>
      </c>
      <c r="B2437" s="3" t="s">
        <v>27</v>
      </c>
      <c r="C2437" s="3" t="s">
        <v>28</v>
      </c>
      <c r="D2437" s="3" t="s">
        <v>104</v>
      </c>
      <c r="E2437" s="3" t="s">
        <v>141</v>
      </c>
      <c r="F2437" s="3" t="s">
        <v>104</v>
      </c>
      <c r="G2437" s="3" t="s">
        <v>141</v>
      </c>
      <c r="H2437" s="3" t="s">
        <v>96</v>
      </c>
      <c r="I2437" s="3">
        <v>2025</v>
      </c>
      <c r="J2437" s="3" t="str">
        <f>CONCATENATE("54820319660")</f>
        <v>54820319660</v>
      </c>
      <c r="K2437" s="3" t="s">
        <v>33</v>
      </c>
      <c r="L2437" s="3"/>
      <c r="M2437" s="3" t="s">
        <v>131</v>
      </c>
      <c r="N2437" s="3" t="str">
        <f>CONCATENATE("BCCRNR84H11E783I")</f>
        <v>BCCRNR84H11E783I</v>
      </c>
      <c r="O2437" s="3" t="s">
        <v>2572</v>
      </c>
      <c r="P2437" s="3" t="s">
        <v>36</v>
      </c>
      <c r="Q2437" s="3"/>
      <c r="R2437" s="4">
        <v>45996</v>
      </c>
      <c r="S2437" s="3" t="s">
        <v>37</v>
      </c>
      <c r="T2437" s="3" t="s">
        <v>38</v>
      </c>
      <c r="U2437" s="3" t="s">
        <v>39</v>
      </c>
      <c r="V2437" s="3">
        <v>508.5</v>
      </c>
      <c r="W2437" s="3">
        <v>216.11</v>
      </c>
      <c r="X2437" s="3">
        <v>204.67</v>
      </c>
      <c r="Y2437" s="3">
        <v>87.72</v>
      </c>
    </row>
    <row r="2438" spans="1:25" ht="72.75" x14ac:dyDescent="0.25">
      <c r="A2438" s="3" t="s">
        <v>26</v>
      </c>
      <c r="B2438" s="3" t="s">
        <v>27</v>
      </c>
      <c r="C2438" s="3" t="s">
        <v>28</v>
      </c>
      <c r="D2438" s="3" t="s">
        <v>50</v>
      </c>
      <c r="E2438" s="3" t="s">
        <v>252</v>
      </c>
      <c r="F2438" s="3" t="s">
        <v>52</v>
      </c>
      <c r="G2438" s="3" t="s">
        <v>252</v>
      </c>
      <c r="H2438" s="3" t="s">
        <v>45</v>
      </c>
      <c r="I2438" s="3">
        <v>2025</v>
      </c>
      <c r="J2438" s="3" t="str">
        <f>CONCATENATE("54820213004")</f>
        <v>54820213004</v>
      </c>
      <c r="K2438" s="3" t="s">
        <v>33</v>
      </c>
      <c r="L2438" s="3"/>
      <c r="M2438" s="3" t="s">
        <v>131</v>
      </c>
      <c r="N2438" s="3" t="str">
        <f>CONCATENATE("SRFGZN61B17D749H")</f>
        <v>SRFGZN61B17D749H</v>
      </c>
      <c r="O2438" s="3" t="s">
        <v>2573</v>
      </c>
      <c r="P2438" s="3" t="s">
        <v>36</v>
      </c>
      <c r="Q2438" s="3"/>
      <c r="R2438" s="4">
        <v>45996</v>
      </c>
      <c r="S2438" s="3" t="s">
        <v>37</v>
      </c>
      <c r="T2438" s="3" t="s">
        <v>38</v>
      </c>
      <c r="U2438" s="3" t="s">
        <v>39</v>
      </c>
      <c r="V2438" s="3">
        <v>216.3</v>
      </c>
      <c r="W2438" s="3">
        <v>91.93</v>
      </c>
      <c r="X2438" s="3">
        <v>87.06</v>
      </c>
      <c r="Y2438" s="3">
        <v>37.31</v>
      </c>
    </row>
    <row r="2439" spans="1:25" ht="60.75" x14ac:dyDescent="0.25">
      <c r="A2439" s="3" t="s">
        <v>26</v>
      </c>
      <c r="B2439" s="3" t="s">
        <v>27</v>
      </c>
      <c r="C2439" s="3" t="s">
        <v>28</v>
      </c>
      <c r="D2439" s="3" t="s">
        <v>50</v>
      </c>
      <c r="E2439" s="3" t="s">
        <v>147</v>
      </c>
      <c r="F2439" s="3" t="s">
        <v>52</v>
      </c>
      <c r="G2439" s="3" t="s">
        <v>147</v>
      </c>
      <c r="H2439" s="3" t="s">
        <v>45</v>
      </c>
      <c r="I2439" s="3">
        <v>2025</v>
      </c>
      <c r="J2439" s="3" t="str">
        <f>CONCATENATE("54820176540")</f>
        <v>54820176540</v>
      </c>
      <c r="K2439" s="3" t="s">
        <v>33</v>
      </c>
      <c r="L2439" s="3"/>
      <c r="M2439" s="3" t="s">
        <v>131</v>
      </c>
      <c r="N2439" s="3" t="str">
        <f>CONCATENATE("RCNLNR90C64L500O")</f>
        <v>RCNLNR90C64L500O</v>
      </c>
      <c r="O2439" s="3" t="s">
        <v>2574</v>
      </c>
      <c r="P2439" s="3" t="s">
        <v>36</v>
      </c>
      <c r="Q2439" s="3"/>
      <c r="R2439" s="4">
        <v>45996</v>
      </c>
      <c r="S2439" s="3" t="s">
        <v>37</v>
      </c>
      <c r="T2439" s="3" t="s">
        <v>38</v>
      </c>
      <c r="U2439" s="3" t="s">
        <v>39</v>
      </c>
      <c r="V2439" s="3">
        <v>613.15</v>
      </c>
      <c r="W2439" s="3">
        <v>260.58999999999997</v>
      </c>
      <c r="X2439" s="3">
        <v>246.79</v>
      </c>
      <c r="Y2439" s="3">
        <v>105.77</v>
      </c>
    </row>
    <row r="2440" spans="1:25" ht="60.75" x14ac:dyDescent="0.25">
      <c r="A2440" s="3" t="s">
        <v>26</v>
      </c>
      <c r="B2440" s="3" t="s">
        <v>27</v>
      </c>
      <c r="C2440" s="3" t="s">
        <v>28</v>
      </c>
      <c r="D2440" s="3" t="s">
        <v>29</v>
      </c>
      <c r="E2440" s="3" t="s">
        <v>136</v>
      </c>
      <c r="F2440" s="3" t="s">
        <v>31</v>
      </c>
      <c r="G2440" s="3" t="s">
        <v>136</v>
      </c>
      <c r="H2440" s="3" t="s">
        <v>48</v>
      </c>
      <c r="I2440" s="3">
        <v>2025</v>
      </c>
      <c r="J2440" s="3" t="str">
        <f>CONCATENATE("54820180120")</f>
        <v>54820180120</v>
      </c>
      <c r="K2440" s="3" t="s">
        <v>33</v>
      </c>
      <c r="L2440" s="3"/>
      <c r="M2440" s="3" t="s">
        <v>131</v>
      </c>
      <c r="N2440" s="3" t="str">
        <f>CONCATENATE("STFSFN56M41G453A")</f>
        <v>STFSFN56M41G453A</v>
      </c>
      <c r="O2440" s="3" t="s">
        <v>2575</v>
      </c>
      <c r="P2440" s="3" t="s">
        <v>36</v>
      </c>
      <c r="Q2440" s="3"/>
      <c r="R2440" s="4">
        <v>45996</v>
      </c>
      <c r="S2440" s="3" t="s">
        <v>37</v>
      </c>
      <c r="T2440" s="3" t="s">
        <v>38</v>
      </c>
      <c r="U2440" s="3" t="s">
        <v>39</v>
      </c>
      <c r="V2440" s="3">
        <v>89.51</v>
      </c>
      <c r="W2440" s="3">
        <v>38.04</v>
      </c>
      <c r="X2440" s="3">
        <v>36.03</v>
      </c>
      <c r="Y2440" s="3">
        <v>15.44</v>
      </c>
    </row>
    <row r="2441" spans="1:25" ht="60.75" x14ac:dyDescent="0.25">
      <c r="A2441" s="3" t="s">
        <v>26</v>
      </c>
      <c r="B2441" s="3" t="s">
        <v>27</v>
      </c>
      <c r="C2441" s="3" t="s">
        <v>28</v>
      </c>
      <c r="D2441" s="3" t="s">
        <v>29</v>
      </c>
      <c r="E2441" s="3" t="s">
        <v>80</v>
      </c>
      <c r="F2441" s="3" t="s">
        <v>31</v>
      </c>
      <c r="G2441" s="3" t="s">
        <v>80</v>
      </c>
      <c r="H2441" s="3" t="s">
        <v>45</v>
      </c>
      <c r="I2441" s="3">
        <v>2025</v>
      </c>
      <c r="J2441" s="3" t="str">
        <f>CONCATENATE("54820173786")</f>
        <v>54820173786</v>
      </c>
      <c r="K2441" s="3" t="s">
        <v>33</v>
      </c>
      <c r="L2441" s="3"/>
      <c r="M2441" s="3" t="s">
        <v>131</v>
      </c>
      <c r="N2441" s="3" t="str">
        <f>CONCATENATE("BRGGPP58C12D791N")</f>
        <v>BRGGPP58C12D791N</v>
      </c>
      <c r="O2441" s="3" t="s">
        <v>2576</v>
      </c>
      <c r="P2441" s="3" t="s">
        <v>36</v>
      </c>
      <c r="Q2441" s="3"/>
      <c r="R2441" s="4">
        <v>45996</v>
      </c>
      <c r="S2441" s="3" t="s">
        <v>37</v>
      </c>
      <c r="T2441" s="3" t="s">
        <v>38</v>
      </c>
      <c r="U2441" s="3" t="s">
        <v>39</v>
      </c>
      <c r="V2441" s="3">
        <v>154.09</v>
      </c>
      <c r="W2441" s="3">
        <v>65.489999999999995</v>
      </c>
      <c r="X2441" s="3">
        <v>62.02</v>
      </c>
      <c r="Y2441" s="3">
        <v>26.58</v>
      </c>
    </row>
    <row r="2442" spans="1:25" ht="60.75" x14ac:dyDescent="0.25">
      <c r="A2442" s="3" t="s">
        <v>26</v>
      </c>
      <c r="B2442" s="3" t="s">
        <v>27</v>
      </c>
      <c r="C2442" s="3" t="s">
        <v>28</v>
      </c>
      <c r="D2442" s="3" t="s">
        <v>1850</v>
      </c>
      <c r="E2442" s="3" t="s">
        <v>2577</v>
      </c>
      <c r="F2442" s="3" t="s">
        <v>1852</v>
      </c>
      <c r="G2442" s="3" t="s">
        <v>2577</v>
      </c>
      <c r="H2442" s="3" t="s">
        <v>45</v>
      </c>
      <c r="I2442" s="3">
        <v>2025</v>
      </c>
      <c r="J2442" s="3" t="str">
        <f>CONCATENATE("54820265004")</f>
        <v>54820265004</v>
      </c>
      <c r="K2442" s="3" t="s">
        <v>33</v>
      </c>
      <c r="L2442" s="3"/>
      <c r="M2442" s="3" t="s">
        <v>131</v>
      </c>
      <c r="N2442" s="3" t="str">
        <f>CONCATENATE("BNZRLD64D02F478B")</f>
        <v>BNZRLD64D02F478B</v>
      </c>
      <c r="O2442" s="3" t="s">
        <v>2578</v>
      </c>
      <c r="P2442" s="3" t="s">
        <v>36</v>
      </c>
      <c r="Q2442" s="3"/>
      <c r="R2442" s="4">
        <v>45996</v>
      </c>
      <c r="S2442" s="3" t="s">
        <v>37</v>
      </c>
      <c r="T2442" s="3" t="s">
        <v>38</v>
      </c>
      <c r="U2442" s="3" t="s">
        <v>39</v>
      </c>
      <c r="V2442" s="3">
        <v>140.33000000000001</v>
      </c>
      <c r="W2442" s="3">
        <v>59.64</v>
      </c>
      <c r="X2442" s="3">
        <v>56.48</v>
      </c>
      <c r="Y2442" s="3">
        <v>24.21</v>
      </c>
    </row>
    <row r="2443" spans="1:25" ht="72.75" x14ac:dyDescent="0.25">
      <c r="A2443" s="3" t="s">
        <v>26</v>
      </c>
      <c r="B2443" s="3" t="s">
        <v>27</v>
      </c>
      <c r="C2443" s="3" t="s">
        <v>28</v>
      </c>
      <c r="D2443" s="3" t="s">
        <v>104</v>
      </c>
      <c r="E2443" s="3" t="s">
        <v>141</v>
      </c>
      <c r="F2443" s="3" t="s">
        <v>104</v>
      </c>
      <c r="G2443" s="3" t="s">
        <v>141</v>
      </c>
      <c r="H2443" s="3" t="s">
        <v>96</v>
      </c>
      <c r="I2443" s="3">
        <v>2025</v>
      </c>
      <c r="J2443" s="3" t="str">
        <f>CONCATENATE("54820277660")</f>
        <v>54820277660</v>
      </c>
      <c r="K2443" s="3" t="s">
        <v>33</v>
      </c>
      <c r="L2443" s="3"/>
      <c r="M2443" s="3" t="s">
        <v>131</v>
      </c>
      <c r="N2443" s="3" t="str">
        <f>CONCATENATE("FNADNC76A04A462B")</f>
        <v>FNADNC76A04A462B</v>
      </c>
      <c r="O2443" s="3" t="s">
        <v>2579</v>
      </c>
      <c r="P2443" s="3" t="s">
        <v>36</v>
      </c>
      <c r="Q2443" s="3"/>
      <c r="R2443" s="4">
        <v>45996</v>
      </c>
      <c r="S2443" s="3" t="s">
        <v>37</v>
      </c>
      <c r="T2443" s="3" t="s">
        <v>38</v>
      </c>
      <c r="U2443" s="3" t="s">
        <v>39</v>
      </c>
      <c r="V2443" s="3">
        <v>73.91</v>
      </c>
      <c r="W2443" s="3">
        <v>31.41</v>
      </c>
      <c r="X2443" s="3">
        <v>29.75</v>
      </c>
      <c r="Y2443" s="3">
        <v>12.75</v>
      </c>
    </row>
    <row r="2444" spans="1:25" ht="60.75" x14ac:dyDescent="0.25">
      <c r="A2444" s="3" t="s">
        <v>26</v>
      </c>
      <c r="B2444" s="3" t="s">
        <v>27</v>
      </c>
      <c r="C2444" s="3" t="s">
        <v>28</v>
      </c>
      <c r="D2444" s="3" t="s">
        <v>50</v>
      </c>
      <c r="E2444" s="3" t="s">
        <v>367</v>
      </c>
      <c r="F2444" s="3" t="s">
        <v>52</v>
      </c>
      <c r="G2444" s="3" t="s">
        <v>367</v>
      </c>
      <c r="H2444" s="3" t="s">
        <v>32</v>
      </c>
      <c r="I2444" s="3">
        <v>2025</v>
      </c>
      <c r="J2444" s="3" t="str">
        <f>CONCATENATE("54820202197")</f>
        <v>54820202197</v>
      </c>
      <c r="K2444" s="3" t="s">
        <v>33</v>
      </c>
      <c r="L2444" s="3"/>
      <c r="M2444" s="3" t="s">
        <v>131</v>
      </c>
      <c r="N2444" s="3" t="str">
        <f>CONCATENATE("MBRRNG74L12D653B")</f>
        <v>MBRRNG74L12D653B</v>
      </c>
      <c r="O2444" s="3" t="s">
        <v>2580</v>
      </c>
      <c r="P2444" s="3" t="s">
        <v>36</v>
      </c>
      <c r="Q2444" s="3"/>
      <c r="R2444" s="4">
        <v>45996</v>
      </c>
      <c r="S2444" s="3" t="s">
        <v>37</v>
      </c>
      <c r="T2444" s="3" t="s">
        <v>38</v>
      </c>
      <c r="U2444" s="3" t="s">
        <v>39</v>
      </c>
      <c r="V2444" s="3">
        <v>117.76</v>
      </c>
      <c r="W2444" s="3">
        <v>50.05</v>
      </c>
      <c r="X2444" s="3">
        <v>47.4</v>
      </c>
      <c r="Y2444" s="3">
        <v>20.309999999999999</v>
      </c>
    </row>
    <row r="2445" spans="1:25" ht="60.75" x14ac:dyDescent="0.25">
      <c r="A2445" s="3" t="s">
        <v>26</v>
      </c>
      <c r="B2445" s="3" t="s">
        <v>27</v>
      </c>
      <c r="C2445" s="3" t="s">
        <v>28</v>
      </c>
      <c r="D2445" s="3" t="s">
        <v>50</v>
      </c>
      <c r="E2445" s="3" t="s">
        <v>147</v>
      </c>
      <c r="F2445" s="3" t="s">
        <v>52</v>
      </c>
      <c r="G2445" s="3" t="s">
        <v>147</v>
      </c>
      <c r="H2445" s="3" t="s">
        <v>45</v>
      </c>
      <c r="I2445" s="3">
        <v>2025</v>
      </c>
      <c r="J2445" s="3" t="str">
        <f>CONCATENATE("54820193495")</f>
        <v>54820193495</v>
      </c>
      <c r="K2445" s="3" t="s">
        <v>33</v>
      </c>
      <c r="L2445" s="3"/>
      <c r="M2445" s="3" t="s">
        <v>131</v>
      </c>
      <c r="N2445" s="3" t="str">
        <f>CONCATENATE("BNCRTI49D57L500Z")</f>
        <v>BNCRTI49D57L500Z</v>
      </c>
      <c r="O2445" s="3" t="s">
        <v>2581</v>
      </c>
      <c r="P2445" s="3" t="s">
        <v>36</v>
      </c>
      <c r="Q2445" s="3"/>
      <c r="R2445" s="4">
        <v>45996</v>
      </c>
      <c r="S2445" s="3" t="s">
        <v>37</v>
      </c>
      <c r="T2445" s="3" t="s">
        <v>38</v>
      </c>
      <c r="U2445" s="3" t="s">
        <v>39</v>
      </c>
      <c r="V2445" s="3">
        <v>91.88</v>
      </c>
      <c r="W2445" s="3">
        <v>39.049999999999997</v>
      </c>
      <c r="X2445" s="3">
        <v>36.979999999999997</v>
      </c>
      <c r="Y2445" s="3">
        <v>15.85</v>
      </c>
    </row>
    <row r="2446" spans="1:25" ht="60.75" x14ac:dyDescent="0.25">
      <c r="A2446" s="3" t="s">
        <v>26</v>
      </c>
      <c r="B2446" s="3" t="s">
        <v>27</v>
      </c>
      <c r="C2446" s="3" t="s">
        <v>28</v>
      </c>
      <c r="D2446" s="3" t="s">
        <v>29</v>
      </c>
      <c r="E2446" s="3" t="s">
        <v>119</v>
      </c>
      <c r="F2446" s="3" t="s">
        <v>31</v>
      </c>
      <c r="G2446" s="3" t="s">
        <v>119</v>
      </c>
      <c r="H2446" s="3" t="s">
        <v>96</v>
      </c>
      <c r="I2446" s="3">
        <v>2025</v>
      </c>
      <c r="J2446" s="3" t="str">
        <f>CONCATENATE("54820185277")</f>
        <v>54820185277</v>
      </c>
      <c r="K2446" s="3" t="s">
        <v>33</v>
      </c>
      <c r="L2446" s="3"/>
      <c r="M2446" s="3" t="s">
        <v>131</v>
      </c>
      <c r="N2446" s="3" t="str">
        <f>CONCATENATE("SCRNRC46R01H588L")</f>
        <v>SCRNRC46R01H588L</v>
      </c>
      <c r="O2446" s="3" t="s">
        <v>2582</v>
      </c>
      <c r="P2446" s="3" t="s">
        <v>36</v>
      </c>
      <c r="Q2446" s="3"/>
      <c r="R2446" s="4">
        <v>45996</v>
      </c>
      <c r="S2446" s="3" t="s">
        <v>37</v>
      </c>
      <c r="T2446" s="3" t="s">
        <v>38</v>
      </c>
      <c r="U2446" s="3" t="s">
        <v>39</v>
      </c>
      <c r="V2446" s="3">
        <v>446.04</v>
      </c>
      <c r="W2446" s="3">
        <v>189.57</v>
      </c>
      <c r="X2446" s="3">
        <v>179.53</v>
      </c>
      <c r="Y2446" s="3">
        <v>76.94</v>
      </c>
    </row>
    <row r="2447" spans="1:25" ht="36.75" x14ac:dyDescent="0.25">
      <c r="A2447" s="3" t="s">
        <v>26</v>
      </c>
      <c r="B2447" s="3" t="s">
        <v>27</v>
      </c>
      <c r="C2447" s="3" t="s">
        <v>28</v>
      </c>
      <c r="D2447" s="3" t="s">
        <v>50</v>
      </c>
      <c r="E2447" s="3" t="s">
        <v>51</v>
      </c>
      <c r="F2447" s="3" t="s">
        <v>52</v>
      </c>
      <c r="G2447" s="3" t="s">
        <v>51</v>
      </c>
      <c r="H2447" s="3" t="s">
        <v>48</v>
      </c>
      <c r="I2447" s="3">
        <v>2025</v>
      </c>
      <c r="J2447" s="3" t="str">
        <f>CONCATENATE("54820181615")</f>
        <v>54820181615</v>
      </c>
      <c r="K2447" s="3" t="s">
        <v>33</v>
      </c>
      <c r="L2447" s="3"/>
      <c r="M2447" s="3" t="s">
        <v>131</v>
      </c>
      <c r="N2447" s="3" t="str">
        <f>CONCATENATE("01419970429")</f>
        <v>01419970429</v>
      </c>
      <c r="O2447" s="3" t="s">
        <v>2583</v>
      </c>
      <c r="P2447" s="3" t="s">
        <v>36</v>
      </c>
      <c r="Q2447" s="3"/>
      <c r="R2447" s="4">
        <v>45996</v>
      </c>
      <c r="S2447" s="3" t="s">
        <v>37</v>
      </c>
      <c r="T2447" s="3" t="s">
        <v>38</v>
      </c>
      <c r="U2447" s="3" t="s">
        <v>39</v>
      </c>
      <c r="V2447" s="5">
        <v>1057.8</v>
      </c>
      <c r="W2447" s="3">
        <v>449.57</v>
      </c>
      <c r="X2447" s="3">
        <v>425.76</v>
      </c>
      <c r="Y2447" s="3">
        <v>182.47</v>
      </c>
    </row>
    <row r="2448" spans="1:25" ht="72.75" x14ac:dyDescent="0.25">
      <c r="A2448" s="3" t="s">
        <v>26</v>
      </c>
      <c r="B2448" s="3" t="s">
        <v>27</v>
      </c>
      <c r="C2448" s="3" t="s">
        <v>28</v>
      </c>
      <c r="D2448" s="3" t="s">
        <v>29</v>
      </c>
      <c r="E2448" s="3" t="s">
        <v>47</v>
      </c>
      <c r="F2448" s="3" t="s">
        <v>31</v>
      </c>
      <c r="G2448" s="3" t="s">
        <v>47</v>
      </c>
      <c r="H2448" s="3" t="s">
        <v>48</v>
      </c>
      <c r="I2448" s="3">
        <v>2025</v>
      </c>
      <c r="J2448" s="3" t="str">
        <f>CONCATENATE("54820199161")</f>
        <v>54820199161</v>
      </c>
      <c r="K2448" s="3" t="s">
        <v>33</v>
      </c>
      <c r="L2448" s="3"/>
      <c r="M2448" s="3" t="s">
        <v>131</v>
      </c>
      <c r="N2448" s="3" t="str">
        <f>CONCATENATE("LTNKTA67H46B474V")</f>
        <v>LTNKTA67H46B474V</v>
      </c>
      <c r="O2448" s="3" t="s">
        <v>2584</v>
      </c>
      <c r="P2448" s="3" t="s">
        <v>36</v>
      </c>
      <c r="Q2448" s="3"/>
      <c r="R2448" s="4">
        <v>45996</v>
      </c>
      <c r="S2448" s="3" t="s">
        <v>37</v>
      </c>
      <c r="T2448" s="3" t="s">
        <v>38</v>
      </c>
      <c r="U2448" s="3" t="s">
        <v>39</v>
      </c>
      <c r="V2448" s="3">
        <v>113.66</v>
      </c>
      <c r="W2448" s="3">
        <v>48.31</v>
      </c>
      <c r="X2448" s="3">
        <v>45.75</v>
      </c>
      <c r="Y2448" s="3">
        <v>19.600000000000001</v>
      </c>
    </row>
    <row r="2449" spans="1:25" ht="60.75" x14ac:dyDescent="0.25">
      <c r="A2449" s="3" t="s">
        <v>26</v>
      </c>
      <c r="B2449" s="3" t="s">
        <v>27</v>
      </c>
      <c r="C2449" s="3" t="s">
        <v>28</v>
      </c>
      <c r="D2449" s="3" t="s">
        <v>50</v>
      </c>
      <c r="E2449" s="3" t="s">
        <v>147</v>
      </c>
      <c r="F2449" s="3" t="s">
        <v>52</v>
      </c>
      <c r="G2449" s="3" t="s">
        <v>147</v>
      </c>
      <c r="H2449" s="3" t="s">
        <v>45</v>
      </c>
      <c r="I2449" s="3">
        <v>2025</v>
      </c>
      <c r="J2449" s="3" t="str">
        <f>CONCATENATE("54820185228")</f>
        <v>54820185228</v>
      </c>
      <c r="K2449" s="3" t="s">
        <v>33</v>
      </c>
      <c r="L2449" s="3"/>
      <c r="M2449" s="3" t="s">
        <v>131</v>
      </c>
      <c r="N2449" s="3" t="str">
        <f>CONCATENATE("FDDGLN65T11A895S")</f>
        <v>FDDGLN65T11A895S</v>
      </c>
      <c r="O2449" s="3" t="s">
        <v>2585</v>
      </c>
      <c r="P2449" s="3" t="s">
        <v>36</v>
      </c>
      <c r="Q2449" s="3"/>
      <c r="R2449" s="4">
        <v>45996</v>
      </c>
      <c r="S2449" s="3" t="s">
        <v>37</v>
      </c>
      <c r="T2449" s="3" t="s">
        <v>38</v>
      </c>
      <c r="U2449" s="3" t="s">
        <v>39</v>
      </c>
      <c r="V2449" s="3">
        <v>160.43</v>
      </c>
      <c r="W2449" s="3">
        <v>68.180000000000007</v>
      </c>
      <c r="X2449" s="3">
        <v>64.569999999999993</v>
      </c>
      <c r="Y2449" s="3">
        <v>27.68</v>
      </c>
    </row>
    <row r="2450" spans="1:25" ht="60.75" x14ac:dyDescent="0.25">
      <c r="A2450" s="3" t="s">
        <v>26</v>
      </c>
      <c r="B2450" s="3" t="s">
        <v>27</v>
      </c>
      <c r="C2450" s="3" t="s">
        <v>28</v>
      </c>
      <c r="D2450" s="3" t="s">
        <v>91</v>
      </c>
      <c r="E2450" s="3" t="s">
        <v>522</v>
      </c>
      <c r="F2450" s="3" t="s">
        <v>93</v>
      </c>
      <c r="G2450" s="3" t="s">
        <v>522</v>
      </c>
      <c r="H2450" s="3" t="s">
        <v>32</v>
      </c>
      <c r="I2450" s="3">
        <v>2025</v>
      </c>
      <c r="J2450" s="3" t="str">
        <f>CONCATENATE("54820194725")</f>
        <v>54820194725</v>
      </c>
      <c r="K2450" s="3" t="s">
        <v>33</v>
      </c>
      <c r="L2450" s="3"/>
      <c r="M2450" s="3" t="s">
        <v>131</v>
      </c>
      <c r="N2450" s="3" t="str">
        <f>CONCATENATE("GRMFNC71S53H501J")</f>
        <v>GRMFNC71S53H501J</v>
      </c>
      <c r="O2450" s="3" t="s">
        <v>2586</v>
      </c>
      <c r="P2450" s="3" t="s">
        <v>36</v>
      </c>
      <c r="Q2450" s="3"/>
      <c r="R2450" s="4">
        <v>45996</v>
      </c>
      <c r="S2450" s="3" t="s">
        <v>37</v>
      </c>
      <c r="T2450" s="3" t="s">
        <v>38</v>
      </c>
      <c r="U2450" s="3" t="s">
        <v>39</v>
      </c>
      <c r="V2450" s="5">
        <v>1265.6199999999999</v>
      </c>
      <c r="W2450" s="3">
        <v>537.89</v>
      </c>
      <c r="X2450" s="3">
        <v>509.41</v>
      </c>
      <c r="Y2450" s="3">
        <v>218.32</v>
      </c>
    </row>
    <row r="2451" spans="1:25" ht="60.75" x14ac:dyDescent="0.25">
      <c r="A2451" s="3" t="s">
        <v>26</v>
      </c>
      <c r="B2451" s="3" t="s">
        <v>27</v>
      </c>
      <c r="C2451" s="3" t="s">
        <v>28</v>
      </c>
      <c r="D2451" s="3" t="s">
        <v>104</v>
      </c>
      <c r="E2451" s="3" t="s">
        <v>141</v>
      </c>
      <c r="F2451" s="3" t="s">
        <v>104</v>
      </c>
      <c r="G2451" s="3" t="s">
        <v>141</v>
      </c>
      <c r="H2451" s="3" t="s">
        <v>96</v>
      </c>
      <c r="I2451" s="3">
        <v>2025</v>
      </c>
      <c r="J2451" s="3" t="str">
        <f>CONCATENATE("54820277686")</f>
        <v>54820277686</v>
      </c>
      <c r="K2451" s="3" t="s">
        <v>33</v>
      </c>
      <c r="L2451" s="3"/>
      <c r="M2451" s="3" t="s">
        <v>131</v>
      </c>
      <c r="N2451" s="3" t="str">
        <f>CONCATENATE("FRSFNC46P05A252L")</f>
        <v>FRSFNC46P05A252L</v>
      </c>
      <c r="O2451" s="3" t="s">
        <v>2587</v>
      </c>
      <c r="P2451" s="3" t="s">
        <v>36</v>
      </c>
      <c r="Q2451" s="3"/>
      <c r="R2451" s="4">
        <v>45996</v>
      </c>
      <c r="S2451" s="3" t="s">
        <v>37</v>
      </c>
      <c r="T2451" s="3" t="s">
        <v>38</v>
      </c>
      <c r="U2451" s="3" t="s">
        <v>39</v>
      </c>
      <c r="V2451" s="3">
        <v>233</v>
      </c>
      <c r="W2451" s="3">
        <v>99.03</v>
      </c>
      <c r="X2451" s="3">
        <v>93.78</v>
      </c>
      <c r="Y2451" s="3">
        <v>40.19</v>
      </c>
    </row>
    <row r="2452" spans="1:25" ht="60.75" x14ac:dyDescent="0.25">
      <c r="A2452" s="3" t="s">
        <v>26</v>
      </c>
      <c r="B2452" s="3" t="s">
        <v>27</v>
      </c>
      <c r="C2452" s="3" t="s">
        <v>28</v>
      </c>
      <c r="D2452" s="3" t="s">
        <v>50</v>
      </c>
      <c r="E2452" s="3" t="s">
        <v>147</v>
      </c>
      <c r="F2452" s="3" t="s">
        <v>52</v>
      </c>
      <c r="G2452" s="3" t="s">
        <v>147</v>
      </c>
      <c r="H2452" s="3" t="s">
        <v>45</v>
      </c>
      <c r="I2452" s="3">
        <v>2025</v>
      </c>
      <c r="J2452" s="3" t="str">
        <f>CONCATENATE("54820195763")</f>
        <v>54820195763</v>
      </c>
      <c r="K2452" s="3" t="s">
        <v>33</v>
      </c>
      <c r="L2452" s="3"/>
      <c r="M2452" s="3" t="s">
        <v>131</v>
      </c>
      <c r="N2452" s="3" t="str">
        <f>CONCATENATE("FCRDNC51H14L500K")</f>
        <v>FCRDNC51H14L500K</v>
      </c>
      <c r="O2452" s="3" t="s">
        <v>2588</v>
      </c>
      <c r="P2452" s="3" t="s">
        <v>36</v>
      </c>
      <c r="Q2452" s="3"/>
      <c r="R2452" s="4">
        <v>45996</v>
      </c>
      <c r="S2452" s="3" t="s">
        <v>37</v>
      </c>
      <c r="T2452" s="3" t="s">
        <v>38</v>
      </c>
      <c r="U2452" s="3" t="s">
        <v>39</v>
      </c>
      <c r="V2452" s="3">
        <v>181.87</v>
      </c>
      <c r="W2452" s="3">
        <v>77.290000000000006</v>
      </c>
      <c r="X2452" s="3">
        <v>73.2</v>
      </c>
      <c r="Y2452" s="3">
        <v>31.38</v>
      </c>
    </row>
    <row r="2453" spans="1:25" ht="60.75" x14ac:dyDescent="0.25">
      <c r="A2453" s="3" t="s">
        <v>26</v>
      </c>
      <c r="B2453" s="3" t="s">
        <v>27</v>
      </c>
      <c r="C2453" s="3" t="s">
        <v>28</v>
      </c>
      <c r="D2453" s="3" t="s">
        <v>50</v>
      </c>
      <c r="E2453" s="3" t="s">
        <v>60</v>
      </c>
      <c r="F2453" s="3" t="s">
        <v>52</v>
      </c>
      <c r="G2453" s="3" t="s">
        <v>60</v>
      </c>
      <c r="H2453" s="3" t="s">
        <v>45</v>
      </c>
      <c r="I2453" s="3">
        <v>2025</v>
      </c>
      <c r="J2453" s="3" t="str">
        <f>CONCATENATE("54820233010")</f>
        <v>54820233010</v>
      </c>
      <c r="K2453" s="3" t="s">
        <v>33</v>
      </c>
      <c r="L2453" s="3"/>
      <c r="M2453" s="3" t="s">
        <v>131</v>
      </c>
      <c r="N2453" s="3" t="str">
        <f>CONCATENATE("PLNMLE44M20B352C")</f>
        <v>PLNMLE44M20B352C</v>
      </c>
      <c r="O2453" s="3" t="s">
        <v>2589</v>
      </c>
      <c r="P2453" s="3" t="s">
        <v>36</v>
      </c>
      <c r="Q2453" s="3"/>
      <c r="R2453" s="4">
        <v>45996</v>
      </c>
      <c r="S2453" s="3" t="s">
        <v>37</v>
      </c>
      <c r="T2453" s="3" t="s">
        <v>38</v>
      </c>
      <c r="U2453" s="3" t="s">
        <v>39</v>
      </c>
      <c r="V2453" s="3">
        <v>307.01</v>
      </c>
      <c r="W2453" s="3">
        <v>130.47999999999999</v>
      </c>
      <c r="X2453" s="3">
        <v>123.57</v>
      </c>
      <c r="Y2453" s="3">
        <v>52.96</v>
      </c>
    </row>
    <row r="2454" spans="1:25" ht="72.75" x14ac:dyDescent="0.25">
      <c r="A2454" s="3" t="s">
        <v>26</v>
      </c>
      <c r="B2454" s="3" t="s">
        <v>27</v>
      </c>
      <c r="C2454" s="3" t="s">
        <v>28</v>
      </c>
      <c r="D2454" s="3" t="s">
        <v>50</v>
      </c>
      <c r="E2454" s="3" t="s">
        <v>252</v>
      </c>
      <c r="F2454" s="3" t="s">
        <v>52</v>
      </c>
      <c r="G2454" s="3" t="s">
        <v>252</v>
      </c>
      <c r="H2454" s="3" t="s">
        <v>45</v>
      </c>
      <c r="I2454" s="3">
        <v>2025</v>
      </c>
      <c r="J2454" s="3" t="str">
        <f>CONCATENATE("54820209853")</f>
        <v>54820209853</v>
      </c>
      <c r="K2454" s="3" t="s">
        <v>33</v>
      </c>
      <c r="L2454" s="3"/>
      <c r="M2454" s="3" t="s">
        <v>131</v>
      </c>
      <c r="N2454" s="3" t="str">
        <f>CONCATENATE("MNTMRC72R25G453G")</f>
        <v>MNTMRC72R25G453G</v>
      </c>
      <c r="O2454" s="3" t="s">
        <v>2590</v>
      </c>
      <c r="P2454" s="3" t="s">
        <v>36</v>
      </c>
      <c r="Q2454" s="3"/>
      <c r="R2454" s="4">
        <v>45996</v>
      </c>
      <c r="S2454" s="3" t="s">
        <v>37</v>
      </c>
      <c r="T2454" s="3" t="s">
        <v>38</v>
      </c>
      <c r="U2454" s="3" t="s">
        <v>39</v>
      </c>
      <c r="V2454" s="3">
        <v>54.36</v>
      </c>
      <c r="W2454" s="3">
        <v>23.1</v>
      </c>
      <c r="X2454" s="3">
        <v>21.88</v>
      </c>
      <c r="Y2454" s="3">
        <v>9.3800000000000008</v>
      </c>
    </row>
    <row r="2455" spans="1:25" ht="60.75" x14ac:dyDescent="0.25">
      <c r="A2455" s="3" t="s">
        <v>26</v>
      </c>
      <c r="B2455" s="3" t="s">
        <v>27</v>
      </c>
      <c r="C2455" s="3" t="s">
        <v>28</v>
      </c>
      <c r="D2455" s="3" t="s">
        <v>50</v>
      </c>
      <c r="E2455" s="3" t="s">
        <v>60</v>
      </c>
      <c r="F2455" s="3" t="s">
        <v>52</v>
      </c>
      <c r="G2455" s="3" t="s">
        <v>60</v>
      </c>
      <c r="H2455" s="3" t="s">
        <v>45</v>
      </c>
      <c r="I2455" s="3">
        <v>2025</v>
      </c>
      <c r="J2455" s="3" t="str">
        <f>CONCATENATE("54820172457")</f>
        <v>54820172457</v>
      </c>
      <c r="K2455" s="3" t="s">
        <v>33</v>
      </c>
      <c r="L2455" s="3"/>
      <c r="M2455" s="3" t="s">
        <v>131</v>
      </c>
      <c r="N2455" s="3" t="str">
        <f>CONCATENATE("TRSGNN64P22G453I")</f>
        <v>TRSGNN64P22G453I</v>
      </c>
      <c r="O2455" s="3" t="s">
        <v>2591</v>
      </c>
      <c r="P2455" s="3" t="s">
        <v>36</v>
      </c>
      <c r="Q2455" s="3"/>
      <c r="R2455" s="4">
        <v>45996</v>
      </c>
      <c r="S2455" s="3" t="s">
        <v>37</v>
      </c>
      <c r="T2455" s="3" t="s">
        <v>38</v>
      </c>
      <c r="U2455" s="3" t="s">
        <v>39</v>
      </c>
      <c r="V2455" s="3">
        <v>602.1</v>
      </c>
      <c r="W2455" s="3">
        <v>255.89</v>
      </c>
      <c r="X2455" s="3">
        <v>242.35</v>
      </c>
      <c r="Y2455" s="3">
        <v>103.86</v>
      </c>
    </row>
    <row r="2456" spans="1:25" ht="60.75" x14ac:dyDescent="0.25">
      <c r="A2456" s="3" t="s">
        <v>26</v>
      </c>
      <c r="B2456" s="3" t="s">
        <v>27</v>
      </c>
      <c r="C2456" s="3" t="s">
        <v>28</v>
      </c>
      <c r="D2456" s="3" t="s">
        <v>29</v>
      </c>
      <c r="E2456" s="3" t="s">
        <v>47</v>
      </c>
      <c r="F2456" s="3" t="s">
        <v>31</v>
      </c>
      <c r="G2456" s="3" t="s">
        <v>47</v>
      </c>
      <c r="H2456" s="3" t="s">
        <v>48</v>
      </c>
      <c r="I2456" s="3">
        <v>2025</v>
      </c>
      <c r="J2456" s="3" t="str">
        <f>CONCATENATE("54820211255")</f>
        <v>54820211255</v>
      </c>
      <c r="K2456" s="3" t="s">
        <v>33</v>
      </c>
      <c r="L2456" s="3"/>
      <c r="M2456" s="3" t="s">
        <v>131</v>
      </c>
      <c r="N2456" s="3" t="str">
        <f>CONCATENATE("PTTRRT63E13D451C")</f>
        <v>PTTRRT63E13D451C</v>
      </c>
      <c r="O2456" s="3" t="s">
        <v>2592</v>
      </c>
      <c r="P2456" s="3" t="s">
        <v>36</v>
      </c>
      <c r="Q2456" s="3"/>
      <c r="R2456" s="4">
        <v>45996</v>
      </c>
      <c r="S2456" s="3" t="s">
        <v>37</v>
      </c>
      <c r="T2456" s="3" t="s">
        <v>38</v>
      </c>
      <c r="U2456" s="3" t="s">
        <v>39</v>
      </c>
      <c r="V2456" s="3">
        <v>123.17</v>
      </c>
      <c r="W2456" s="3">
        <v>52.35</v>
      </c>
      <c r="X2456" s="3">
        <v>49.58</v>
      </c>
      <c r="Y2456" s="3">
        <v>21.24</v>
      </c>
    </row>
    <row r="2457" spans="1:25" ht="60.75" x14ac:dyDescent="0.25">
      <c r="A2457" s="3" t="s">
        <v>26</v>
      </c>
      <c r="B2457" s="3" t="s">
        <v>27</v>
      </c>
      <c r="C2457" s="3" t="s">
        <v>28</v>
      </c>
      <c r="D2457" s="3" t="s">
        <v>29</v>
      </c>
      <c r="E2457" s="3" t="s">
        <v>182</v>
      </c>
      <c r="F2457" s="3" t="s">
        <v>31</v>
      </c>
      <c r="G2457" s="3" t="s">
        <v>182</v>
      </c>
      <c r="H2457" s="3" t="s">
        <v>45</v>
      </c>
      <c r="I2457" s="3">
        <v>2025</v>
      </c>
      <c r="J2457" s="3" t="str">
        <f>CONCATENATE("54820264585")</f>
        <v>54820264585</v>
      </c>
      <c r="K2457" s="3" t="s">
        <v>33</v>
      </c>
      <c r="L2457" s="3"/>
      <c r="M2457" s="3" t="s">
        <v>131</v>
      </c>
      <c r="N2457" s="3" t="str">
        <f>CONCATENATE("NDRSMN77L67L498X")</f>
        <v>NDRSMN77L67L498X</v>
      </c>
      <c r="O2457" s="3" t="s">
        <v>2593</v>
      </c>
      <c r="P2457" s="3" t="s">
        <v>36</v>
      </c>
      <c r="Q2457" s="3"/>
      <c r="R2457" s="4">
        <v>45996</v>
      </c>
      <c r="S2457" s="3" t="s">
        <v>37</v>
      </c>
      <c r="T2457" s="3" t="s">
        <v>38</v>
      </c>
      <c r="U2457" s="3" t="s">
        <v>39</v>
      </c>
      <c r="V2457" s="3">
        <v>110.09</v>
      </c>
      <c r="W2457" s="3">
        <v>46.79</v>
      </c>
      <c r="X2457" s="3">
        <v>44.31</v>
      </c>
      <c r="Y2457" s="3">
        <v>18.989999999999998</v>
      </c>
    </row>
    <row r="2458" spans="1:25" ht="72.75" x14ac:dyDescent="0.25">
      <c r="A2458" s="3" t="s">
        <v>26</v>
      </c>
      <c r="B2458" s="3" t="s">
        <v>27</v>
      </c>
      <c r="C2458" s="3" t="s">
        <v>28</v>
      </c>
      <c r="D2458" s="3" t="s">
        <v>29</v>
      </c>
      <c r="E2458" s="3" t="s">
        <v>56</v>
      </c>
      <c r="F2458" s="3" t="s">
        <v>31</v>
      </c>
      <c r="G2458" s="3" t="s">
        <v>56</v>
      </c>
      <c r="H2458" s="3" t="s">
        <v>32</v>
      </c>
      <c r="I2458" s="3">
        <v>2025</v>
      </c>
      <c r="J2458" s="3" t="str">
        <f>CONCATENATE("54820368162")</f>
        <v>54820368162</v>
      </c>
      <c r="K2458" s="3" t="s">
        <v>33</v>
      </c>
      <c r="L2458" s="3"/>
      <c r="M2458" s="3" t="s">
        <v>131</v>
      </c>
      <c r="N2458" s="3" t="str">
        <f>CONCATENATE("PLMTNN63D27G637N")</f>
        <v>PLMTNN63D27G637N</v>
      </c>
      <c r="O2458" s="3" t="s">
        <v>189</v>
      </c>
      <c r="P2458" s="3" t="s">
        <v>36</v>
      </c>
      <c r="Q2458" s="3"/>
      <c r="R2458" s="4">
        <v>45996</v>
      </c>
      <c r="S2458" s="3" t="s">
        <v>37</v>
      </c>
      <c r="T2458" s="3" t="s">
        <v>38</v>
      </c>
      <c r="U2458" s="3" t="s">
        <v>39</v>
      </c>
      <c r="V2458" s="5">
        <v>1300.44</v>
      </c>
      <c r="W2458" s="3">
        <v>552.69000000000005</v>
      </c>
      <c r="X2458" s="3">
        <v>523.42999999999995</v>
      </c>
      <c r="Y2458" s="3">
        <v>224.32</v>
      </c>
    </row>
    <row r="2459" spans="1:25" ht="60.75" x14ac:dyDescent="0.25">
      <c r="A2459" s="3" t="s">
        <v>26</v>
      </c>
      <c r="B2459" s="3" t="s">
        <v>27</v>
      </c>
      <c r="C2459" s="3" t="s">
        <v>28</v>
      </c>
      <c r="D2459" s="3" t="s">
        <v>104</v>
      </c>
      <c r="E2459" s="3" t="s">
        <v>141</v>
      </c>
      <c r="F2459" s="3" t="s">
        <v>104</v>
      </c>
      <c r="G2459" s="3" t="s">
        <v>141</v>
      </c>
      <c r="H2459" s="3" t="s">
        <v>96</v>
      </c>
      <c r="I2459" s="3">
        <v>2025</v>
      </c>
      <c r="J2459" s="3" t="str">
        <f>CONCATENATE("54820277405")</f>
        <v>54820277405</v>
      </c>
      <c r="K2459" s="3" t="s">
        <v>33</v>
      </c>
      <c r="L2459" s="3"/>
      <c r="M2459" s="3" t="s">
        <v>131</v>
      </c>
      <c r="N2459" s="3" t="str">
        <f>CONCATENATE("LCNLCU00E10A462Q")</f>
        <v>LCNLCU00E10A462Q</v>
      </c>
      <c r="O2459" s="3" t="s">
        <v>2594</v>
      </c>
      <c r="P2459" s="3" t="s">
        <v>36</v>
      </c>
      <c r="Q2459" s="3"/>
      <c r="R2459" s="4">
        <v>45996</v>
      </c>
      <c r="S2459" s="3" t="s">
        <v>37</v>
      </c>
      <c r="T2459" s="3" t="s">
        <v>38</v>
      </c>
      <c r="U2459" s="3" t="s">
        <v>39</v>
      </c>
      <c r="V2459" s="3">
        <v>102.79</v>
      </c>
      <c r="W2459" s="3">
        <v>43.69</v>
      </c>
      <c r="X2459" s="3">
        <v>41.37</v>
      </c>
      <c r="Y2459" s="3">
        <v>17.73</v>
      </c>
    </row>
    <row r="2460" spans="1:25" ht="60.75" x14ac:dyDescent="0.25">
      <c r="A2460" s="3" t="s">
        <v>26</v>
      </c>
      <c r="B2460" s="3" t="s">
        <v>27</v>
      </c>
      <c r="C2460" s="3" t="s">
        <v>28</v>
      </c>
      <c r="D2460" s="3" t="s">
        <v>104</v>
      </c>
      <c r="E2460" s="3" t="s">
        <v>141</v>
      </c>
      <c r="F2460" s="3" t="s">
        <v>104</v>
      </c>
      <c r="G2460" s="3" t="s">
        <v>141</v>
      </c>
      <c r="H2460" s="3" t="s">
        <v>96</v>
      </c>
      <c r="I2460" s="3">
        <v>2025</v>
      </c>
      <c r="J2460" s="3" t="str">
        <f>CONCATENATE("54820277553")</f>
        <v>54820277553</v>
      </c>
      <c r="K2460" s="3" t="s">
        <v>33</v>
      </c>
      <c r="L2460" s="3"/>
      <c r="M2460" s="3" t="s">
        <v>131</v>
      </c>
      <c r="N2460" s="3" t="str">
        <f>CONCATENATE("CSRNCN64S23A044M")</f>
        <v>CSRNCN64S23A044M</v>
      </c>
      <c r="O2460" s="3" t="s">
        <v>2595</v>
      </c>
      <c r="P2460" s="3" t="s">
        <v>36</v>
      </c>
      <c r="Q2460" s="3"/>
      <c r="R2460" s="4">
        <v>45996</v>
      </c>
      <c r="S2460" s="3" t="s">
        <v>37</v>
      </c>
      <c r="T2460" s="3" t="s">
        <v>38</v>
      </c>
      <c r="U2460" s="3" t="s">
        <v>39</v>
      </c>
      <c r="V2460" s="3">
        <v>153.09</v>
      </c>
      <c r="W2460" s="3">
        <v>65.06</v>
      </c>
      <c r="X2460" s="3">
        <v>61.62</v>
      </c>
      <c r="Y2460" s="3">
        <v>26.41</v>
      </c>
    </row>
    <row r="2461" spans="1:25" ht="72.75" x14ac:dyDescent="0.25">
      <c r="A2461" s="3" t="s">
        <v>26</v>
      </c>
      <c r="B2461" s="3" t="s">
        <v>27</v>
      </c>
      <c r="C2461" s="3" t="s">
        <v>28</v>
      </c>
      <c r="D2461" s="3" t="s">
        <v>29</v>
      </c>
      <c r="E2461" s="3" t="s">
        <v>136</v>
      </c>
      <c r="F2461" s="3" t="s">
        <v>31</v>
      </c>
      <c r="G2461" s="3" t="s">
        <v>136</v>
      </c>
      <c r="H2461" s="3" t="s">
        <v>48</v>
      </c>
      <c r="I2461" s="3">
        <v>2025</v>
      </c>
      <c r="J2461" s="3" t="str">
        <f>CONCATENATE("54820233481")</f>
        <v>54820233481</v>
      </c>
      <c r="K2461" s="3" t="s">
        <v>33</v>
      </c>
      <c r="L2461" s="3"/>
      <c r="M2461" s="3" t="s">
        <v>131</v>
      </c>
      <c r="N2461" s="3" t="str">
        <f>CONCATENATE("MRNLSN96E13D488S")</f>
        <v>MRNLSN96E13D488S</v>
      </c>
      <c r="O2461" s="3" t="s">
        <v>2596</v>
      </c>
      <c r="P2461" s="3" t="s">
        <v>36</v>
      </c>
      <c r="Q2461" s="3"/>
      <c r="R2461" s="4">
        <v>45996</v>
      </c>
      <c r="S2461" s="3" t="s">
        <v>37</v>
      </c>
      <c r="T2461" s="3" t="s">
        <v>38</v>
      </c>
      <c r="U2461" s="3" t="s">
        <v>39</v>
      </c>
      <c r="V2461" s="3">
        <v>310.92</v>
      </c>
      <c r="W2461" s="3">
        <v>132.13999999999999</v>
      </c>
      <c r="X2461" s="3">
        <v>125.15</v>
      </c>
      <c r="Y2461" s="3">
        <v>53.63</v>
      </c>
    </row>
    <row r="2462" spans="1:25" ht="72.75" x14ac:dyDescent="0.25">
      <c r="A2462" s="3" t="s">
        <v>26</v>
      </c>
      <c r="B2462" s="3" t="s">
        <v>27</v>
      </c>
      <c r="C2462" s="3" t="s">
        <v>28</v>
      </c>
      <c r="D2462" s="3" t="s">
        <v>29</v>
      </c>
      <c r="E2462" s="3" t="s">
        <v>80</v>
      </c>
      <c r="F2462" s="3" t="s">
        <v>31</v>
      </c>
      <c r="G2462" s="3" t="s">
        <v>80</v>
      </c>
      <c r="H2462" s="3" t="s">
        <v>45</v>
      </c>
      <c r="I2462" s="3">
        <v>2025</v>
      </c>
      <c r="J2462" s="3" t="str">
        <f>CONCATENATE("54820278239")</f>
        <v>54820278239</v>
      </c>
      <c r="K2462" s="3" t="s">
        <v>33</v>
      </c>
      <c r="L2462" s="3"/>
      <c r="M2462" s="3" t="s">
        <v>131</v>
      </c>
      <c r="N2462" s="3" t="str">
        <f>CONCATENATE("RUIGPP70M07G147U")</f>
        <v>RUIGPP70M07G147U</v>
      </c>
      <c r="O2462" s="3" t="s">
        <v>2597</v>
      </c>
      <c r="P2462" s="3" t="s">
        <v>36</v>
      </c>
      <c r="Q2462" s="3"/>
      <c r="R2462" s="4">
        <v>45996</v>
      </c>
      <c r="S2462" s="3" t="s">
        <v>37</v>
      </c>
      <c r="T2462" s="3" t="s">
        <v>38</v>
      </c>
      <c r="U2462" s="3" t="s">
        <v>39</v>
      </c>
      <c r="V2462" s="3">
        <v>222.56</v>
      </c>
      <c r="W2462" s="3">
        <v>94.59</v>
      </c>
      <c r="X2462" s="3">
        <v>89.58</v>
      </c>
      <c r="Y2462" s="3">
        <v>38.39</v>
      </c>
    </row>
    <row r="2463" spans="1:25" ht="60.75" x14ac:dyDescent="0.25">
      <c r="A2463" s="3" t="s">
        <v>26</v>
      </c>
      <c r="B2463" s="3" t="s">
        <v>27</v>
      </c>
      <c r="C2463" s="3" t="s">
        <v>28</v>
      </c>
      <c r="D2463" s="3" t="s">
        <v>29</v>
      </c>
      <c r="E2463" s="3" t="s">
        <v>47</v>
      </c>
      <c r="F2463" s="3" t="s">
        <v>31</v>
      </c>
      <c r="G2463" s="3" t="s">
        <v>47</v>
      </c>
      <c r="H2463" s="3" t="s">
        <v>48</v>
      </c>
      <c r="I2463" s="3">
        <v>2025</v>
      </c>
      <c r="J2463" s="3" t="str">
        <f>CONCATENATE("54820365960")</f>
        <v>54820365960</v>
      </c>
      <c r="K2463" s="3" t="s">
        <v>33</v>
      </c>
      <c r="L2463" s="3"/>
      <c r="M2463" s="3" t="s">
        <v>131</v>
      </c>
      <c r="N2463" s="3" t="str">
        <f>CONCATENATE("RVRDAI47E44D451A")</f>
        <v>RVRDAI47E44D451A</v>
      </c>
      <c r="O2463" s="3" t="s">
        <v>2598</v>
      </c>
      <c r="P2463" s="3" t="s">
        <v>36</v>
      </c>
      <c r="Q2463" s="3"/>
      <c r="R2463" s="4">
        <v>45996</v>
      </c>
      <c r="S2463" s="3" t="s">
        <v>37</v>
      </c>
      <c r="T2463" s="3" t="s">
        <v>38</v>
      </c>
      <c r="U2463" s="3" t="s">
        <v>39</v>
      </c>
      <c r="V2463" s="3">
        <v>499.73</v>
      </c>
      <c r="W2463" s="3">
        <v>212.39</v>
      </c>
      <c r="X2463" s="3">
        <v>201.14</v>
      </c>
      <c r="Y2463" s="3">
        <v>86.2</v>
      </c>
    </row>
    <row r="2464" spans="1:25" ht="36.75" x14ac:dyDescent="0.25">
      <c r="A2464" s="3" t="s">
        <v>26</v>
      </c>
      <c r="B2464" s="3" t="s">
        <v>27</v>
      </c>
      <c r="C2464" s="3" t="s">
        <v>28</v>
      </c>
      <c r="D2464" s="3" t="s">
        <v>29</v>
      </c>
      <c r="E2464" s="3" t="s">
        <v>182</v>
      </c>
      <c r="F2464" s="3" t="s">
        <v>31</v>
      </c>
      <c r="G2464" s="3" t="s">
        <v>182</v>
      </c>
      <c r="H2464" s="3" t="s">
        <v>45</v>
      </c>
      <c r="I2464" s="3">
        <v>2025</v>
      </c>
      <c r="J2464" s="3" t="str">
        <f>CONCATENATE("54820271804")</f>
        <v>54820271804</v>
      </c>
      <c r="K2464" s="3" t="s">
        <v>33</v>
      </c>
      <c r="L2464" s="3"/>
      <c r="M2464" s="3" t="s">
        <v>131</v>
      </c>
      <c r="N2464" s="3" t="str">
        <f>CONCATENATE("01213280413")</f>
        <v>01213280413</v>
      </c>
      <c r="O2464" s="3" t="s">
        <v>2599</v>
      </c>
      <c r="P2464" s="3" t="s">
        <v>36</v>
      </c>
      <c r="Q2464" s="3"/>
      <c r="R2464" s="4">
        <v>45996</v>
      </c>
      <c r="S2464" s="3" t="s">
        <v>37</v>
      </c>
      <c r="T2464" s="3" t="s">
        <v>38</v>
      </c>
      <c r="U2464" s="3" t="s">
        <v>39</v>
      </c>
      <c r="V2464" s="5">
        <v>1032.29</v>
      </c>
      <c r="W2464" s="3">
        <v>438.72</v>
      </c>
      <c r="X2464" s="3">
        <v>415.5</v>
      </c>
      <c r="Y2464" s="3">
        <v>178.07</v>
      </c>
    </row>
    <row r="2465" spans="1:25" ht="60.75" x14ac:dyDescent="0.25">
      <c r="A2465" s="3" t="s">
        <v>26</v>
      </c>
      <c r="B2465" s="3" t="s">
        <v>27</v>
      </c>
      <c r="C2465" s="3" t="s">
        <v>28</v>
      </c>
      <c r="D2465" s="3" t="s">
        <v>29</v>
      </c>
      <c r="E2465" s="3" t="s">
        <v>208</v>
      </c>
      <c r="F2465" s="3" t="s">
        <v>31</v>
      </c>
      <c r="G2465" s="3" t="s">
        <v>208</v>
      </c>
      <c r="H2465" s="3" t="s">
        <v>45</v>
      </c>
      <c r="I2465" s="3">
        <v>2025</v>
      </c>
      <c r="J2465" s="3" t="str">
        <f>CONCATENATE("54820299029")</f>
        <v>54820299029</v>
      </c>
      <c r="K2465" s="3" t="s">
        <v>33</v>
      </c>
      <c r="L2465" s="3"/>
      <c r="M2465" s="3" t="s">
        <v>131</v>
      </c>
      <c r="N2465" s="3" t="str">
        <f>CONCATENATE("FRNDGI71M14L498O")</f>
        <v>FRNDGI71M14L498O</v>
      </c>
      <c r="O2465" s="3" t="s">
        <v>2600</v>
      </c>
      <c r="P2465" s="3" t="s">
        <v>36</v>
      </c>
      <c r="Q2465" s="3"/>
      <c r="R2465" s="4">
        <v>45996</v>
      </c>
      <c r="S2465" s="3" t="s">
        <v>37</v>
      </c>
      <c r="T2465" s="3" t="s">
        <v>38</v>
      </c>
      <c r="U2465" s="3" t="s">
        <v>39</v>
      </c>
      <c r="V2465" s="5">
        <v>1317.07</v>
      </c>
      <c r="W2465" s="3">
        <v>559.75</v>
      </c>
      <c r="X2465" s="3">
        <v>530.12</v>
      </c>
      <c r="Y2465" s="3">
        <v>227.2</v>
      </c>
    </row>
    <row r="2466" spans="1:25" ht="72.75" x14ac:dyDescent="0.25">
      <c r="A2466" s="3" t="s">
        <v>26</v>
      </c>
      <c r="B2466" s="3" t="s">
        <v>27</v>
      </c>
      <c r="C2466" s="3" t="s">
        <v>28</v>
      </c>
      <c r="D2466" s="3" t="s">
        <v>29</v>
      </c>
      <c r="E2466" s="3" t="s">
        <v>47</v>
      </c>
      <c r="F2466" s="3" t="s">
        <v>31</v>
      </c>
      <c r="G2466" s="3" t="s">
        <v>47</v>
      </c>
      <c r="H2466" s="3" t="s">
        <v>48</v>
      </c>
      <c r="I2466" s="3">
        <v>2025</v>
      </c>
      <c r="J2466" s="3" t="str">
        <f>CONCATENATE("54820217419")</f>
        <v>54820217419</v>
      </c>
      <c r="K2466" s="3" t="s">
        <v>33</v>
      </c>
      <c r="L2466" s="3"/>
      <c r="M2466" s="3" t="s">
        <v>131</v>
      </c>
      <c r="N2466" s="3" t="str">
        <f>CONCATENATE("TSSDNL93B12D451V")</f>
        <v>TSSDNL93B12D451V</v>
      </c>
      <c r="O2466" s="3" t="s">
        <v>2601</v>
      </c>
      <c r="P2466" s="3" t="s">
        <v>36</v>
      </c>
      <c r="Q2466" s="3"/>
      <c r="R2466" s="4">
        <v>45996</v>
      </c>
      <c r="S2466" s="3" t="s">
        <v>37</v>
      </c>
      <c r="T2466" s="3" t="s">
        <v>38</v>
      </c>
      <c r="U2466" s="3" t="s">
        <v>39</v>
      </c>
      <c r="V2466" s="3">
        <v>108.14</v>
      </c>
      <c r="W2466" s="3">
        <v>45.96</v>
      </c>
      <c r="X2466" s="3">
        <v>43.53</v>
      </c>
      <c r="Y2466" s="3">
        <v>18.649999999999999</v>
      </c>
    </row>
    <row r="2467" spans="1:25" ht="60.75" x14ac:dyDescent="0.25">
      <c r="A2467" s="3" t="s">
        <v>26</v>
      </c>
      <c r="B2467" s="3" t="s">
        <v>27</v>
      </c>
      <c r="C2467" s="3" t="s">
        <v>28</v>
      </c>
      <c r="D2467" s="3" t="s">
        <v>50</v>
      </c>
      <c r="E2467" s="3" t="s">
        <v>252</v>
      </c>
      <c r="F2467" s="3" t="s">
        <v>52</v>
      </c>
      <c r="G2467" s="3" t="s">
        <v>252</v>
      </c>
      <c r="H2467" s="3" t="s">
        <v>45</v>
      </c>
      <c r="I2467" s="3">
        <v>2025</v>
      </c>
      <c r="J2467" s="3" t="str">
        <f>CONCATENATE("54820209705")</f>
        <v>54820209705</v>
      </c>
      <c r="K2467" s="3" t="s">
        <v>33</v>
      </c>
      <c r="L2467" s="3"/>
      <c r="M2467" s="3" t="s">
        <v>131</v>
      </c>
      <c r="N2467" s="3" t="str">
        <f>CONCATENATE("FLVCLF45H01G453Z")</f>
        <v>FLVCLF45H01G453Z</v>
      </c>
      <c r="O2467" s="3" t="s">
        <v>2602</v>
      </c>
      <c r="P2467" s="3" t="s">
        <v>36</v>
      </c>
      <c r="Q2467" s="3"/>
      <c r="R2467" s="4">
        <v>45996</v>
      </c>
      <c r="S2467" s="3" t="s">
        <v>37</v>
      </c>
      <c r="T2467" s="3" t="s">
        <v>38</v>
      </c>
      <c r="U2467" s="3" t="s">
        <v>39</v>
      </c>
      <c r="V2467" s="3">
        <v>835.19</v>
      </c>
      <c r="W2467" s="3">
        <v>354.96</v>
      </c>
      <c r="X2467" s="3">
        <v>336.16</v>
      </c>
      <c r="Y2467" s="3">
        <v>144.07</v>
      </c>
    </row>
    <row r="2468" spans="1:25" ht="60.75" x14ac:dyDescent="0.25">
      <c r="A2468" s="3" t="s">
        <v>26</v>
      </c>
      <c r="B2468" s="3" t="s">
        <v>27</v>
      </c>
      <c r="C2468" s="3" t="s">
        <v>28</v>
      </c>
      <c r="D2468" s="3" t="s">
        <v>50</v>
      </c>
      <c r="E2468" s="3" t="s">
        <v>147</v>
      </c>
      <c r="F2468" s="3" t="s">
        <v>52</v>
      </c>
      <c r="G2468" s="3" t="s">
        <v>147</v>
      </c>
      <c r="H2468" s="3" t="s">
        <v>45</v>
      </c>
      <c r="I2468" s="3">
        <v>2025</v>
      </c>
      <c r="J2468" s="3" t="str">
        <f>CONCATENATE("54820085675")</f>
        <v>54820085675</v>
      </c>
      <c r="K2468" s="3" t="s">
        <v>33</v>
      </c>
      <c r="L2468" s="3"/>
      <c r="M2468" s="3" t="s">
        <v>131</v>
      </c>
      <c r="N2468" s="3" t="str">
        <f>CONCATENATE("PNNDNC50M18I921N")</f>
        <v>PNNDNC50M18I921N</v>
      </c>
      <c r="O2468" s="3" t="s">
        <v>2603</v>
      </c>
      <c r="P2468" s="3" t="s">
        <v>36</v>
      </c>
      <c r="Q2468" s="3"/>
      <c r="R2468" s="4">
        <v>45996</v>
      </c>
      <c r="S2468" s="3" t="s">
        <v>37</v>
      </c>
      <c r="T2468" s="3" t="s">
        <v>38</v>
      </c>
      <c r="U2468" s="3" t="s">
        <v>39</v>
      </c>
      <c r="V2468" s="3">
        <v>182.53</v>
      </c>
      <c r="W2468" s="3">
        <v>77.58</v>
      </c>
      <c r="X2468" s="3">
        <v>73.47</v>
      </c>
      <c r="Y2468" s="3">
        <v>31.48</v>
      </c>
    </row>
    <row r="2469" spans="1:25" ht="60.75" x14ac:dyDescent="0.25">
      <c r="A2469" s="3" t="s">
        <v>26</v>
      </c>
      <c r="B2469" s="3" t="s">
        <v>27</v>
      </c>
      <c r="C2469" s="3" t="s">
        <v>28</v>
      </c>
      <c r="D2469" s="3" t="s">
        <v>29</v>
      </c>
      <c r="E2469" s="3" t="s">
        <v>56</v>
      </c>
      <c r="F2469" s="3" t="s">
        <v>31</v>
      </c>
      <c r="G2469" s="3" t="s">
        <v>56</v>
      </c>
      <c r="H2469" s="3" t="s">
        <v>32</v>
      </c>
      <c r="I2469" s="3">
        <v>2025</v>
      </c>
      <c r="J2469" s="3" t="str">
        <f>CONCATENATE("54820091640")</f>
        <v>54820091640</v>
      </c>
      <c r="K2469" s="3" t="s">
        <v>33</v>
      </c>
      <c r="L2469" s="3"/>
      <c r="M2469" s="3" t="s">
        <v>131</v>
      </c>
      <c r="N2469" s="3" t="str">
        <f>CONCATENATE("LCHMRA73A27B474F")</f>
        <v>LCHMRA73A27B474F</v>
      </c>
      <c r="O2469" s="3" t="s">
        <v>2604</v>
      </c>
      <c r="P2469" s="3" t="s">
        <v>36</v>
      </c>
      <c r="Q2469" s="3"/>
      <c r="R2469" s="4">
        <v>45996</v>
      </c>
      <c r="S2469" s="3" t="s">
        <v>37</v>
      </c>
      <c r="T2469" s="3" t="s">
        <v>38</v>
      </c>
      <c r="U2469" s="3" t="s">
        <v>39</v>
      </c>
      <c r="V2469" s="3">
        <v>93.86</v>
      </c>
      <c r="W2469" s="3">
        <v>39.89</v>
      </c>
      <c r="X2469" s="3">
        <v>37.78</v>
      </c>
      <c r="Y2469" s="3">
        <v>16.190000000000001</v>
      </c>
    </row>
    <row r="2470" spans="1:25" ht="72.75" x14ac:dyDescent="0.25">
      <c r="A2470" s="3" t="s">
        <v>26</v>
      </c>
      <c r="B2470" s="3" t="s">
        <v>27</v>
      </c>
      <c r="C2470" s="3" t="s">
        <v>28</v>
      </c>
      <c r="D2470" s="3" t="s">
        <v>29</v>
      </c>
      <c r="E2470" s="3" t="s">
        <v>56</v>
      </c>
      <c r="F2470" s="3" t="s">
        <v>31</v>
      </c>
      <c r="G2470" s="3" t="s">
        <v>56</v>
      </c>
      <c r="H2470" s="3" t="s">
        <v>32</v>
      </c>
      <c r="I2470" s="3">
        <v>2025</v>
      </c>
      <c r="J2470" s="3" t="str">
        <f>CONCATENATE("54820091756")</f>
        <v>54820091756</v>
      </c>
      <c r="K2470" s="3" t="s">
        <v>33</v>
      </c>
      <c r="L2470" s="3"/>
      <c r="M2470" s="3" t="s">
        <v>131</v>
      </c>
      <c r="N2470" s="3" t="str">
        <f>CONCATENATE("MRCSFN96B29D451V")</f>
        <v>MRCSFN96B29D451V</v>
      </c>
      <c r="O2470" s="3" t="s">
        <v>2605</v>
      </c>
      <c r="P2470" s="3" t="s">
        <v>36</v>
      </c>
      <c r="Q2470" s="3"/>
      <c r="R2470" s="4">
        <v>45996</v>
      </c>
      <c r="S2470" s="3" t="s">
        <v>37</v>
      </c>
      <c r="T2470" s="3" t="s">
        <v>38</v>
      </c>
      <c r="U2470" s="3" t="s">
        <v>39</v>
      </c>
      <c r="V2470" s="3">
        <v>276.97000000000003</v>
      </c>
      <c r="W2470" s="3">
        <v>117.71</v>
      </c>
      <c r="X2470" s="3">
        <v>111.48</v>
      </c>
      <c r="Y2470" s="3">
        <v>47.78</v>
      </c>
    </row>
    <row r="2471" spans="1:25" ht="60.75" x14ac:dyDescent="0.25">
      <c r="A2471" s="3" t="s">
        <v>26</v>
      </c>
      <c r="B2471" s="3" t="s">
        <v>27</v>
      </c>
      <c r="C2471" s="3" t="s">
        <v>28</v>
      </c>
      <c r="D2471" s="3" t="s">
        <v>29</v>
      </c>
      <c r="E2471" s="3" t="s">
        <v>72</v>
      </c>
      <c r="F2471" s="3" t="s">
        <v>31</v>
      </c>
      <c r="G2471" s="3" t="s">
        <v>72</v>
      </c>
      <c r="H2471" s="3" t="s">
        <v>45</v>
      </c>
      <c r="I2471" s="3">
        <v>2025</v>
      </c>
      <c r="J2471" s="3" t="str">
        <f>CONCATENATE("54820108246")</f>
        <v>54820108246</v>
      </c>
      <c r="K2471" s="3" t="s">
        <v>33</v>
      </c>
      <c r="L2471" s="3"/>
      <c r="M2471" s="3" t="s">
        <v>131</v>
      </c>
      <c r="N2471" s="3" t="str">
        <f>CONCATENATE("BTTBRN43E24B636R")</f>
        <v>BTTBRN43E24B636R</v>
      </c>
      <c r="O2471" s="3" t="s">
        <v>2606</v>
      </c>
      <c r="P2471" s="3" t="s">
        <v>36</v>
      </c>
      <c r="Q2471" s="3"/>
      <c r="R2471" s="4">
        <v>45996</v>
      </c>
      <c r="S2471" s="3" t="s">
        <v>37</v>
      </c>
      <c r="T2471" s="3" t="s">
        <v>38</v>
      </c>
      <c r="U2471" s="3" t="s">
        <v>39</v>
      </c>
      <c r="V2471" s="3">
        <v>90.99</v>
      </c>
      <c r="W2471" s="3">
        <v>38.67</v>
      </c>
      <c r="X2471" s="3">
        <v>36.619999999999997</v>
      </c>
      <c r="Y2471" s="3">
        <v>15.7</v>
      </c>
    </row>
    <row r="2472" spans="1:25" ht="36.75" x14ac:dyDescent="0.25">
      <c r="A2472" s="3" t="s">
        <v>26</v>
      </c>
      <c r="B2472" s="3" t="s">
        <v>27</v>
      </c>
      <c r="C2472" s="3" t="s">
        <v>28</v>
      </c>
      <c r="D2472" s="3" t="s">
        <v>683</v>
      </c>
      <c r="E2472" s="3" t="s">
        <v>684</v>
      </c>
      <c r="F2472" s="3" t="s">
        <v>685</v>
      </c>
      <c r="G2472" s="3" t="s">
        <v>684</v>
      </c>
      <c r="H2472" s="3" t="s">
        <v>45</v>
      </c>
      <c r="I2472" s="3">
        <v>2025</v>
      </c>
      <c r="J2472" s="3" t="str">
        <f>CONCATENATE("54820054234")</f>
        <v>54820054234</v>
      </c>
      <c r="K2472" s="3" t="s">
        <v>33</v>
      </c>
      <c r="L2472" s="3"/>
      <c r="M2472" s="3" t="s">
        <v>131</v>
      </c>
      <c r="N2472" s="3" t="str">
        <f>CONCATENATE("02233160510")</f>
        <v>02233160510</v>
      </c>
      <c r="O2472" s="3" t="s">
        <v>2607</v>
      </c>
      <c r="P2472" s="3" t="s">
        <v>36</v>
      </c>
      <c r="Q2472" s="3"/>
      <c r="R2472" s="4">
        <v>45996</v>
      </c>
      <c r="S2472" s="3" t="s">
        <v>37</v>
      </c>
      <c r="T2472" s="3" t="s">
        <v>38</v>
      </c>
      <c r="U2472" s="3" t="s">
        <v>39</v>
      </c>
      <c r="V2472" s="3">
        <v>118.19</v>
      </c>
      <c r="W2472" s="3">
        <v>50.23</v>
      </c>
      <c r="X2472" s="3">
        <v>47.57</v>
      </c>
      <c r="Y2472" s="3">
        <v>20.39</v>
      </c>
    </row>
    <row r="2473" spans="1:25" ht="60.75" x14ac:dyDescent="0.25">
      <c r="A2473" s="3" t="s">
        <v>26</v>
      </c>
      <c r="B2473" s="3" t="s">
        <v>27</v>
      </c>
      <c r="C2473" s="3" t="s">
        <v>28</v>
      </c>
      <c r="D2473" s="3" t="s">
        <v>29</v>
      </c>
      <c r="E2473" s="3" t="s">
        <v>101</v>
      </c>
      <c r="F2473" s="3" t="s">
        <v>31</v>
      </c>
      <c r="G2473" s="3" t="s">
        <v>101</v>
      </c>
      <c r="H2473" s="3" t="s">
        <v>32</v>
      </c>
      <c r="I2473" s="3">
        <v>2025</v>
      </c>
      <c r="J2473" s="3" t="str">
        <f>CONCATENATE("54820089073")</f>
        <v>54820089073</v>
      </c>
      <c r="K2473" s="3" t="s">
        <v>33</v>
      </c>
      <c r="L2473" s="3"/>
      <c r="M2473" s="3" t="s">
        <v>131</v>
      </c>
      <c r="N2473" s="3" t="str">
        <f>CONCATENATE("RDLDNC39T19B398Y")</f>
        <v>RDLDNC39T19B398Y</v>
      </c>
      <c r="O2473" s="3" t="s">
        <v>2608</v>
      </c>
      <c r="P2473" s="3" t="s">
        <v>36</v>
      </c>
      <c r="Q2473" s="3"/>
      <c r="R2473" s="4">
        <v>45996</v>
      </c>
      <c r="S2473" s="3" t="s">
        <v>37</v>
      </c>
      <c r="T2473" s="3" t="s">
        <v>38</v>
      </c>
      <c r="U2473" s="3" t="s">
        <v>39</v>
      </c>
      <c r="V2473" s="3">
        <v>199.59</v>
      </c>
      <c r="W2473" s="3">
        <v>84.83</v>
      </c>
      <c r="X2473" s="3">
        <v>80.33</v>
      </c>
      <c r="Y2473" s="3">
        <v>34.43</v>
      </c>
    </row>
    <row r="2474" spans="1:25" ht="60.75" x14ac:dyDescent="0.25">
      <c r="A2474" s="3" t="s">
        <v>26</v>
      </c>
      <c r="B2474" s="3" t="s">
        <v>27</v>
      </c>
      <c r="C2474" s="3" t="s">
        <v>28</v>
      </c>
      <c r="D2474" s="3" t="s">
        <v>50</v>
      </c>
      <c r="E2474" s="3" t="s">
        <v>173</v>
      </c>
      <c r="F2474" s="3" t="s">
        <v>52</v>
      </c>
      <c r="G2474" s="3" t="s">
        <v>173</v>
      </c>
      <c r="H2474" s="3" t="s">
        <v>45</v>
      </c>
      <c r="I2474" s="3">
        <v>2025</v>
      </c>
      <c r="J2474" s="3" t="str">
        <f>CONCATENATE("54820033840")</f>
        <v>54820033840</v>
      </c>
      <c r="K2474" s="3" t="s">
        <v>33</v>
      </c>
      <c r="L2474" s="3"/>
      <c r="M2474" s="3" t="s">
        <v>131</v>
      </c>
      <c r="N2474" s="3" t="str">
        <f>CONCATENATE("BLLRNT67C31I459O")</f>
        <v>BLLRNT67C31I459O</v>
      </c>
      <c r="O2474" s="3" t="s">
        <v>2609</v>
      </c>
      <c r="P2474" s="3" t="s">
        <v>36</v>
      </c>
      <c r="Q2474" s="3"/>
      <c r="R2474" s="4">
        <v>45996</v>
      </c>
      <c r="S2474" s="3" t="s">
        <v>37</v>
      </c>
      <c r="T2474" s="3" t="s">
        <v>38</v>
      </c>
      <c r="U2474" s="3" t="s">
        <v>39</v>
      </c>
      <c r="V2474" s="3">
        <v>128.08000000000001</v>
      </c>
      <c r="W2474" s="3">
        <v>54.43</v>
      </c>
      <c r="X2474" s="3">
        <v>51.55</v>
      </c>
      <c r="Y2474" s="3">
        <v>22.1</v>
      </c>
    </row>
    <row r="2475" spans="1:25" ht="36.75" x14ac:dyDescent="0.25">
      <c r="A2475" s="3" t="s">
        <v>26</v>
      </c>
      <c r="B2475" s="3" t="s">
        <v>27</v>
      </c>
      <c r="C2475" s="3" t="s">
        <v>28</v>
      </c>
      <c r="D2475" s="3" t="s">
        <v>29</v>
      </c>
      <c r="E2475" s="3" t="s">
        <v>119</v>
      </c>
      <c r="F2475" s="3" t="s">
        <v>31</v>
      </c>
      <c r="G2475" s="3" t="s">
        <v>119</v>
      </c>
      <c r="H2475" s="3" t="s">
        <v>96</v>
      </c>
      <c r="I2475" s="3">
        <v>2025</v>
      </c>
      <c r="J2475" s="3" t="str">
        <f>CONCATENATE("54820068580")</f>
        <v>54820068580</v>
      </c>
      <c r="K2475" s="3" t="s">
        <v>33</v>
      </c>
      <c r="L2475" s="3"/>
      <c r="M2475" s="3" t="s">
        <v>131</v>
      </c>
      <c r="N2475" s="3" t="str">
        <f>CONCATENATE("01092970449")</f>
        <v>01092970449</v>
      </c>
      <c r="O2475" s="3" t="s">
        <v>2610</v>
      </c>
      <c r="P2475" s="3" t="s">
        <v>36</v>
      </c>
      <c r="Q2475" s="3"/>
      <c r="R2475" s="4">
        <v>45996</v>
      </c>
      <c r="S2475" s="3" t="s">
        <v>37</v>
      </c>
      <c r="T2475" s="3" t="s">
        <v>38</v>
      </c>
      <c r="U2475" s="3" t="s">
        <v>39</v>
      </c>
      <c r="V2475" s="3">
        <v>398.63</v>
      </c>
      <c r="W2475" s="3">
        <v>169.42</v>
      </c>
      <c r="X2475" s="3">
        <v>160.44999999999999</v>
      </c>
      <c r="Y2475" s="3">
        <v>68.760000000000005</v>
      </c>
    </row>
    <row r="2476" spans="1:25" ht="60.75" x14ac:dyDescent="0.25">
      <c r="A2476" s="3" t="s">
        <v>26</v>
      </c>
      <c r="B2476" s="3" t="s">
        <v>27</v>
      </c>
      <c r="C2476" s="3" t="s">
        <v>28</v>
      </c>
      <c r="D2476" s="3" t="s">
        <v>104</v>
      </c>
      <c r="E2476" s="3" t="s">
        <v>691</v>
      </c>
      <c r="F2476" s="3" t="s">
        <v>104</v>
      </c>
      <c r="G2476" s="3" t="s">
        <v>691</v>
      </c>
      <c r="H2476" s="3" t="s">
        <v>48</v>
      </c>
      <c r="I2476" s="3">
        <v>2025</v>
      </c>
      <c r="J2476" s="3" t="str">
        <f>CONCATENATE("54820018320")</f>
        <v>54820018320</v>
      </c>
      <c r="K2476" s="3" t="s">
        <v>33</v>
      </c>
      <c r="L2476" s="3"/>
      <c r="M2476" s="3" t="s">
        <v>131</v>
      </c>
      <c r="N2476" s="3" t="str">
        <f>CONCATENATE("MRTMRA60S28I653W")</f>
        <v>MRTMRA60S28I653W</v>
      </c>
      <c r="O2476" s="3" t="s">
        <v>2611</v>
      </c>
      <c r="P2476" s="3" t="s">
        <v>36</v>
      </c>
      <c r="Q2476" s="3"/>
      <c r="R2476" s="4">
        <v>45996</v>
      </c>
      <c r="S2476" s="3" t="s">
        <v>37</v>
      </c>
      <c r="T2476" s="3" t="s">
        <v>38</v>
      </c>
      <c r="U2476" s="3" t="s">
        <v>39</v>
      </c>
      <c r="V2476" s="3">
        <v>119.44</v>
      </c>
      <c r="W2476" s="3">
        <v>50.76</v>
      </c>
      <c r="X2476" s="3">
        <v>48.07</v>
      </c>
      <c r="Y2476" s="3">
        <v>20.61</v>
      </c>
    </row>
    <row r="2477" spans="1:25" ht="60.75" x14ac:dyDescent="0.25">
      <c r="A2477" s="3" t="s">
        <v>26</v>
      </c>
      <c r="B2477" s="3" t="s">
        <v>27</v>
      </c>
      <c r="C2477" s="3" t="s">
        <v>28</v>
      </c>
      <c r="D2477" s="3" t="s">
        <v>29</v>
      </c>
      <c r="E2477" s="3" t="s">
        <v>56</v>
      </c>
      <c r="F2477" s="3" t="s">
        <v>31</v>
      </c>
      <c r="G2477" s="3" t="s">
        <v>56</v>
      </c>
      <c r="H2477" s="3" t="s">
        <v>32</v>
      </c>
      <c r="I2477" s="3">
        <v>2025</v>
      </c>
      <c r="J2477" s="3" t="str">
        <f>CONCATENATE("54820034897")</f>
        <v>54820034897</v>
      </c>
      <c r="K2477" s="3" t="s">
        <v>33</v>
      </c>
      <c r="L2477" s="3"/>
      <c r="M2477" s="3" t="s">
        <v>131</v>
      </c>
      <c r="N2477" s="3" t="str">
        <f>CONCATENATE("CNCGNN56S16I661I")</f>
        <v>CNCGNN56S16I661I</v>
      </c>
      <c r="O2477" s="3" t="s">
        <v>2612</v>
      </c>
      <c r="P2477" s="3" t="s">
        <v>36</v>
      </c>
      <c r="Q2477" s="3"/>
      <c r="R2477" s="4">
        <v>45996</v>
      </c>
      <c r="S2477" s="3" t="s">
        <v>37</v>
      </c>
      <c r="T2477" s="3" t="s">
        <v>38</v>
      </c>
      <c r="U2477" s="3" t="s">
        <v>39</v>
      </c>
      <c r="V2477" s="3">
        <v>936.01</v>
      </c>
      <c r="W2477" s="3">
        <v>397.8</v>
      </c>
      <c r="X2477" s="3">
        <v>376.74</v>
      </c>
      <c r="Y2477" s="3">
        <v>161.47</v>
      </c>
    </row>
    <row r="2478" spans="1:25" ht="60.75" x14ac:dyDescent="0.25">
      <c r="A2478" s="3" t="s">
        <v>26</v>
      </c>
      <c r="B2478" s="3" t="s">
        <v>27</v>
      </c>
      <c r="C2478" s="3" t="s">
        <v>28</v>
      </c>
      <c r="D2478" s="3" t="s">
        <v>29</v>
      </c>
      <c r="E2478" s="3" t="s">
        <v>80</v>
      </c>
      <c r="F2478" s="3" t="s">
        <v>31</v>
      </c>
      <c r="G2478" s="3" t="s">
        <v>80</v>
      </c>
      <c r="H2478" s="3" t="s">
        <v>45</v>
      </c>
      <c r="I2478" s="3">
        <v>2025</v>
      </c>
      <c r="J2478" s="3" t="str">
        <f>CONCATENATE("54820047816")</f>
        <v>54820047816</v>
      </c>
      <c r="K2478" s="3" t="s">
        <v>33</v>
      </c>
      <c r="L2478" s="3"/>
      <c r="M2478" s="3" t="s">
        <v>131</v>
      </c>
      <c r="N2478" s="3" t="str">
        <f>CONCATENATE("GDCGRL92P15D749D")</f>
        <v>GDCGRL92P15D749D</v>
      </c>
      <c r="O2478" s="3" t="s">
        <v>2613</v>
      </c>
      <c r="P2478" s="3" t="s">
        <v>36</v>
      </c>
      <c r="Q2478" s="3"/>
      <c r="R2478" s="4">
        <v>45996</v>
      </c>
      <c r="S2478" s="3" t="s">
        <v>37</v>
      </c>
      <c r="T2478" s="3" t="s">
        <v>38</v>
      </c>
      <c r="U2478" s="3" t="s">
        <v>39</v>
      </c>
      <c r="V2478" s="3">
        <v>839.28</v>
      </c>
      <c r="W2478" s="3">
        <v>356.69</v>
      </c>
      <c r="X2478" s="3">
        <v>337.81</v>
      </c>
      <c r="Y2478" s="3">
        <v>144.78</v>
      </c>
    </row>
    <row r="2479" spans="1:25" ht="36.75" x14ac:dyDescent="0.25">
      <c r="A2479" s="3" t="s">
        <v>26</v>
      </c>
      <c r="B2479" s="3" t="s">
        <v>27</v>
      </c>
      <c r="C2479" s="3" t="s">
        <v>28</v>
      </c>
      <c r="D2479" s="3" t="s">
        <v>29</v>
      </c>
      <c r="E2479" s="3" t="s">
        <v>233</v>
      </c>
      <c r="F2479" s="3" t="s">
        <v>31</v>
      </c>
      <c r="G2479" s="3" t="s">
        <v>233</v>
      </c>
      <c r="H2479" s="3" t="s">
        <v>96</v>
      </c>
      <c r="I2479" s="3">
        <v>2025</v>
      </c>
      <c r="J2479" s="3" t="str">
        <f>CONCATENATE("54820037213")</f>
        <v>54820037213</v>
      </c>
      <c r="K2479" s="3" t="s">
        <v>33</v>
      </c>
      <c r="L2479" s="3"/>
      <c r="M2479" s="3" t="s">
        <v>131</v>
      </c>
      <c r="N2479" s="3" t="str">
        <f>CONCATENATE("02305380442")</f>
        <v>02305380442</v>
      </c>
      <c r="O2479" s="3" t="s">
        <v>2614</v>
      </c>
      <c r="P2479" s="3" t="s">
        <v>36</v>
      </c>
      <c r="Q2479" s="3"/>
      <c r="R2479" s="4">
        <v>45996</v>
      </c>
      <c r="S2479" s="3" t="s">
        <v>37</v>
      </c>
      <c r="T2479" s="3" t="s">
        <v>38</v>
      </c>
      <c r="U2479" s="3" t="s">
        <v>39</v>
      </c>
      <c r="V2479" s="3">
        <v>567.13</v>
      </c>
      <c r="W2479" s="3">
        <v>241.03</v>
      </c>
      <c r="X2479" s="3">
        <v>228.27</v>
      </c>
      <c r="Y2479" s="3">
        <v>97.83</v>
      </c>
    </row>
    <row r="2480" spans="1:25" ht="60.75" x14ac:dyDescent="0.25">
      <c r="A2480" s="3" t="s">
        <v>26</v>
      </c>
      <c r="B2480" s="3" t="s">
        <v>27</v>
      </c>
      <c r="C2480" s="3" t="s">
        <v>28</v>
      </c>
      <c r="D2480" s="3" t="s">
        <v>29</v>
      </c>
      <c r="E2480" s="3" t="s">
        <v>208</v>
      </c>
      <c r="F2480" s="3" t="s">
        <v>31</v>
      </c>
      <c r="G2480" s="3" t="s">
        <v>208</v>
      </c>
      <c r="H2480" s="3" t="s">
        <v>45</v>
      </c>
      <c r="I2480" s="3">
        <v>2025</v>
      </c>
      <c r="J2480" s="3" t="str">
        <f>CONCATENATE("54820054606")</f>
        <v>54820054606</v>
      </c>
      <c r="K2480" s="3" t="s">
        <v>33</v>
      </c>
      <c r="L2480" s="3"/>
      <c r="M2480" s="3" t="s">
        <v>131</v>
      </c>
      <c r="N2480" s="3" t="str">
        <f>CONCATENATE("LNASVN35A69L498R")</f>
        <v>LNASVN35A69L498R</v>
      </c>
      <c r="O2480" s="3" t="s">
        <v>2615</v>
      </c>
      <c r="P2480" s="3" t="s">
        <v>36</v>
      </c>
      <c r="Q2480" s="3"/>
      <c r="R2480" s="4">
        <v>45996</v>
      </c>
      <c r="S2480" s="3" t="s">
        <v>37</v>
      </c>
      <c r="T2480" s="3" t="s">
        <v>38</v>
      </c>
      <c r="U2480" s="3" t="s">
        <v>39</v>
      </c>
      <c r="V2480" s="3">
        <v>194.13</v>
      </c>
      <c r="W2480" s="3">
        <v>82.51</v>
      </c>
      <c r="X2480" s="3">
        <v>78.14</v>
      </c>
      <c r="Y2480" s="3">
        <v>33.479999999999997</v>
      </c>
    </row>
    <row r="2481" spans="1:25" ht="60.75" x14ac:dyDescent="0.25">
      <c r="A2481" s="3" t="s">
        <v>26</v>
      </c>
      <c r="B2481" s="3" t="s">
        <v>27</v>
      </c>
      <c r="C2481" s="3" t="s">
        <v>28</v>
      </c>
      <c r="D2481" s="3" t="s">
        <v>50</v>
      </c>
      <c r="E2481" s="3" t="s">
        <v>173</v>
      </c>
      <c r="F2481" s="3" t="s">
        <v>52</v>
      </c>
      <c r="G2481" s="3" t="s">
        <v>173</v>
      </c>
      <c r="H2481" s="3" t="s">
        <v>45</v>
      </c>
      <c r="I2481" s="3">
        <v>2025</v>
      </c>
      <c r="J2481" s="3" t="str">
        <f>CONCATENATE("54820034400")</f>
        <v>54820034400</v>
      </c>
      <c r="K2481" s="3" t="s">
        <v>33</v>
      </c>
      <c r="L2481" s="3"/>
      <c r="M2481" s="3" t="s">
        <v>131</v>
      </c>
      <c r="N2481" s="3" t="str">
        <f>CONCATENATE("RCLLCN61E57E785C")</f>
        <v>RCLLCN61E57E785C</v>
      </c>
      <c r="O2481" s="3" t="s">
        <v>2616</v>
      </c>
      <c r="P2481" s="3" t="s">
        <v>36</v>
      </c>
      <c r="Q2481" s="3"/>
      <c r="R2481" s="4">
        <v>45996</v>
      </c>
      <c r="S2481" s="3" t="s">
        <v>37</v>
      </c>
      <c r="T2481" s="3" t="s">
        <v>38</v>
      </c>
      <c r="U2481" s="3" t="s">
        <v>39</v>
      </c>
      <c r="V2481" s="3">
        <v>145</v>
      </c>
      <c r="W2481" s="3">
        <v>61.63</v>
      </c>
      <c r="X2481" s="3">
        <v>58.36</v>
      </c>
      <c r="Y2481" s="3">
        <v>25.01</v>
      </c>
    </row>
    <row r="2482" spans="1:25" ht="60.75" x14ac:dyDescent="0.25">
      <c r="A2482" s="3" t="s">
        <v>26</v>
      </c>
      <c r="B2482" s="3" t="s">
        <v>27</v>
      </c>
      <c r="C2482" s="3" t="s">
        <v>28</v>
      </c>
      <c r="D2482" s="3" t="s">
        <v>29</v>
      </c>
      <c r="E2482" s="3" t="s">
        <v>228</v>
      </c>
      <c r="F2482" s="3" t="s">
        <v>31</v>
      </c>
      <c r="G2482" s="3" t="s">
        <v>228</v>
      </c>
      <c r="H2482" s="3" t="s">
        <v>45</v>
      </c>
      <c r="I2482" s="3">
        <v>2025</v>
      </c>
      <c r="J2482" s="3" t="str">
        <f>CONCATENATE("54820060363")</f>
        <v>54820060363</v>
      </c>
      <c r="K2482" s="3" t="s">
        <v>33</v>
      </c>
      <c r="L2482" s="3"/>
      <c r="M2482" s="3" t="s">
        <v>131</v>
      </c>
      <c r="N2482" s="3" t="str">
        <f>CONCATENATE("RDASLV68T69D749I")</f>
        <v>RDASLV68T69D749I</v>
      </c>
      <c r="O2482" s="3" t="s">
        <v>2617</v>
      </c>
      <c r="P2482" s="3" t="s">
        <v>36</v>
      </c>
      <c r="Q2482" s="3"/>
      <c r="R2482" s="4">
        <v>45996</v>
      </c>
      <c r="S2482" s="3" t="s">
        <v>37</v>
      </c>
      <c r="T2482" s="3" t="s">
        <v>38</v>
      </c>
      <c r="U2482" s="3" t="s">
        <v>39</v>
      </c>
      <c r="V2482" s="3">
        <v>45.73</v>
      </c>
      <c r="W2482" s="3">
        <v>19.440000000000001</v>
      </c>
      <c r="X2482" s="3">
        <v>18.41</v>
      </c>
      <c r="Y2482" s="3">
        <v>7.88</v>
      </c>
    </row>
    <row r="2483" spans="1:25" ht="60.75" x14ac:dyDescent="0.25">
      <c r="A2483" s="3" t="s">
        <v>26</v>
      </c>
      <c r="B2483" s="3" t="s">
        <v>27</v>
      </c>
      <c r="C2483" s="3" t="s">
        <v>28</v>
      </c>
      <c r="D2483" s="3" t="s">
        <v>50</v>
      </c>
      <c r="E2483" s="3" t="s">
        <v>51</v>
      </c>
      <c r="F2483" s="3" t="s">
        <v>52</v>
      </c>
      <c r="G2483" s="3" t="s">
        <v>51</v>
      </c>
      <c r="H2483" s="3" t="s">
        <v>48</v>
      </c>
      <c r="I2483" s="3">
        <v>2025</v>
      </c>
      <c r="J2483" s="3" t="str">
        <f>CONCATENATE("54820045380")</f>
        <v>54820045380</v>
      </c>
      <c r="K2483" s="3" t="s">
        <v>33</v>
      </c>
      <c r="L2483" s="3"/>
      <c r="M2483" s="3" t="s">
        <v>131</v>
      </c>
      <c r="N2483" s="3" t="str">
        <f>CONCATENATE("BRNDLE40A15D451L")</f>
        <v>BRNDLE40A15D451L</v>
      </c>
      <c r="O2483" s="3" t="s">
        <v>2618</v>
      </c>
      <c r="P2483" s="3" t="s">
        <v>36</v>
      </c>
      <c r="Q2483" s="3"/>
      <c r="R2483" s="4">
        <v>45996</v>
      </c>
      <c r="S2483" s="3" t="s">
        <v>37</v>
      </c>
      <c r="T2483" s="3" t="s">
        <v>38</v>
      </c>
      <c r="U2483" s="3" t="s">
        <v>39</v>
      </c>
      <c r="V2483" s="3">
        <v>523.19000000000005</v>
      </c>
      <c r="W2483" s="3">
        <v>222.36</v>
      </c>
      <c r="X2483" s="3">
        <v>210.58</v>
      </c>
      <c r="Y2483" s="3">
        <v>90.25</v>
      </c>
    </row>
    <row r="2484" spans="1:25" ht="72.75" x14ac:dyDescent="0.25">
      <c r="A2484" s="3" t="s">
        <v>26</v>
      </c>
      <c r="B2484" s="3" t="s">
        <v>27</v>
      </c>
      <c r="C2484" s="3" t="s">
        <v>28</v>
      </c>
      <c r="D2484" s="3" t="s">
        <v>50</v>
      </c>
      <c r="E2484" s="3" t="s">
        <v>513</v>
      </c>
      <c r="F2484" s="3" t="s">
        <v>52</v>
      </c>
      <c r="G2484" s="3" t="s">
        <v>513</v>
      </c>
      <c r="H2484" s="3" t="s">
        <v>96</v>
      </c>
      <c r="I2484" s="3">
        <v>2025</v>
      </c>
      <c r="J2484" s="3" t="str">
        <f>CONCATENATE("54820061585")</f>
        <v>54820061585</v>
      </c>
      <c r="K2484" s="3" t="s">
        <v>33</v>
      </c>
      <c r="L2484" s="3"/>
      <c r="M2484" s="3" t="s">
        <v>131</v>
      </c>
      <c r="N2484" s="3" t="str">
        <f>CONCATENATE("RMNDNC43T27H588B")</f>
        <v>RMNDNC43T27H588B</v>
      </c>
      <c r="O2484" s="3" t="s">
        <v>2619</v>
      </c>
      <c r="P2484" s="3" t="s">
        <v>36</v>
      </c>
      <c r="Q2484" s="3"/>
      <c r="R2484" s="4">
        <v>45996</v>
      </c>
      <c r="S2484" s="3" t="s">
        <v>37</v>
      </c>
      <c r="T2484" s="3" t="s">
        <v>38</v>
      </c>
      <c r="U2484" s="3" t="s">
        <v>39</v>
      </c>
      <c r="V2484" s="3">
        <v>61.46</v>
      </c>
      <c r="W2484" s="3">
        <v>26.12</v>
      </c>
      <c r="X2484" s="3">
        <v>24.74</v>
      </c>
      <c r="Y2484" s="3">
        <v>10.6</v>
      </c>
    </row>
    <row r="2485" spans="1:25" ht="60.75" x14ac:dyDescent="0.25">
      <c r="A2485" s="3" t="s">
        <v>26</v>
      </c>
      <c r="B2485" s="3" t="s">
        <v>27</v>
      </c>
      <c r="C2485" s="3" t="s">
        <v>28</v>
      </c>
      <c r="D2485" s="3" t="s">
        <v>29</v>
      </c>
      <c r="E2485" s="3" t="s">
        <v>119</v>
      </c>
      <c r="F2485" s="3" t="s">
        <v>31</v>
      </c>
      <c r="G2485" s="3" t="s">
        <v>119</v>
      </c>
      <c r="H2485" s="3" t="s">
        <v>96</v>
      </c>
      <c r="I2485" s="3">
        <v>2025</v>
      </c>
      <c r="J2485" s="3" t="str">
        <f>CONCATENATE("54820014162")</f>
        <v>54820014162</v>
      </c>
      <c r="K2485" s="3" t="s">
        <v>33</v>
      </c>
      <c r="L2485" s="3"/>
      <c r="M2485" s="3" t="s">
        <v>131</v>
      </c>
      <c r="N2485" s="3" t="str">
        <f>CONCATENATE("SCGFBA85E11H769P")</f>
        <v>SCGFBA85E11H769P</v>
      </c>
      <c r="O2485" s="3" t="s">
        <v>2620</v>
      </c>
      <c r="P2485" s="3" t="s">
        <v>36</v>
      </c>
      <c r="Q2485" s="3"/>
      <c r="R2485" s="4">
        <v>45996</v>
      </c>
      <c r="S2485" s="3" t="s">
        <v>37</v>
      </c>
      <c r="T2485" s="3" t="s">
        <v>38</v>
      </c>
      <c r="U2485" s="3" t="s">
        <v>39</v>
      </c>
      <c r="V2485" s="3">
        <v>366.13</v>
      </c>
      <c r="W2485" s="3">
        <v>155.61000000000001</v>
      </c>
      <c r="X2485" s="3">
        <v>147.37</v>
      </c>
      <c r="Y2485" s="3">
        <v>63.15</v>
      </c>
    </row>
    <row r="2486" spans="1:25" ht="60.75" x14ac:dyDescent="0.25">
      <c r="A2486" s="3" t="s">
        <v>26</v>
      </c>
      <c r="B2486" s="3" t="s">
        <v>27</v>
      </c>
      <c r="C2486" s="3" t="s">
        <v>28</v>
      </c>
      <c r="D2486" s="3" t="s">
        <v>50</v>
      </c>
      <c r="E2486" s="3" t="s">
        <v>60</v>
      </c>
      <c r="F2486" s="3" t="s">
        <v>52</v>
      </c>
      <c r="G2486" s="3" t="s">
        <v>60</v>
      </c>
      <c r="H2486" s="3" t="s">
        <v>45</v>
      </c>
      <c r="I2486" s="3">
        <v>2025</v>
      </c>
      <c r="J2486" s="3" t="str">
        <f>CONCATENATE("54820090931")</f>
        <v>54820090931</v>
      </c>
      <c r="K2486" s="3" t="s">
        <v>33</v>
      </c>
      <c r="L2486" s="3"/>
      <c r="M2486" s="3" t="s">
        <v>131</v>
      </c>
      <c r="N2486" s="3" t="str">
        <f>CONCATENATE("VLPRRT65D08B636S")</f>
        <v>VLPRRT65D08B636S</v>
      </c>
      <c r="O2486" s="3" t="s">
        <v>2621</v>
      </c>
      <c r="P2486" s="3" t="s">
        <v>36</v>
      </c>
      <c r="Q2486" s="3"/>
      <c r="R2486" s="4">
        <v>45996</v>
      </c>
      <c r="S2486" s="3" t="s">
        <v>37</v>
      </c>
      <c r="T2486" s="3" t="s">
        <v>38</v>
      </c>
      <c r="U2486" s="3" t="s">
        <v>39</v>
      </c>
      <c r="V2486" s="3">
        <v>178.42</v>
      </c>
      <c r="W2486" s="3">
        <v>75.83</v>
      </c>
      <c r="X2486" s="3">
        <v>71.81</v>
      </c>
      <c r="Y2486" s="3">
        <v>30.78</v>
      </c>
    </row>
    <row r="2487" spans="1:25" ht="60.75" x14ac:dyDescent="0.25">
      <c r="A2487" s="3" t="s">
        <v>26</v>
      </c>
      <c r="B2487" s="3" t="s">
        <v>27</v>
      </c>
      <c r="C2487" s="3" t="s">
        <v>28</v>
      </c>
      <c r="D2487" s="3" t="s">
        <v>29</v>
      </c>
      <c r="E2487" s="3" t="s">
        <v>47</v>
      </c>
      <c r="F2487" s="3" t="s">
        <v>31</v>
      </c>
      <c r="G2487" s="3" t="s">
        <v>47</v>
      </c>
      <c r="H2487" s="3" t="s">
        <v>48</v>
      </c>
      <c r="I2487" s="3">
        <v>2025</v>
      </c>
      <c r="J2487" s="3" t="str">
        <f>CONCATENATE("54820079017")</f>
        <v>54820079017</v>
      </c>
      <c r="K2487" s="3" t="s">
        <v>33</v>
      </c>
      <c r="L2487" s="3"/>
      <c r="M2487" s="3" t="s">
        <v>131</v>
      </c>
      <c r="N2487" s="3" t="str">
        <f>CONCATENATE("GRFRSL48L51D965Y")</f>
        <v>GRFRSL48L51D965Y</v>
      </c>
      <c r="O2487" s="3" t="s">
        <v>2622</v>
      </c>
      <c r="P2487" s="3" t="s">
        <v>36</v>
      </c>
      <c r="Q2487" s="3"/>
      <c r="R2487" s="4">
        <v>45996</v>
      </c>
      <c r="S2487" s="3" t="s">
        <v>37</v>
      </c>
      <c r="T2487" s="3" t="s">
        <v>38</v>
      </c>
      <c r="U2487" s="3" t="s">
        <v>39</v>
      </c>
      <c r="V2487" s="3">
        <v>170.9</v>
      </c>
      <c r="W2487" s="3">
        <v>72.63</v>
      </c>
      <c r="X2487" s="3">
        <v>68.790000000000006</v>
      </c>
      <c r="Y2487" s="3">
        <v>29.48</v>
      </c>
    </row>
    <row r="2488" spans="1:25" ht="60.75" x14ac:dyDescent="0.25">
      <c r="A2488" s="3" t="s">
        <v>26</v>
      </c>
      <c r="B2488" s="3" t="s">
        <v>27</v>
      </c>
      <c r="C2488" s="3" t="s">
        <v>28</v>
      </c>
      <c r="D2488" s="3" t="s">
        <v>50</v>
      </c>
      <c r="E2488" s="3" t="s">
        <v>173</v>
      </c>
      <c r="F2488" s="3" t="s">
        <v>52</v>
      </c>
      <c r="G2488" s="3" t="s">
        <v>173</v>
      </c>
      <c r="H2488" s="3" t="s">
        <v>45</v>
      </c>
      <c r="I2488" s="3">
        <v>2025</v>
      </c>
      <c r="J2488" s="3" t="str">
        <f>CONCATENATE("54820022926")</f>
        <v>54820022926</v>
      </c>
      <c r="K2488" s="3" t="s">
        <v>33</v>
      </c>
      <c r="L2488" s="3"/>
      <c r="M2488" s="3" t="s">
        <v>131</v>
      </c>
      <c r="N2488" s="3" t="str">
        <f>CONCATENATE("PNSVTR37B25F478T")</f>
        <v>PNSVTR37B25F478T</v>
      </c>
      <c r="O2488" s="3" t="s">
        <v>2623</v>
      </c>
      <c r="P2488" s="3" t="s">
        <v>36</v>
      </c>
      <c r="Q2488" s="3"/>
      <c r="R2488" s="4">
        <v>45996</v>
      </c>
      <c r="S2488" s="3" t="s">
        <v>37</v>
      </c>
      <c r="T2488" s="3" t="s">
        <v>38</v>
      </c>
      <c r="U2488" s="3" t="s">
        <v>39</v>
      </c>
      <c r="V2488" s="3">
        <v>374.4</v>
      </c>
      <c r="W2488" s="3">
        <v>159.12</v>
      </c>
      <c r="X2488" s="3">
        <v>150.69999999999999</v>
      </c>
      <c r="Y2488" s="3">
        <v>64.58</v>
      </c>
    </row>
    <row r="2489" spans="1:25" ht="72.75" x14ac:dyDescent="0.25">
      <c r="A2489" s="3" t="s">
        <v>26</v>
      </c>
      <c r="B2489" s="3" t="s">
        <v>27</v>
      </c>
      <c r="C2489" s="3" t="s">
        <v>28</v>
      </c>
      <c r="D2489" s="3" t="s">
        <v>29</v>
      </c>
      <c r="E2489" s="3" t="s">
        <v>56</v>
      </c>
      <c r="F2489" s="3" t="s">
        <v>31</v>
      </c>
      <c r="G2489" s="3" t="s">
        <v>56</v>
      </c>
      <c r="H2489" s="3" t="s">
        <v>32</v>
      </c>
      <c r="I2489" s="3">
        <v>2025</v>
      </c>
      <c r="J2489" s="3" t="str">
        <f>CONCATENATE("54820292495")</f>
        <v>54820292495</v>
      </c>
      <c r="K2489" s="3" t="s">
        <v>33</v>
      </c>
      <c r="L2489" s="3"/>
      <c r="M2489" s="3" t="s">
        <v>131</v>
      </c>
      <c r="N2489" s="3" t="str">
        <f>CONCATENATE("CSRDGS35B63B474O")</f>
        <v>CSRDGS35B63B474O</v>
      </c>
      <c r="O2489" s="3" t="s">
        <v>2624</v>
      </c>
      <c r="P2489" s="3" t="s">
        <v>36</v>
      </c>
      <c r="Q2489" s="3"/>
      <c r="R2489" s="4">
        <v>45996</v>
      </c>
      <c r="S2489" s="3" t="s">
        <v>37</v>
      </c>
      <c r="T2489" s="3" t="s">
        <v>38</v>
      </c>
      <c r="U2489" s="3" t="s">
        <v>39</v>
      </c>
      <c r="V2489" s="3">
        <v>93.71</v>
      </c>
      <c r="W2489" s="3">
        <v>39.83</v>
      </c>
      <c r="X2489" s="3">
        <v>37.72</v>
      </c>
      <c r="Y2489" s="3">
        <v>16.16</v>
      </c>
    </row>
    <row r="2490" spans="1:25" ht="60.75" x14ac:dyDescent="0.25">
      <c r="A2490" s="3" t="s">
        <v>26</v>
      </c>
      <c r="B2490" s="3" t="s">
        <v>27</v>
      </c>
      <c r="C2490" s="3" t="s">
        <v>28</v>
      </c>
      <c r="D2490" s="3" t="s">
        <v>29</v>
      </c>
      <c r="E2490" s="3" t="s">
        <v>136</v>
      </c>
      <c r="F2490" s="3" t="s">
        <v>31</v>
      </c>
      <c r="G2490" s="3" t="s">
        <v>136</v>
      </c>
      <c r="H2490" s="3" t="s">
        <v>48</v>
      </c>
      <c r="I2490" s="3">
        <v>2025</v>
      </c>
      <c r="J2490" s="3" t="str">
        <f>CONCATENATE("54820273065")</f>
        <v>54820273065</v>
      </c>
      <c r="K2490" s="3" t="s">
        <v>33</v>
      </c>
      <c r="L2490" s="3"/>
      <c r="M2490" s="3" t="s">
        <v>131</v>
      </c>
      <c r="N2490" s="3" t="str">
        <f>CONCATENATE("CRLSRG66P15I461P")</f>
        <v>CRLSRG66P15I461P</v>
      </c>
      <c r="O2490" s="3" t="s">
        <v>2625</v>
      </c>
      <c r="P2490" s="3" t="s">
        <v>36</v>
      </c>
      <c r="Q2490" s="3"/>
      <c r="R2490" s="4">
        <v>45996</v>
      </c>
      <c r="S2490" s="3" t="s">
        <v>37</v>
      </c>
      <c r="T2490" s="3" t="s">
        <v>38</v>
      </c>
      <c r="U2490" s="3" t="s">
        <v>39</v>
      </c>
      <c r="V2490" s="3">
        <v>123.51</v>
      </c>
      <c r="W2490" s="3">
        <v>52.49</v>
      </c>
      <c r="X2490" s="3">
        <v>49.71</v>
      </c>
      <c r="Y2490" s="3">
        <v>21.31</v>
      </c>
    </row>
    <row r="2491" spans="1:25" ht="60.75" x14ac:dyDescent="0.25">
      <c r="A2491" s="3" t="s">
        <v>26</v>
      </c>
      <c r="B2491" s="3" t="s">
        <v>27</v>
      </c>
      <c r="C2491" s="3" t="s">
        <v>28</v>
      </c>
      <c r="D2491" s="3" t="s">
        <v>312</v>
      </c>
      <c r="E2491" s="3" t="s">
        <v>313</v>
      </c>
      <c r="F2491" s="3" t="s">
        <v>314</v>
      </c>
      <c r="G2491" s="3" t="s">
        <v>313</v>
      </c>
      <c r="H2491" s="3" t="s">
        <v>96</v>
      </c>
      <c r="I2491" s="3">
        <v>2025</v>
      </c>
      <c r="J2491" s="3" t="str">
        <f>CONCATENATE("54820241872")</f>
        <v>54820241872</v>
      </c>
      <c r="K2491" s="3" t="s">
        <v>33</v>
      </c>
      <c r="L2491" s="3"/>
      <c r="M2491" s="3" t="s">
        <v>131</v>
      </c>
      <c r="N2491" s="3" t="str">
        <f>CONCATENATE("DNGSMN72T66A462C")</f>
        <v>DNGSMN72T66A462C</v>
      </c>
      <c r="O2491" s="3" t="s">
        <v>2626</v>
      </c>
      <c r="P2491" s="3" t="s">
        <v>36</v>
      </c>
      <c r="Q2491" s="3"/>
      <c r="R2491" s="4">
        <v>45996</v>
      </c>
      <c r="S2491" s="3" t="s">
        <v>37</v>
      </c>
      <c r="T2491" s="3" t="s">
        <v>38</v>
      </c>
      <c r="U2491" s="3" t="s">
        <v>39</v>
      </c>
      <c r="V2491" s="3">
        <v>52.2</v>
      </c>
      <c r="W2491" s="3">
        <v>22.19</v>
      </c>
      <c r="X2491" s="3">
        <v>21.01</v>
      </c>
      <c r="Y2491" s="3">
        <v>9</v>
      </c>
    </row>
    <row r="2492" spans="1:25" ht="60.75" x14ac:dyDescent="0.25">
      <c r="A2492" s="3" t="s">
        <v>26</v>
      </c>
      <c r="B2492" s="3" t="s">
        <v>27</v>
      </c>
      <c r="C2492" s="3" t="s">
        <v>28</v>
      </c>
      <c r="D2492" s="3" t="s">
        <v>29</v>
      </c>
      <c r="E2492" s="3" t="s">
        <v>111</v>
      </c>
      <c r="F2492" s="3" t="s">
        <v>31</v>
      </c>
      <c r="G2492" s="3" t="s">
        <v>111</v>
      </c>
      <c r="H2492" s="3" t="s">
        <v>96</v>
      </c>
      <c r="I2492" s="3">
        <v>2025</v>
      </c>
      <c r="J2492" s="3" t="str">
        <f>CONCATENATE("54820324686")</f>
        <v>54820324686</v>
      </c>
      <c r="K2492" s="3" t="s">
        <v>33</v>
      </c>
      <c r="L2492" s="3"/>
      <c r="M2492" s="3" t="s">
        <v>131</v>
      </c>
      <c r="N2492" s="3" t="str">
        <f>CONCATENATE("SCRRSE60D09D542T")</f>
        <v>SCRRSE60D09D542T</v>
      </c>
      <c r="O2492" s="3" t="s">
        <v>2627</v>
      </c>
      <c r="P2492" s="3" t="s">
        <v>36</v>
      </c>
      <c r="Q2492" s="3"/>
      <c r="R2492" s="4">
        <v>45996</v>
      </c>
      <c r="S2492" s="3" t="s">
        <v>37</v>
      </c>
      <c r="T2492" s="3" t="s">
        <v>38</v>
      </c>
      <c r="U2492" s="3" t="s">
        <v>39</v>
      </c>
      <c r="V2492" s="3">
        <v>621.1</v>
      </c>
      <c r="W2492" s="3">
        <v>263.97000000000003</v>
      </c>
      <c r="X2492" s="3">
        <v>249.99</v>
      </c>
      <c r="Y2492" s="3">
        <v>107.14</v>
      </c>
    </row>
    <row r="2493" spans="1:25" ht="36.75" x14ac:dyDescent="0.25">
      <c r="A2493" s="3" t="s">
        <v>26</v>
      </c>
      <c r="B2493" s="3" t="s">
        <v>27</v>
      </c>
      <c r="C2493" s="3" t="s">
        <v>28</v>
      </c>
      <c r="D2493" s="3" t="s">
        <v>91</v>
      </c>
      <c r="E2493" s="3" t="s">
        <v>151</v>
      </c>
      <c r="F2493" s="3" t="s">
        <v>93</v>
      </c>
      <c r="G2493" s="3" t="s">
        <v>151</v>
      </c>
      <c r="H2493" s="3" t="s">
        <v>45</v>
      </c>
      <c r="I2493" s="3">
        <v>2025</v>
      </c>
      <c r="J2493" s="3" t="str">
        <f>CONCATENATE("54820252176")</f>
        <v>54820252176</v>
      </c>
      <c r="K2493" s="3" t="s">
        <v>33</v>
      </c>
      <c r="L2493" s="3"/>
      <c r="M2493" s="3" t="s">
        <v>131</v>
      </c>
      <c r="N2493" s="3" t="str">
        <f>CONCATENATE("02725210419")</f>
        <v>02725210419</v>
      </c>
      <c r="O2493" s="3" t="s">
        <v>2628</v>
      </c>
      <c r="P2493" s="3" t="s">
        <v>36</v>
      </c>
      <c r="Q2493" s="3"/>
      <c r="R2493" s="4">
        <v>45996</v>
      </c>
      <c r="S2493" s="3" t="s">
        <v>37</v>
      </c>
      <c r="T2493" s="3" t="s">
        <v>38</v>
      </c>
      <c r="U2493" s="3" t="s">
        <v>39</v>
      </c>
      <c r="V2493" s="3">
        <v>582.85</v>
      </c>
      <c r="W2493" s="3">
        <v>247.71</v>
      </c>
      <c r="X2493" s="3">
        <v>234.6</v>
      </c>
      <c r="Y2493" s="3">
        <v>100.54</v>
      </c>
    </row>
    <row r="2494" spans="1:25" ht="60.75" x14ac:dyDescent="0.25">
      <c r="A2494" s="3" t="s">
        <v>26</v>
      </c>
      <c r="B2494" s="3" t="s">
        <v>27</v>
      </c>
      <c r="C2494" s="3" t="s">
        <v>28</v>
      </c>
      <c r="D2494" s="3" t="s">
        <v>104</v>
      </c>
      <c r="E2494" s="3" t="s">
        <v>661</v>
      </c>
      <c r="F2494" s="3" t="s">
        <v>104</v>
      </c>
      <c r="G2494" s="3" t="s">
        <v>661</v>
      </c>
      <c r="H2494" s="3" t="s">
        <v>45</v>
      </c>
      <c r="I2494" s="3">
        <v>2025</v>
      </c>
      <c r="J2494" s="3" t="str">
        <f>CONCATENATE("54820133871")</f>
        <v>54820133871</v>
      </c>
      <c r="K2494" s="3" t="s">
        <v>33</v>
      </c>
      <c r="L2494" s="3"/>
      <c r="M2494" s="3" t="s">
        <v>131</v>
      </c>
      <c r="N2494" s="3" t="str">
        <f>CONCATENATE("RMTFNC77B27D749T")</f>
        <v>RMTFNC77B27D749T</v>
      </c>
      <c r="O2494" s="3" t="s">
        <v>2629</v>
      </c>
      <c r="P2494" s="3" t="s">
        <v>36</v>
      </c>
      <c r="Q2494" s="3"/>
      <c r="R2494" s="4">
        <v>45996</v>
      </c>
      <c r="S2494" s="3" t="s">
        <v>37</v>
      </c>
      <c r="T2494" s="3" t="s">
        <v>38</v>
      </c>
      <c r="U2494" s="3" t="s">
        <v>39</v>
      </c>
      <c r="V2494" s="3">
        <v>698.21</v>
      </c>
      <c r="W2494" s="3">
        <v>296.74</v>
      </c>
      <c r="X2494" s="3">
        <v>281.02999999999997</v>
      </c>
      <c r="Y2494" s="3">
        <v>120.44</v>
      </c>
    </row>
    <row r="2495" spans="1:25" ht="60.75" x14ac:dyDescent="0.25">
      <c r="A2495" s="3" t="s">
        <v>26</v>
      </c>
      <c r="B2495" s="3" t="s">
        <v>27</v>
      </c>
      <c r="C2495" s="3" t="s">
        <v>28</v>
      </c>
      <c r="D2495" s="3" t="s">
        <v>29</v>
      </c>
      <c r="E2495" s="3" t="s">
        <v>119</v>
      </c>
      <c r="F2495" s="3" t="s">
        <v>31</v>
      </c>
      <c r="G2495" s="3" t="s">
        <v>119</v>
      </c>
      <c r="H2495" s="3" t="s">
        <v>96</v>
      </c>
      <c r="I2495" s="3">
        <v>2025</v>
      </c>
      <c r="J2495" s="3" t="str">
        <f>CONCATENATE("54820073572")</f>
        <v>54820073572</v>
      </c>
      <c r="K2495" s="3" t="s">
        <v>33</v>
      </c>
      <c r="L2495" s="3"/>
      <c r="M2495" s="3" t="s">
        <v>131</v>
      </c>
      <c r="N2495" s="3" t="str">
        <f>CONCATENATE("CRTGST78C04A462C")</f>
        <v>CRTGST78C04A462C</v>
      </c>
      <c r="O2495" s="3" t="s">
        <v>2630</v>
      </c>
      <c r="P2495" s="3" t="s">
        <v>36</v>
      </c>
      <c r="Q2495" s="3"/>
      <c r="R2495" s="4">
        <v>45996</v>
      </c>
      <c r="S2495" s="3" t="s">
        <v>37</v>
      </c>
      <c r="T2495" s="3" t="s">
        <v>38</v>
      </c>
      <c r="U2495" s="3" t="s">
        <v>39</v>
      </c>
      <c r="V2495" s="3">
        <v>219.42</v>
      </c>
      <c r="W2495" s="3">
        <v>93.25</v>
      </c>
      <c r="X2495" s="3">
        <v>88.32</v>
      </c>
      <c r="Y2495" s="3">
        <v>37.85</v>
      </c>
    </row>
    <row r="2496" spans="1:25" ht="60.75" x14ac:dyDescent="0.25">
      <c r="A2496" s="3" t="s">
        <v>26</v>
      </c>
      <c r="B2496" s="3" t="s">
        <v>27</v>
      </c>
      <c r="C2496" s="3" t="s">
        <v>28</v>
      </c>
      <c r="D2496" s="3" t="s">
        <v>29</v>
      </c>
      <c r="E2496" s="3" t="s">
        <v>182</v>
      </c>
      <c r="F2496" s="3" t="s">
        <v>31</v>
      </c>
      <c r="G2496" s="3" t="s">
        <v>182</v>
      </c>
      <c r="H2496" s="3" t="s">
        <v>45</v>
      </c>
      <c r="I2496" s="3">
        <v>2025</v>
      </c>
      <c r="J2496" s="3" t="str">
        <f>CONCATENATE("54820105929")</f>
        <v>54820105929</v>
      </c>
      <c r="K2496" s="3" t="s">
        <v>33</v>
      </c>
      <c r="L2496" s="3"/>
      <c r="M2496" s="3" t="s">
        <v>131</v>
      </c>
      <c r="N2496" s="3" t="str">
        <f>CONCATENATE("CRRTZN52L09D749O")</f>
        <v>CRRTZN52L09D749O</v>
      </c>
      <c r="O2496" s="3" t="s">
        <v>2631</v>
      </c>
      <c r="P2496" s="3" t="s">
        <v>36</v>
      </c>
      <c r="Q2496" s="3"/>
      <c r="R2496" s="4">
        <v>45996</v>
      </c>
      <c r="S2496" s="3" t="s">
        <v>37</v>
      </c>
      <c r="T2496" s="3" t="s">
        <v>38</v>
      </c>
      <c r="U2496" s="3" t="s">
        <v>39</v>
      </c>
      <c r="V2496" s="3">
        <v>447.02</v>
      </c>
      <c r="W2496" s="3">
        <v>189.98</v>
      </c>
      <c r="X2496" s="3">
        <v>179.93</v>
      </c>
      <c r="Y2496" s="3">
        <v>77.11</v>
      </c>
    </row>
    <row r="2497" spans="1:25" ht="60.75" x14ac:dyDescent="0.25">
      <c r="A2497" s="3" t="s">
        <v>26</v>
      </c>
      <c r="B2497" s="3" t="s">
        <v>27</v>
      </c>
      <c r="C2497" s="3" t="s">
        <v>28</v>
      </c>
      <c r="D2497" s="3" t="s">
        <v>50</v>
      </c>
      <c r="E2497" s="3" t="s">
        <v>147</v>
      </c>
      <c r="F2497" s="3" t="s">
        <v>52</v>
      </c>
      <c r="G2497" s="3" t="s">
        <v>147</v>
      </c>
      <c r="H2497" s="3" t="s">
        <v>45</v>
      </c>
      <c r="I2497" s="3">
        <v>2025</v>
      </c>
      <c r="J2497" s="3" t="str">
        <f>CONCATENATE("54820125695")</f>
        <v>54820125695</v>
      </c>
      <c r="K2497" s="3" t="s">
        <v>33</v>
      </c>
      <c r="L2497" s="3"/>
      <c r="M2497" s="3" t="s">
        <v>131</v>
      </c>
      <c r="N2497" s="3" t="str">
        <f>CONCATENATE("PGLGNI46E48D628D")</f>
        <v>PGLGNI46E48D628D</v>
      </c>
      <c r="O2497" s="3" t="s">
        <v>2632</v>
      </c>
      <c r="P2497" s="3" t="s">
        <v>36</v>
      </c>
      <c r="Q2497" s="3"/>
      <c r="R2497" s="4">
        <v>45996</v>
      </c>
      <c r="S2497" s="3" t="s">
        <v>37</v>
      </c>
      <c r="T2497" s="3" t="s">
        <v>38</v>
      </c>
      <c r="U2497" s="3" t="s">
        <v>39</v>
      </c>
      <c r="V2497" s="3">
        <v>60.34</v>
      </c>
      <c r="W2497" s="3">
        <v>25.64</v>
      </c>
      <c r="X2497" s="3">
        <v>24.29</v>
      </c>
      <c r="Y2497" s="3">
        <v>10.41</v>
      </c>
    </row>
    <row r="2498" spans="1:25" ht="60.75" x14ac:dyDescent="0.25">
      <c r="A2498" s="3" t="s">
        <v>26</v>
      </c>
      <c r="B2498" s="3" t="s">
        <v>27</v>
      </c>
      <c r="C2498" s="3" t="s">
        <v>28</v>
      </c>
      <c r="D2498" s="3" t="s">
        <v>29</v>
      </c>
      <c r="E2498" s="3" t="s">
        <v>136</v>
      </c>
      <c r="F2498" s="3" t="s">
        <v>31</v>
      </c>
      <c r="G2498" s="3" t="s">
        <v>136</v>
      </c>
      <c r="H2498" s="3" t="s">
        <v>48</v>
      </c>
      <c r="I2498" s="3">
        <v>2025</v>
      </c>
      <c r="J2498" s="3" t="str">
        <f>CONCATENATE("54820132337")</f>
        <v>54820132337</v>
      </c>
      <c r="K2498" s="3" t="s">
        <v>33</v>
      </c>
      <c r="L2498" s="3"/>
      <c r="M2498" s="3" t="s">
        <v>131</v>
      </c>
      <c r="N2498" s="3" t="str">
        <f>CONCATENATE("MGGVCN40S12I461Y")</f>
        <v>MGGVCN40S12I461Y</v>
      </c>
      <c r="O2498" s="3" t="s">
        <v>2633</v>
      </c>
      <c r="P2498" s="3" t="s">
        <v>36</v>
      </c>
      <c r="Q2498" s="3"/>
      <c r="R2498" s="4">
        <v>45996</v>
      </c>
      <c r="S2498" s="3" t="s">
        <v>37</v>
      </c>
      <c r="T2498" s="3" t="s">
        <v>38</v>
      </c>
      <c r="U2498" s="3" t="s">
        <v>39</v>
      </c>
      <c r="V2498" s="3">
        <v>192.88</v>
      </c>
      <c r="W2498" s="3">
        <v>81.97</v>
      </c>
      <c r="X2498" s="3">
        <v>77.63</v>
      </c>
      <c r="Y2498" s="3">
        <v>33.28</v>
      </c>
    </row>
    <row r="2499" spans="1:25" ht="60.75" x14ac:dyDescent="0.25">
      <c r="A2499" s="3" t="s">
        <v>26</v>
      </c>
      <c r="B2499" s="3" t="s">
        <v>27</v>
      </c>
      <c r="C2499" s="3" t="s">
        <v>28</v>
      </c>
      <c r="D2499" s="3" t="s">
        <v>50</v>
      </c>
      <c r="E2499" s="3" t="s">
        <v>173</v>
      </c>
      <c r="F2499" s="3" t="s">
        <v>52</v>
      </c>
      <c r="G2499" s="3" t="s">
        <v>173</v>
      </c>
      <c r="H2499" s="3" t="s">
        <v>45</v>
      </c>
      <c r="I2499" s="3">
        <v>2025</v>
      </c>
      <c r="J2499" s="3" t="str">
        <f>CONCATENATE("54820048202")</f>
        <v>54820048202</v>
      </c>
      <c r="K2499" s="3" t="s">
        <v>33</v>
      </c>
      <c r="L2499" s="3"/>
      <c r="M2499" s="3" t="s">
        <v>131</v>
      </c>
      <c r="N2499" s="3" t="str">
        <f>CONCATENATE("BNCNRT64C51Z103P")</f>
        <v>BNCNRT64C51Z103P</v>
      </c>
      <c r="O2499" s="3" t="s">
        <v>2634</v>
      </c>
      <c r="P2499" s="3" t="s">
        <v>36</v>
      </c>
      <c r="Q2499" s="3"/>
      <c r="R2499" s="4">
        <v>45996</v>
      </c>
      <c r="S2499" s="3" t="s">
        <v>37</v>
      </c>
      <c r="T2499" s="3" t="s">
        <v>38</v>
      </c>
      <c r="U2499" s="3" t="s">
        <v>39</v>
      </c>
      <c r="V2499" s="3">
        <v>577.17999999999995</v>
      </c>
      <c r="W2499" s="3">
        <v>245.3</v>
      </c>
      <c r="X2499" s="3">
        <v>232.31</v>
      </c>
      <c r="Y2499" s="3">
        <v>99.57</v>
      </c>
    </row>
    <row r="2500" spans="1:25" ht="60.75" x14ac:dyDescent="0.25">
      <c r="A2500" s="3" t="s">
        <v>26</v>
      </c>
      <c r="B2500" s="3" t="s">
        <v>27</v>
      </c>
      <c r="C2500" s="3" t="s">
        <v>28</v>
      </c>
      <c r="D2500" s="3" t="s">
        <v>50</v>
      </c>
      <c r="E2500" s="3" t="s">
        <v>60</v>
      </c>
      <c r="F2500" s="3" t="s">
        <v>52</v>
      </c>
      <c r="G2500" s="3" t="s">
        <v>60</v>
      </c>
      <c r="H2500" s="3" t="s">
        <v>45</v>
      </c>
      <c r="I2500" s="3">
        <v>2025</v>
      </c>
      <c r="J2500" s="3" t="str">
        <f>CONCATENATE("54820109046")</f>
        <v>54820109046</v>
      </c>
      <c r="K2500" s="3" t="s">
        <v>33</v>
      </c>
      <c r="L2500" s="3"/>
      <c r="M2500" s="3" t="s">
        <v>131</v>
      </c>
      <c r="N2500" s="3" t="str">
        <f>CONCATENATE("CSTGPP45C17B352M")</f>
        <v>CSTGPP45C17B352M</v>
      </c>
      <c r="O2500" s="3" t="s">
        <v>2635</v>
      </c>
      <c r="P2500" s="3" t="s">
        <v>36</v>
      </c>
      <c r="Q2500" s="3"/>
      <c r="R2500" s="4">
        <v>45996</v>
      </c>
      <c r="S2500" s="3" t="s">
        <v>37</v>
      </c>
      <c r="T2500" s="3" t="s">
        <v>38</v>
      </c>
      <c r="U2500" s="3" t="s">
        <v>39</v>
      </c>
      <c r="V2500" s="3">
        <v>114.1</v>
      </c>
      <c r="W2500" s="3">
        <v>48.49</v>
      </c>
      <c r="X2500" s="3">
        <v>45.93</v>
      </c>
      <c r="Y2500" s="3">
        <v>19.68</v>
      </c>
    </row>
    <row r="2501" spans="1:25" ht="60.75" x14ac:dyDescent="0.25">
      <c r="A2501" s="3" t="s">
        <v>26</v>
      </c>
      <c r="B2501" s="3" t="s">
        <v>27</v>
      </c>
      <c r="C2501" s="3" t="s">
        <v>28</v>
      </c>
      <c r="D2501" s="3" t="s">
        <v>29</v>
      </c>
      <c r="E2501" s="3" t="s">
        <v>228</v>
      </c>
      <c r="F2501" s="3" t="s">
        <v>31</v>
      </c>
      <c r="G2501" s="3" t="s">
        <v>228</v>
      </c>
      <c r="H2501" s="3" t="s">
        <v>45</v>
      </c>
      <c r="I2501" s="3">
        <v>2025</v>
      </c>
      <c r="J2501" s="3" t="str">
        <f>CONCATENATE("54820066717")</f>
        <v>54820066717</v>
      </c>
      <c r="K2501" s="3" t="s">
        <v>33</v>
      </c>
      <c r="L2501" s="3"/>
      <c r="M2501" s="3" t="s">
        <v>131</v>
      </c>
      <c r="N2501" s="3" t="str">
        <f>CONCATENATE("TNLNGL53S27B846A")</f>
        <v>TNLNGL53S27B846A</v>
      </c>
      <c r="O2501" s="3" t="s">
        <v>2636</v>
      </c>
      <c r="P2501" s="3" t="s">
        <v>36</v>
      </c>
      <c r="Q2501" s="3"/>
      <c r="R2501" s="4">
        <v>45996</v>
      </c>
      <c r="S2501" s="3" t="s">
        <v>37</v>
      </c>
      <c r="T2501" s="3" t="s">
        <v>38</v>
      </c>
      <c r="U2501" s="3" t="s">
        <v>39</v>
      </c>
      <c r="V2501" s="3">
        <v>210.07</v>
      </c>
      <c r="W2501" s="3">
        <v>89.28</v>
      </c>
      <c r="X2501" s="3">
        <v>84.55</v>
      </c>
      <c r="Y2501" s="3">
        <v>36.24</v>
      </c>
    </row>
    <row r="2502" spans="1:25" ht="72.75" x14ac:dyDescent="0.25">
      <c r="A2502" s="3" t="s">
        <v>26</v>
      </c>
      <c r="B2502" s="3" t="s">
        <v>27</v>
      </c>
      <c r="C2502" s="3" t="s">
        <v>28</v>
      </c>
      <c r="D2502" s="3" t="s">
        <v>29</v>
      </c>
      <c r="E2502" s="3" t="s">
        <v>47</v>
      </c>
      <c r="F2502" s="3" t="s">
        <v>31</v>
      </c>
      <c r="G2502" s="3" t="s">
        <v>47</v>
      </c>
      <c r="H2502" s="3" t="s">
        <v>48</v>
      </c>
      <c r="I2502" s="3">
        <v>2025</v>
      </c>
      <c r="J2502" s="3" t="str">
        <f>CONCATENATE("54820015581")</f>
        <v>54820015581</v>
      </c>
      <c r="K2502" s="3" t="s">
        <v>33</v>
      </c>
      <c r="L2502" s="3"/>
      <c r="M2502" s="3" t="s">
        <v>131</v>
      </c>
      <c r="N2502" s="3" t="str">
        <f>CONCATENATE("CRSDNL80A08D451U")</f>
        <v>CRSDNL80A08D451U</v>
      </c>
      <c r="O2502" s="3" t="s">
        <v>2637</v>
      </c>
      <c r="P2502" s="3" t="s">
        <v>36</v>
      </c>
      <c r="Q2502" s="3"/>
      <c r="R2502" s="4">
        <v>45996</v>
      </c>
      <c r="S2502" s="3" t="s">
        <v>37</v>
      </c>
      <c r="T2502" s="3" t="s">
        <v>38</v>
      </c>
      <c r="U2502" s="3" t="s">
        <v>39</v>
      </c>
      <c r="V2502" s="3">
        <v>101.8</v>
      </c>
      <c r="W2502" s="3">
        <v>43.27</v>
      </c>
      <c r="X2502" s="3">
        <v>40.97</v>
      </c>
      <c r="Y2502" s="3">
        <v>17.559999999999999</v>
      </c>
    </row>
    <row r="2503" spans="1:25" ht="60.75" x14ac:dyDescent="0.25">
      <c r="A2503" s="3" t="s">
        <v>26</v>
      </c>
      <c r="B2503" s="3" t="s">
        <v>27</v>
      </c>
      <c r="C2503" s="3" t="s">
        <v>28</v>
      </c>
      <c r="D2503" s="3" t="s">
        <v>29</v>
      </c>
      <c r="E2503" s="3" t="s">
        <v>119</v>
      </c>
      <c r="F2503" s="3" t="s">
        <v>31</v>
      </c>
      <c r="G2503" s="3" t="s">
        <v>119</v>
      </c>
      <c r="H2503" s="3" t="s">
        <v>96</v>
      </c>
      <c r="I2503" s="3">
        <v>2025</v>
      </c>
      <c r="J2503" s="3" t="str">
        <f>CONCATENATE("54820121512")</f>
        <v>54820121512</v>
      </c>
      <c r="K2503" s="3" t="s">
        <v>33</v>
      </c>
      <c r="L2503" s="3"/>
      <c r="M2503" s="3" t="s">
        <v>131</v>
      </c>
      <c r="N2503" s="3" t="str">
        <f>CONCATENATE("DLTSFN54L26D691L")</f>
        <v>DLTSFN54L26D691L</v>
      </c>
      <c r="O2503" s="3" t="s">
        <v>2638</v>
      </c>
      <c r="P2503" s="3" t="s">
        <v>36</v>
      </c>
      <c r="Q2503" s="3"/>
      <c r="R2503" s="4">
        <v>45996</v>
      </c>
      <c r="S2503" s="3" t="s">
        <v>37</v>
      </c>
      <c r="T2503" s="3" t="s">
        <v>38</v>
      </c>
      <c r="U2503" s="3" t="s">
        <v>39</v>
      </c>
      <c r="V2503" s="3">
        <v>288.33999999999997</v>
      </c>
      <c r="W2503" s="3">
        <v>122.54</v>
      </c>
      <c r="X2503" s="3">
        <v>116.06</v>
      </c>
      <c r="Y2503" s="3">
        <v>49.74</v>
      </c>
    </row>
    <row r="2504" spans="1:25" ht="60.75" x14ac:dyDescent="0.25">
      <c r="A2504" s="3" t="s">
        <v>26</v>
      </c>
      <c r="B2504" s="3" t="s">
        <v>27</v>
      </c>
      <c r="C2504" s="3" t="s">
        <v>28</v>
      </c>
      <c r="D2504" s="3" t="s">
        <v>40</v>
      </c>
      <c r="E2504" s="3" t="s">
        <v>44</v>
      </c>
      <c r="F2504" s="3" t="s">
        <v>42</v>
      </c>
      <c r="G2504" s="3" t="s">
        <v>44</v>
      </c>
      <c r="H2504" s="3" t="s">
        <v>32</v>
      </c>
      <c r="I2504" s="3">
        <v>2025</v>
      </c>
      <c r="J2504" s="3" t="str">
        <f>CONCATENATE("54820026406")</f>
        <v>54820026406</v>
      </c>
      <c r="K2504" s="3" t="s">
        <v>33</v>
      </c>
      <c r="L2504" s="3"/>
      <c r="M2504" s="3" t="s">
        <v>131</v>
      </c>
      <c r="N2504" s="3" t="str">
        <f>CONCATENATE("BRRRLA62H11H876Z")</f>
        <v>BRRRLA62H11H876Z</v>
      </c>
      <c r="O2504" s="3" t="s">
        <v>2639</v>
      </c>
      <c r="P2504" s="3" t="s">
        <v>36</v>
      </c>
      <c r="Q2504" s="3"/>
      <c r="R2504" s="4">
        <v>45996</v>
      </c>
      <c r="S2504" s="3" t="s">
        <v>37</v>
      </c>
      <c r="T2504" s="3" t="s">
        <v>38</v>
      </c>
      <c r="U2504" s="3" t="s">
        <v>39</v>
      </c>
      <c r="V2504" s="3">
        <v>311.95</v>
      </c>
      <c r="W2504" s="3">
        <v>132.58000000000001</v>
      </c>
      <c r="X2504" s="3">
        <v>125.56</v>
      </c>
      <c r="Y2504" s="3">
        <v>53.81</v>
      </c>
    </row>
    <row r="2505" spans="1:25" ht="60.75" x14ac:dyDescent="0.25">
      <c r="A2505" s="3" t="s">
        <v>26</v>
      </c>
      <c r="B2505" s="3" t="s">
        <v>27</v>
      </c>
      <c r="C2505" s="3" t="s">
        <v>28</v>
      </c>
      <c r="D2505" s="3" t="s">
        <v>29</v>
      </c>
      <c r="E2505" s="3" t="s">
        <v>119</v>
      </c>
      <c r="F2505" s="3" t="s">
        <v>31</v>
      </c>
      <c r="G2505" s="3" t="s">
        <v>119</v>
      </c>
      <c r="H2505" s="3" t="s">
        <v>96</v>
      </c>
      <c r="I2505" s="3">
        <v>2025</v>
      </c>
      <c r="J2505" s="3" t="str">
        <f>CONCATENATE("54820018239")</f>
        <v>54820018239</v>
      </c>
      <c r="K2505" s="3" t="s">
        <v>33</v>
      </c>
      <c r="L2505" s="3"/>
      <c r="M2505" s="3" t="s">
        <v>131</v>
      </c>
      <c r="N2505" s="3" t="str">
        <f>CONCATENATE("MRTNNA66E68F509U")</f>
        <v>MRTNNA66E68F509U</v>
      </c>
      <c r="O2505" s="3" t="s">
        <v>2640</v>
      </c>
      <c r="P2505" s="3" t="s">
        <v>36</v>
      </c>
      <c r="Q2505" s="3"/>
      <c r="R2505" s="4">
        <v>45996</v>
      </c>
      <c r="S2505" s="3" t="s">
        <v>37</v>
      </c>
      <c r="T2505" s="3" t="s">
        <v>38</v>
      </c>
      <c r="U2505" s="3" t="s">
        <v>39</v>
      </c>
      <c r="V2505" s="3">
        <v>186.29</v>
      </c>
      <c r="W2505" s="3">
        <v>79.17</v>
      </c>
      <c r="X2505" s="3">
        <v>74.98</v>
      </c>
      <c r="Y2505" s="3">
        <v>32.14</v>
      </c>
    </row>
    <row r="2506" spans="1:25" ht="72.75" x14ac:dyDescent="0.25">
      <c r="A2506" s="3" t="s">
        <v>26</v>
      </c>
      <c r="B2506" s="3" t="s">
        <v>27</v>
      </c>
      <c r="C2506" s="3" t="s">
        <v>28</v>
      </c>
      <c r="D2506" s="3" t="s">
        <v>40</v>
      </c>
      <c r="E2506" s="3" t="s">
        <v>41</v>
      </c>
      <c r="F2506" s="3" t="s">
        <v>42</v>
      </c>
      <c r="G2506" s="3" t="s">
        <v>41</v>
      </c>
      <c r="H2506" s="3" t="s">
        <v>32</v>
      </c>
      <c r="I2506" s="3">
        <v>2025</v>
      </c>
      <c r="J2506" s="3" t="str">
        <f>CONCATENATE("54820095310")</f>
        <v>54820095310</v>
      </c>
      <c r="K2506" s="3" t="s">
        <v>33</v>
      </c>
      <c r="L2506" s="3"/>
      <c r="M2506" s="3" t="s">
        <v>131</v>
      </c>
      <c r="N2506" s="3" t="str">
        <f>CONCATENATE("NTLRRT80A14B474N")</f>
        <v>NTLRRT80A14B474N</v>
      </c>
      <c r="O2506" s="3" t="s">
        <v>2641</v>
      </c>
      <c r="P2506" s="3" t="s">
        <v>36</v>
      </c>
      <c r="Q2506" s="3"/>
      <c r="R2506" s="4">
        <v>45996</v>
      </c>
      <c r="S2506" s="3" t="s">
        <v>37</v>
      </c>
      <c r="T2506" s="3" t="s">
        <v>38</v>
      </c>
      <c r="U2506" s="3" t="s">
        <v>39</v>
      </c>
      <c r="V2506" s="3">
        <v>867.4</v>
      </c>
      <c r="W2506" s="3">
        <v>368.65</v>
      </c>
      <c r="X2506" s="3">
        <v>349.13</v>
      </c>
      <c r="Y2506" s="3">
        <v>149.62</v>
      </c>
    </row>
    <row r="2507" spans="1:25" ht="60.75" x14ac:dyDescent="0.25">
      <c r="A2507" s="3" t="s">
        <v>26</v>
      </c>
      <c r="B2507" s="3" t="s">
        <v>27</v>
      </c>
      <c r="C2507" s="3" t="s">
        <v>28</v>
      </c>
      <c r="D2507" s="3" t="s">
        <v>40</v>
      </c>
      <c r="E2507" s="3" t="s">
        <v>496</v>
      </c>
      <c r="F2507" s="3" t="s">
        <v>42</v>
      </c>
      <c r="G2507" s="3" t="s">
        <v>496</v>
      </c>
      <c r="H2507" s="3" t="s">
        <v>32</v>
      </c>
      <c r="I2507" s="3">
        <v>2025</v>
      </c>
      <c r="J2507" s="3" t="str">
        <f>CONCATENATE("54820046594")</f>
        <v>54820046594</v>
      </c>
      <c r="K2507" s="3" t="s">
        <v>33</v>
      </c>
      <c r="L2507" s="3"/>
      <c r="M2507" s="3" t="s">
        <v>131</v>
      </c>
      <c r="N2507" s="3" t="str">
        <f>CONCATENATE("BNCDRN51B25I651V")</f>
        <v>BNCDRN51B25I651V</v>
      </c>
      <c r="O2507" s="3" t="s">
        <v>2642</v>
      </c>
      <c r="P2507" s="3" t="s">
        <v>36</v>
      </c>
      <c r="Q2507" s="3"/>
      <c r="R2507" s="4">
        <v>45996</v>
      </c>
      <c r="S2507" s="3" t="s">
        <v>37</v>
      </c>
      <c r="T2507" s="3" t="s">
        <v>38</v>
      </c>
      <c r="U2507" s="3" t="s">
        <v>39</v>
      </c>
      <c r="V2507" s="3">
        <v>75.48</v>
      </c>
      <c r="W2507" s="3">
        <v>32.08</v>
      </c>
      <c r="X2507" s="3">
        <v>30.38</v>
      </c>
      <c r="Y2507" s="3">
        <v>13.02</v>
      </c>
    </row>
    <row r="2508" spans="1:25" ht="60.75" x14ac:dyDescent="0.25">
      <c r="A2508" s="3" t="s">
        <v>26</v>
      </c>
      <c r="B2508" s="3" t="s">
        <v>27</v>
      </c>
      <c r="C2508" s="3" t="s">
        <v>28</v>
      </c>
      <c r="D2508" s="3" t="s">
        <v>104</v>
      </c>
      <c r="E2508" s="3" t="s">
        <v>105</v>
      </c>
      <c r="F2508" s="3" t="s">
        <v>104</v>
      </c>
      <c r="G2508" s="3" t="s">
        <v>105</v>
      </c>
      <c r="H2508" s="3" t="s">
        <v>45</v>
      </c>
      <c r="I2508" s="3">
        <v>2025</v>
      </c>
      <c r="J2508" s="3" t="str">
        <f>CONCATENATE("54820045620")</f>
        <v>54820045620</v>
      </c>
      <c r="K2508" s="3" t="s">
        <v>33</v>
      </c>
      <c r="L2508" s="3"/>
      <c r="M2508" s="3" t="s">
        <v>131</v>
      </c>
      <c r="N2508" s="3" t="str">
        <f>CONCATENATE("PLVRTT60C64D749Y")</f>
        <v>PLVRTT60C64D749Y</v>
      </c>
      <c r="O2508" s="3" t="s">
        <v>2643</v>
      </c>
      <c r="P2508" s="3" t="s">
        <v>36</v>
      </c>
      <c r="Q2508" s="3"/>
      <c r="R2508" s="4">
        <v>45996</v>
      </c>
      <c r="S2508" s="3" t="s">
        <v>37</v>
      </c>
      <c r="T2508" s="3" t="s">
        <v>38</v>
      </c>
      <c r="U2508" s="3" t="s">
        <v>39</v>
      </c>
      <c r="V2508" s="3">
        <v>165.64</v>
      </c>
      <c r="W2508" s="3">
        <v>70.400000000000006</v>
      </c>
      <c r="X2508" s="3">
        <v>66.67</v>
      </c>
      <c r="Y2508" s="3">
        <v>28.57</v>
      </c>
    </row>
    <row r="2509" spans="1:25" ht="72.75" x14ac:dyDescent="0.25">
      <c r="A2509" s="3" t="s">
        <v>26</v>
      </c>
      <c r="B2509" s="3" t="s">
        <v>27</v>
      </c>
      <c r="C2509" s="3" t="s">
        <v>28</v>
      </c>
      <c r="D2509" s="3" t="s">
        <v>29</v>
      </c>
      <c r="E2509" s="3" t="s">
        <v>56</v>
      </c>
      <c r="F2509" s="3" t="s">
        <v>31</v>
      </c>
      <c r="G2509" s="3" t="s">
        <v>56</v>
      </c>
      <c r="H2509" s="3" t="s">
        <v>32</v>
      </c>
      <c r="I2509" s="3">
        <v>2025</v>
      </c>
      <c r="J2509" s="3" t="str">
        <f>CONCATENATE("54820077359")</f>
        <v>54820077359</v>
      </c>
      <c r="K2509" s="3" t="s">
        <v>33</v>
      </c>
      <c r="L2509" s="3"/>
      <c r="M2509" s="3" t="s">
        <v>131</v>
      </c>
      <c r="N2509" s="3" t="str">
        <f>CONCATENATE("FDEMRZ57M17D564B")</f>
        <v>FDEMRZ57M17D564B</v>
      </c>
      <c r="O2509" s="3" t="s">
        <v>2644</v>
      </c>
      <c r="P2509" s="3" t="s">
        <v>36</v>
      </c>
      <c r="Q2509" s="3"/>
      <c r="R2509" s="4">
        <v>45996</v>
      </c>
      <c r="S2509" s="3" t="s">
        <v>37</v>
      </c>
      <c r="T2509" s="3" t="s">
        <v>38</v>
      </c>
      <c r="U2509" s="3" t="s">
        <v>39</v>
      </c>
      <c r="V2509" s="3">
        <v>338.98</v>
      </c>
      <c r="W2509" s="3">
        <v>144.07</v>
      </c>
      <c r="X2509" s="3">
        <v>136.44</v>
      </c>
      <c r="Y2509" s="3">
        <v>58.47</v>
      </c>
    </row>
    <row r="2510" spans="1:25" ht="60.75" x14ac:dyDescent="0.25">
      <c r="A2510" s="3" t="s">
        <v>26</v>
      </c>
      <c r="B2510" s="3" t="s">
        <v>27</v>
      </c>
      <c r="C2510" s="3" t="s">
        <v>28</v>
      </c>
      <c r="D2510" s="3" t="s">
        <v>29</v>
      </c>
      <c r="E2510" s="3" t="s">
        <v>80</v>
      </c>
      <c r="F2510" s="3" t="s">
        <v>31</v>
      </c>
      <c r="G2510" s="3" t="s">
        <v>80</v>
      </c>
      <c r="H2510" s="3" t="s">
        <v>45</v>
      </c>
      <c r="I2510" s="3">
        <v>2025</v>
      </c>
      <c r="J2510" s="3" t="str">
        <f>CONCATENATE("54820061643")</f>
        <v>54820061643</v>
      </c>
      <c r="K2510" s="3" t="s">
        <v>33</v>
      </c>
      <c r="L2510" s="3"/>
      <c r="M2510" s="3" t="s">
        <v>131</v>
      </c>
      <c r="N2510" s="3" t="str">
        <f>CONCATENATE("RCCGPP44S15I461X")</f>
        <v>RCCGPP44S15I461X</v>
      </c>
      <c r="O2510" s="3" t="s">
        <v>2645</v>
      </c>
      <c r="P2510" s="3" t="s">
        <v>36</v>
      </c>
      <c r="Q2510" s="3"/>
      <c r="R2510" s="4">
        <v>45996</v>
      </c>
      <c r="S2510" s="3" t="s">
        <v>37</v>
      </c>
      <c r="T2510" s="3" t="s">
        <v>38</v>
      </c>
      <c r="U2510" s="3" t="s">
        <v>39</v>
      </c>
      <c r="V2510" s="3">
        <v>700.25</v>
      </c>
      <c r="W2510" s="3">
        <v>297.61</v>
      </c>
      <c r="X2510" s="3">
        <v>281.85000000000002</v>
      </c>
      <c r="Y2510" s="3">
        <v>120.79</v>
      </c>
    </row>
    <row r="2511" spans="1:25" ht="60.75" x14ac:dyDescent="0.25">
      <c r="A2511" s="3" t="s">
        <v>26</v>
      </c>
      <c r="B2511" s="3" t="s">
        <v>27</v>
      </c>
      <c r="C2511" s="3" t="s">
        <v>28</v>
      </c>
      <c r="D2511" s="3" t="s">
        <v>50</v>
      </c>
      <c r="E2511" s="3" t="s">
        <v>147</v>
      </c>
      <c r="F2511" s="3" t="s">
        <v>52</v>
      </c>
      <c r="G2511" s="3" t="s">
        <v>147</v>
      </c>
      <c r="H2511" s="3" t="s">
        <v>45</v>
      </c>
      <c r="I2511" s="3">
        <v>2025</v>
      </c>
      <c r="J2511" s="3" t="str">
        <f>CONCATENATE("54820149810")</f>
        <v>54820149810</v>
      </c>
      <c r="K2511" s="3" t="s">
        <v>33</v>
      </c>
      <c r="L2511" s="3"/>
      <c r="M2511" s="3" t="s">
        <v>131</v>
      </c>
      <c r="N2511" s="3" t="str">
        <f>CONCATENATE("GNSVNC51T18L500A")</f>
        <v>GNSVNC51T18L500A</v>
      </c>
      <c r="O2511" s="3" t="s">
        <v>2646</v>
      </c>
      <c r="P2511" s="3" t="s">
        <v>36</v>
      </c>
      <c r="Q2511" s="3"/>
      <c r="R2511" s="4">
        <v>45996</v>
      </c>
      <c r="S2511" s="3" t="s">
        <v>37</v>
      </c>
      <c r="T2511" s="3" t="s">
        <v>38</v>
      </c>
      <c r="U2511" s="3" t="s">
        <v>39</v>
      </c>
      <c r="V2511" s="3">
        <v>344.71</v>
      </c>
      <c r="W2511" s="3">
        <v>146.5</v>
      </c>
      <c r="X2511" s="3">
        <v>138.75</v>
      </c>
      <c r="Y2511" s="3">
        <v>59.46</v>
      </c>
    </row>
    <row r="2512" spans="1:25" ht="72.75" x14ac:dyDescent="0.25">
      <c r="A2512" s="3" t="s">
        <v>26</v>
      </c>
      <c r="B2512" s="3" t="s">
        <v>27</v>
      </c>
      <c r="C2512" s="3" t="s">
        <v>28</v>
      </c>
      <c r="D2512" s="3" t="s">
        <v>40</v>
      </c>
      <c r="E2512" s="3" t="s">
        <v>41</v>
      </c>
      <c r="F2512" s="3" t="s">
        <v>42</v>
      </c>
      <c r="G2512" s="3" t="s">
        <v>41</v>
      </c>
      <c r="H2512" s="3" t="s">
        <v>32</v>
      </c>
      <c r="I2512" s="3">
        <v>2025</v>
      </c>
      <c r="J2512" s="3" t="str">
        <f>CONCATENATE("54820034640")</f>
        <v>54820034640</v>
      </c>
      <c r="K2512" s="3" t="s">
        <v>33</v>
      </c>
      <c r="L2512" s="3"/>
      <c r="M2512" s="3" t="s">
        <v>131</v>
      </c>
      <c r="N2512" s="3" t="str">
        <f>CONCATENATE("PDCMRN69C13B474D")</f>
        <v>PDCMRN69C13B474D</v>
      </c>
      <c r="O2512" s="3" t="s">
        <v>2647</v>
      </c>
      <c r="P2512" s="3" t="s">
        <v>36</v>
      </c>
      <c r="Q2512" s="3"/>
      <c r="R2512" s="4">
        <v>45996</v>
      </c>
      <c r="S2512" s="3" t="s">
        <v>37</v>
      </c>
      <c r="T2512" s="3" t="s">
        <v>38</v>
      </c>
      <c r="U2512" s="3" t="s">
        <v>39</v>
      </c>
      <c r="V2512" s="3">
        <v>143.54</v>
      </c>
      <c r="W2512" s="3">
        <v>61</v>
      </c>
      <c r="X2512" s="3">
        <v>57.77</v>
      </c>
      <c r="Y2512" s="3">
        <v>24.77</v>
      </c>
    </row>
    <row r="2513" spans="1:25" ht="60.75" x14ac:dyDescent="0.25">
      <c r="A2513" s="3" t="s">
        <v>26</v>
      </c>
      <c r="B2513" s="3" t="s">
        <v>27</v>
      </c>
      <c r="C2513" s="3" t="s">
        <v>28</v>
      </c>
      <c r="D2513" s="3" t="s">
        <v>29</v>
      </c>
      <c r="E2513" s="3" t="s">
        <v>80</v>
      </c>
      <c r="F2513" s="3" t="s">
        <v>31</v>
      </c>
      <c r="G2513" s="3" t="s">
        <v>80</v>
      </c>
      <c r="H2513" s="3" t="s">
        <v>45</v>
      </c>
      <c r="I2513" s="3">
        <v>2025</v>
      </c>
      <c r="J2513" s="3" t="str">
        <f>CONCATENATE("54820111612")</f>
        <v>54820111612</v>
      </c>
      <c r="K2513" s="3" t="s">
        <v>33</v>
      </c>
      <c r="L2513" s="3"/>
      <c r="M2513" s="3" t="s">
        <v>131</v>
      </c>
      <c r="N2513" s="3" t="str">
        <f>CONCATENATE("CSVLNE48M62B352C")</f>
        <v>CSVLNE48M62B352C</v>
      </c>
      <c r="O2513" s="3" t="s">
        <v>2648</v>
      </c>
      <c r="P2513" s="3" t="s">
        <v>36</v>
      </c>
      <c r="Q2513" s="3"/>
      <c r="R2513" s="4">
        <v>45996</v>
      </c>
      <c r="S2513" s="3" t="s">
        <v>37</v>
      </c>
      <c r="T2513" s="3" t="s">
        <v>38</v>
      </c>
      <c r="U2513" s="3" t="s">
        <v>39</v>
      </c>
      <c r="V2513" s="3">
        <v>381.29</v>
      </c>
      <c r="W2513" s="3">
        <v>162.05000000000001</v>
      </c>
      <c r="X2513" s="3">
        <v>153.47</v>
      </c>
      <c r="Y2513" s="3">
        <v>65.77</v>
      </c>
    </row>
    <row r="2514" spans="1:25" ht="60.75" x14ac:dyDescent="0.25">
      <c r="A2514" s="3" t="s">
        <v>26</v>
      </c>
      <c r="B2514" s="3" t="s">
        <v>27</v>
      </c>
      <c r="C2514" s="3" t="s">
        <v>28</v>
      </c>
      <c r="D2514" s="3" t="s">
        <v>50</v>
      </c>
      <c r="E2514" s="3" t="s">
        <v>60</v>
      </c>
      <c r="F2514" s="3" t="s">
        <v>52</v>
      </c>
      <c r="G2514" s="3" t="s">
        <v>60</v>
      </c>
      <c r="H2514" s="3" t="s">
        <v>45</v>
      </c>
      <c r="I2514" s="3">
        <v>2025</v>
      </c>
      <c r="J2514" s="3" t="str">
        <f>CONCATENATE("54820083506")</f>
        <v>54820083506</v>
      </c>
      <c r="K2514" s="3" t="s">
        <v>33</v>
      </c>
      <c r="L2514" s="3"/>
      <c r="M2514" s="3" t="s">
        <v>131</v>
      </c>
      <c r="N2514" s="3" t="str">
        <f>CONCATENATE("BRNTZN62P07I654K")</f>
        <v>BRNTZN62P07I654K</v>
      </c>
      <c r="O2514" s="3" t="s">
        <v>2649</v>
      </c>
      <c r="P2514" s="3" t="s">
        <v>36</v>
      </c>
      <c r="Q2514" s="3"/>
      <c r="R2514" s="4">
        <v>45996</v>
      </c>
      <c r="S2514" s="3" t="s">
        <v>37</v>
      </c>
      <c r="T2514" s="3" t="s">
        <v>38</v>
      </c>
      <c r="U2514" s="3" t="s">
        <v>39</v>
      </c>
      <c r="V2514" s="3">
        <v>52.26</v>
      </c>
      <c r="W2514" s="3">
        <v>22.21</v>
      </c>
      <c r="X2514" s="3">
        <v>21.03</v>
      </c>
      <c r="Y2514" s="3">
        <v>9.02</v>
      </c>
    </row>
    <row r="2515" spans="1:25" ht="36.75" x14ac:dyDescent="0.25">
      <c r="A2515" s="3" t="s">
        <v>26</v>
      </c>
      <c r="B2515" s="3" t="s">
        <v>27</v>
      </c>
      <c r="C2515" s="3" t="s">
        <v>28</v>
      </c>
      <c r="D2515" s="3" t="s">
        <v>50</v>
      </c>
      <c r="E2515" s="3" t="s">
        <v>252</v>
      </c>
      <c r="F2515" s="3" t="s">
        <v>52</v>
      </c>
      <c r="G2515" s="3" t="s">
        <v>252</v>
      </c>
      <c r="H2515" s="3" t="s">
        <v>45</v>
      </c>
      <c r="I2515" s="3">
        <v>2025</v>
      </c>
      <c r="J2515" s="3" t="str">
        <f>CONCATENATE("54820147228")</f>
        <v>54820147228</v>
      </c>
      <c r="K2515" s="3" t="s">
        <v>33</v>
      </c>
      <c r="L2515" s="3"/>
      <c r="M2515" s="3" t="s">
        <v>131</v>
      </c>
      <c r="N2515" s="3" t="str">
        <f>CONCATENATE("02102240419")</f>
        <v>02102240419</v>
      </c>
      <c r="O2515" s="3" t="s">
        <v>2650</v>
      </c>
      <c r="P2515" s="3" t="s">
        <v>36</v>
      </c>
      <c r="Q2515" s="3"/>
      <c r="R2515" s="4">
        <v>45996</v>
      </c>
      <c r="S2515" s="3" t="s">
        <v>37</v>
      </c>
      <c r="T2515" s="3" t="s">
        <v>38</v>
      </c>
      <c r="U2515" s="3" t="s">
        <v>39</v>
      </c>
      <c r="V2515" s="3">
        <v>301.82</v>
      </c>
      <c r="W2515" s="3">
        <v>128.27000000000001</v>
      </c>
      <c r="X2515" s="3">
        <v>121.48</v>
      </c>
      <c r="Y2515" s="3">
        <v>52.07</v>
      </c>
    </row>
    <row r="2516" spans="1:25" ht="72.75" x14ac:dyDescent="0.25">
      <c r="A2516" s="3" t="s">
        <v>26</v>
      </c>
      <c r="B2516" s="3" t="s">
        <v>27</v>
      </c>
      <c r="C2516" s="3" t="s">
        <v>28</v>
      </c>
      <c r="D2516" s="3" t="s">
        <v>29</v>
      </c>
      <c r="E2516" s="3" t="s">
        <v>56</v>
      </c>
      <c r="F2516" s="3" t="s">
        <v>31</v>
      </c>
      <c r="G2516" s="3" t="s">
        <v>56</v>
      </c>
      <c r="H2516" s="3" t="s">
        <v>32</v>
      </c>
      <c r="I2516" s="3">
        <v>2025</v>
      </c>
      <c r="J2516" s="3" t="str">
        <f>CONCATENATE("54820119060")</f>
        <v>54820119060</v>
      </c>
      <c r="K2516" s="3" t="s">
        <v>33</v>
      </c>
      <c r="L2516" s="3"/>
      <c r="M2516" s="3" t="s">
        <v>131</v>
      </c>
      <c r="N2516" s="3" t="str">
        <f>CONCATENATE("MRLNTN49D18H501O")</f>
        <v>MRLNTN49D18H501O</v>
      </c>
      <c r="O2516" s="3" t="s">
        <v>2651</v>
      </c>
      <c r="P2516" s="3" t="s">
        <v>36</v>
      </c>
      <c r="Q2516" s="3"/>
      <c r="R2516" s="4">
        <v>45996</v>
      </c>
      <c r="S2516" s="3" t="s">
        <v>37</v>
      </c>
      <c r="T2516" s="3" t="s">
        <v>38</v>
      </c>
      <c r="U2516" s="3" t="s">
        <v>39</v>
      </c>
      <c r="V2516" s="3">
        <v>61.87</v>
      </c>
      <c r="W2516" s="3">
        <v>26.29</v>
      </c>
      <c r="X2516" s="3">
        <v>24.9</v>
      </c>
      <c r="Y2516" s="3">
        <v>10.68</v>
      </c>
    </row>
    <row r="2517" spans="1:25" ht="60.75" x14ac:dyDescent="0.25">
      <c r="A2517" s="3" t="s">
        <v>26</v>
      </c>
      <c r="B2517" s="3" t="s">
        <v>27</v>
      </c>
      <c r="C2517" s="3" t="s">
        <v>28</v>
      </c>
      <c r="D2517" s="3" t="s">
        <v>29</v>
      </c>
      <c r="E2517" s="3" t="s">
        <v>228</v>
      </c>
      <c r="F2517" s="3" t="s">
        <v>31</v>
      </c>
      <c r="G2517" s="3" t="s">
        <v>228</v>
      </c>
      <c r="H2517" s="3" t="s">
        <v>45</v>
      </c>
      <c r="I2517" s="3">
        <v>2025</v>
      </c>
      <c r="J2517" s="3" t="str">
        <f>CONCATENATE("54820054341")</f>
        <v>54820054341</v>
      </c>
      <c r="K2517" s="3" t="s">
        <v>33</v>
      </c>
      <c r="L2517" s="3"/>
      <c r="M2517" s="3" t="s">
        <v>131</v>
      </c>
      <c r="N2517" s="3" t="str">
        <f>CONCATENATE("TRRVNI58A22B352F")</f>
        <v>TRRVNI58A22B352F</v>
      </c>
      <c r="O2517" s="3" t="s">
        <v>2652</v>
      </c>
      <c r="P2517" s="3" t="s">
        <v>36</v>
      </c>
      <c r="Q2517" s="3"/>
      <c r="R2517" s="4">
        <v>45996</v>
      </c>
      <c r="S2517" s="3" t="s">
        <v>37</v>
      </c>
      <c r="T2517" s="3" t="s">
        <v>38</v>
      </c>
      <c r="U2517" s="3" t="s">
        <v>39</v>
      </c>
      <c r="V2517" s="3">
        <v>133.44</v>
      </c>
      <c r="W2517" s="3">
        <v>56.71</v>
      </c>
      <c r="X2517" s="3">
        <v>53.71</v>
      </c>
      <c r="Y2517" s="3">
        <v>23.02</v>
      </c>
    </row>
    <row r="2518" spans="1:25" ht="60.75" x14ac:dyDescent="0.25">
      <c r="A2518" s="3" t="s">
        <v>26</v>
      </c>
      <c r="B2518" s="3" t="s">
        <v>27</v>
      </c>
      <c r="C2518" s="3" t="s">
        <v>28</v>
      </c>
      <c r="D2518" s="3" t="s">
        <v>29</v>
      </c>
      <c r="E2518" s="3" t="s">
        <v>228</v>
      </c>
      <c r="F2518" s="3" t="s">
        <v>31</v>
      </c>
      <c r="G2518" s="3" t="s">
        <v>228</v>
      </c>
      <c r="H2518" s="3" t="s">
        <v>45</v>
      </c>
      <c r="I2518" s="3">
        <v>2025</v>
      </c>
      <c r="J2518" s="3" t="str">
        <f>CONCATENATE("54820054481")</f>
        <v>54820054481</v>
      </c>
      <c r="K2518" s="3" t="s">
        <v>33</v>
      </c>
      <c r="L2518" s="3"/>
      <c r="M2518" s="3" t="s">
        <v>131</v>
      </c>
      <c r="N2518" s="3" t="str">
        <f>CONCATENATE("TMSGTN41H06D749C")</f>
        <v>TMSGTN41H06D749C</v>
      </c>
      <c r="O2518" s="3" t="s">
        <v>2653</v>
      </c>
      <c r="P2518" s="3" t="s">
        <v>36</v>
      </c>
      <c r="Q2518" s="3"/>
      <c r="R2518" s="4">
        <v>45996</v>
      </c>
      <c r="S2518" s="3" t="s">
        <v>37</v>
      </c>
      <c r="T2518" s="3" t="s">
        <v>38</v>
      </c>
      <c r="U2518" s="3" t="s">
        <v>39</v>
      </c>
      <c r="V2518" s="3">
        <v>210.74</v>
      </c>
      <c r="W2518" s="3">
        <v>89.56</v>
      </c>
      <c r="X2518" s="3">
        <v>84.82</v>
      </c>
      <c r="Y2518" s="3">
        <v>36.36</v>
      </c>
    </row>
    <row r="2519" spans="1:25" ht="60.75" x14ac:dyDescent="0.25">
      <c r="A2519" s="3" t="s">
        <v>26</v>
      </c>
      <c r="B2519" s="3" t="s">
        <v>27</v>
      </c>
      <c r="C2519" s="3" t="s">
        <v>28</v>
      </c>
      <c r="D2519" s="3" t="s">
        <v>29</v>
      </c>
      <c r="E2519" s="3" t="s">
        <v>136</v>
      </c>
      <c r="F2519" s="3" t="s">
        <v>31</v>
      </c>
      <c r="G2519" s="3" t="s">
        <v>136</v>
      </c>
      <c r="H2519" s="3" t="s">
        <v>48</v>
      </c>
      <c r="I2519" s="3">
        <v>2025</v>
      </c>
      <c r="J2519" s="3" t="str">
        <f>CONCATENATE("54820010038")</f>
        <v>54820010038</v>
      </c>
      <c r="K2519" s="3" t="s">
        <v>33</v>
      </c>
      <c r="L2519" s="3"/>
      <c r="M2519" s="3" t="s">
        <v>131</v>
      </c>
      <c r="N2519" s="3" t="str">
        <f>CONCATENATE("TTTGNI32C14I461Y")</f>
        <v>TTTGNI32C14I461Y</v>
      </c>
      <c r="O2519" s="3" t="s">
        <v>2654</v>
      </c>
      <c r="P2519" s="3" t="s">
        <v>36</v>
      </c>
      <c r="Q2519" s="3"/>
      <c r="R2519" s="4">
        <v>45996</v>
      </c>
      <c r="S2519" s="3" t="s">
        <v>37</v>
      </c>
      <c r="T2519" s="3" t="s">
        <v>38</v>
      </c>
      <c r="U2519" s="3" t="s">
        <v>39</v>
      </c>
      <c r="V2519" s="3">
        <v>142.53</v>
      </c>
      <c r="W2519" s="3">
        <v>60.58</v>
      </c>
      <c r="X2519" s="3">
        <v>57.37</v>
      </c>
      <c r="Y2519" s="3">
        <v>24.58</v>
      </c>
    </row>
    <row r="2520" spans="1:25" ht="72.75" x14ac:dyDescent="0.25">
      <c r="A2520" s="3" t="s">
        <v>26</v>
      </c>
      <c r="B2520" s="3" t="s">
        <v>27</v>
      </c>
      <c r="C2520" s="3" t="s">
        <v>28</v>
      </c>
      <c r="D2520" s="3" t="s">
        <v>29</v>
      </c>
      <c r="E2520" s="3" t="s">
        <v>47</v>
      </c>
      <c r="F2520" s="3" t="s">
        <v>31</v>
      </c>
      <c r="G2520" s="3" t="s">
        <v>47</v>
      </c>
      <c r="H2520" s="3" t="s">
        <v>48</v>
      </c>
      <c r="I2520" s="3">
        <v>2025</v>
      </c>
      <c r="J2520" s="3" t="str">
        <f>CONCATENATE("54820032131")</f>
        <v>54820032131</v>
      </c>
      <c r="K2520" s="3" t="s">
        <v>33</v>
      </c>
      <c r="L2520" s="3"/>
      <c r="M2520" s="3" t="s">
        <v>131</v>
      </c>
      <c r="N2520" s="3" t="str">
        <f>CONCATENATE("NTCLNR69D47D612M")</f>
        <v>NTCLNR69D47D612M</v>
      </c>
      <c r="O2520" s="3" t="s">
        <v>2655</v>
      </c>
      <c r="P2520" s="3" t="s">
        <v>36</v>
      </c>
      <c r="Q2520" s="3"/>
      <c r="R2520" s="4">
        <v>45996</v>
      </c>
      <c r="S2520" s="3" t="s">
        <v>37</v>
      </c>
      <c r="T2520" s="3" t="s">
        <v>38</v>
      </c>
      <c r="U2520" s="3" t="s">
        <v>39</v>
      </c>
      <c r="V2520" s="3">
        <v>106.88</v>
      </c>
      <c r="W2520" s="3">
        <v>45.42</v>
      </c>
      <c r="X2520" s="3">
        <v>43.02</v>
      </c>
      <c r="Y2520" s="3">
        <v>18.440000000000001</v>
      </c>
    </row>
    <row r="2521" spans="1:25" ht="60.75" x14ac:dyDescent="0.25">
      <c r="A2521" s="3" t="s">
        <v>26</v>
      </c>
      <c r="B2521" s="3" t="s">
        <v>27</v>
      </c>
      <c r="C2521" s="3" t="s">
        <v>28</v>
      </c>
      <c r="D2521" s="3" t="s">
        <v>50</v>
      </c>
      <c r="E2521" s="3" t="s">
        <v>147</v>
      </c>
      <c r="F2521" s="3" t="s">
        <v>52</v>
      </c>
      <c r="G2521" s="3" t="s">
        <v>147</v>
      </c>
      <c r="H2521" s="3" t="s">
        <v>45</v>
      </c>
      <c r="I2521" s="3">
        <v>2025</v>
      </c>
      <c r="J2521" s="3" t="str">
        <f>CONCATENATE("54820123450")</f>
        <v>54820123450</v>
      </c>
      <c r="K2521" s="3" t="s">
        <v>33</v>
      </c>
      <c r="L2521" s="3"/>
      <c r="M2521" s="3" t="s">
        <v>131</v>
      </c>
      <c r="N2521" s="3" t="str">
        <f>CONCATENATE("LPUDNI53S24G416G")</f>
        <v>LPUDNI53S24G416G</v>
      </c>
      <c r="O2521" s="3" t="s">
        <v>2656</v>
      </c>
      <c r="P2521" s="3" t="s">
        <v>36</v>
      </c>
      <c r="Q2521" s="3"/>
      <c r="R2521" s="4">
        <v>45996</v>
      </c>
      <c r="S2521" s="3" t="s">
        <v>37</v>
      </c>
      <c r="T2521" s="3" t="s">
        <v>38</v>
      </c>
      <c r="U2521" s="3" t="s">
        <v>39</v>
      </c>
      <c r="V2521" s="3">
        <v>549.46</v>
      </c>
      <c r="W2521" s="3">
        <v>233.52</v>
      </c>
      <c r="X2521" s="3">
        <v>221.16</v>
      </c>
      <c r="Y2521" s="3">
        <v>94.78</v>
      </c>
    </row>
    <row r="2522" spans="1:25" ht="60.75" x14ac:dyDescent="0.25">
      <c r="A2522" s="3" t="s">
        <v>26</v>
      </c>
      <c r="B2522" s="3" t="s">
        <v>27</v>
      </c>
      <c r="C2522" s="3" t="s">
        <v>28</v>
      </c>
      <c r="D2522" s="3" t="s">
        <v>29</v>
      </c>
      <c r="E2522" s="3" t="s">
        <v>228</v>
      </c>
      <c r="F2522" s="3" t="s">
        <v>31</v>
      </c>
      <c r="G2522" s="3" t="s">
        <v>228</v>
      </c>
      <c r="H2522" s="3" t="s">
        <v>45</v>
      </c>
      <c r="I2522" s="3">
        <v>2025</v>
      </c>
      <c r="J2522" s="3" t="str">
        <f>CONCATENATE("54820056049")</f>
        <v>54820056049</v>
      </c>
      <c r="K2522" s="3" t="s">
        <v>33</v>
      </c>
      <c r="L2522" s="3"/>
      <c r="M2522" s="3" t="s">
        <v>131</v>
      </c>
      <c r="N2522" s="3" t="str">
        <f>CONCATENATE("SROGPP56C03G071F")</f>
        <v>SROGPP56C03G071F</v>
      </c>
      <c r="O2522" s="3" t="s">
        <v>2657</v>
      </c>
      <c r="P2522" s="3" t="s">
        <v>36</v>
      </c>
      <c r="Q2522" s="3"/>
      <c r="R2522" s="4">
        <v>45996</v>
      </c>
      <c r="S2522" s="3" t="s">
        <v>37</v>
      </c>
      <c r="T2522" s="3" t="s">
        <v>38</v>
      </c>
      <c r="U2522" s="3" t="s">
        <v>39</v>
      </c>
      <c r="V2522" s="3">
        <v>51.86</v>
      </c>
      <c r="W2522" s="3">
        <v>22.04</v>
      </c>
      <c r="X2522" s="3">
        <v>20.87</v>
      </c>
      <c r="Y2522" s="3">
        <v>8.9499999999999993</v>
      </c>
    </row>
    <row r="2523" spans="1:25" ht="60.75" x14ac:dyDescent="0.25">
      <c r="A2523" s="3" t="s">
        <v>26</v>
      </c>
      <c r="B2523" s="3" t="s">
        <v>27</v>
      </c>
      <c r="C2523" s="3" t="s">
        <v>28</v>
      </c>
      <c r="D2523" s="3" t="s">
        <v>50</v>
      </c>
      <c r="E2523" s="3" t="s">
        <v>60</v>
      </c>
      <c r="F2523" s="3" t="s">
        <v>52</v>
      </c>
      <c r="G2523" s="3" t="s">
        <v>60</v>
      </c>
      <c r="H2523" s="3" t="s">
        <v>45</v>
      </c>
      <c r="I2523" s="3">
        <v>2025</v>
      </c>
      <c r="J2523" s="3" t="str">
        <f>CONCATENATE("54820155460")</f>
        <v>54820155460</v>
      </c>
      <c r="K2523" s="3" t="s">
        <v>33</v>
      </c>
      <c r="L2523" s="3"/>
      <c r="M2523" s="3" t="s">
        <v>131</v>
      </c>
      <c r="N2523" s="3" t="str">
        <f>CONCATENATE("MRTFDR70C21Z103E")</f>
        <v>MRTFDR70C21Z103E</v>
      </c>
      <c r="O2523" s="3" t="s">
        <v>2658</v>
      </c>
      <c r="P2523" s="3" t="s">
        <v>36</v>
      </c>
      <c r="Q2523" s="3"/>
      <c r="R2523" s="4">
        <v>45996</v>
      </c>
      <c r="S2523" s="3" t="s">
        <v>37</v>
      </c>
      <c r="T2523" s="3" t="s">
        <v>38</v>
      </c>
      <c r="U2523" s="3" t="s">
        <v>39</v>
      </c>
      <c r="V2523" s="3">
        <v>195.78</v>
      </c>
      <c r="W2523" s="3">
        <v>83.21</v>
      </c>
      <c r="X2523" s="3">
        <v>78.8</v>
      </c>
      <c r="Y2523" s="3">
        <v>33.770000000000003</v>
      </c>
    </row>
    <row r="2524" spans="1:25" ht="60.75" x14ac:dyDescent="0.25">
      <c r="A2524" s="3" t="s">
        <v>26</v>
      </c>
      <c r="B2524" s="3" t="s">
        <v>27</v>
      </c>
      <c r="C2524" s="3" t="s">
        <v>28</v>
      </c>
      <c r="D2524" s="3" t="s">
        <v>50</v>
      </c>
      <c r="E2524" s="3" t="s">
        <v>147</v>
      </c>
      <c r="F2524" s="3" t="s">
        <v>52</v>
      </c>
      <c r="G2524" s="3" t="s">
        <v>147</v>
      </c>
      <c r="H2524" s="3" t="s">
        <v>45</v>
      </c>
      <c r="I2524" s="3">
        <v>2025</v>
      </c>
      <c r="J2524" s="3" t="str">
        <f>CONCATENATE("54820134234")</f>
        <v>54820134234</v>
      </c>
      <c r="K2524" s="3" t="s">
        <v>33</v>
      </c>
      <c r="L2524" s="3"/>
      <c r="M2524" s="3" t="s">
        <v>131</v>
      </c>
      <c r="N2524" s="3" t="str">
        <f>CONCATENATE("TNTLSN80M22L500Q")</f>
        <v>TNTLSN80M22L500Q</v>
      </c>
      <c r="O2524" s="3" t="s">
        <v>2659</v>
      </c>
      <c r="P2524" s="3" t="s">
        <v>36</v>
      </c>
      <c r="Q2524" s="3"/>
      <c r="R2524" s="4">
        <v>45996</v>
      </c>
      <c r="S2524" s="3" t="s">
        <v>37</v>
      </c>
      <c r="T2524" s="3" t="s">
        <v>38</v>
      </c>
      <c r="U2524" s="3" t="s">
        <v>39</v>
      </c>
      <c r="V2524" s="3">
        <v>120.81</v>
      </c>
      <c r="W2524" s="3">
        <v>51.34</v>
      </c>
      <c r="X2524" s="3">
        <v>48.63</v>
      </c>
      <c r="Y2524" s="3">
        <v>20.84</v>
      </c>
    </row>
    <row r="2525" spans="1:25" ht="60.75" x14ac:dyDescent="0.25">
      <c r="A2525" s="3" t="s">
        <v>26</v>
      </c>
      <c r="B2525" s="3" t="s">
        <v>27</v>
      </c>
      <c r="C2525" s="3" t="s">
        <v>28</v>
      </c>
      <c r="D2525" s="3" t="s">
        <v>50</v>
      </c>
      <c r="E2525" s="3" t="s">
        <v>290</v>
      </c>
      <c r="F2525" s="3" t="s">
        <v>52</v>
      </c>
      <c r="G2525" s="3" t="s">
        <v>290</v>
      </c>
      <c r="H2525" s="3" t="s">
        <v>96</v>
      </c>
      <c r="I2525" s="3">
        <v>2025</v>
      </c>
      <c r="J2525" s="3" t="str">
        <f>CONCATENATE("54820040852")</f>
        <v>54820040852</v>
      </c>
      <c r="K2525" s="3" t="s">
        <v>33</v>
      </c>
      <c r="L2525" s="3"/>
      <c r="M2525" s="3" t="s">
        <v>131</v>
      </c>
      <c r="N2525" s="3" t="str">
        <f>CONCATENATE("NTNDNT83R13A252Y")</f>
        <v>NTNDNT83R13A252Y</v>
      </c>
      <c r="O2525" s="3" t="s">
        <v>2660</v>
      </c>
      <c r="P2525" s="3" t="s">
        <v>36</v>
      </c>
      <c r="Q2525" s="3"/>
      <c r="R2525" s="4">
        <v>45996</v>
      </c>
      <c r="S2525" s="3" t="s">
        <v>37</v>
      </c>
      <c r="T2525" s="3" t="s">
        <v>38</v>
      </c>
      <c r="U2525" s="3" t="s">
        <v>39</v>
      </c>
      <c r="V2525" s="3">
        <v>169.03</v>
      </c>
      <c r="W2525" s="3">
        <v>71.84</v>
      </c>
      <c r="X2525" s="3">
        <v>68.03</v>
      </c>
      <c r="Y2525" s="3">
        <v>29.16</v>
      </c>
    </row>
    <row r="2526" spans="1:25" ht="72.75" x14ac:dyDescent="0.25">
      <c r="A2526" s="3" t="s">
        <v>26</v>
      </c>
      <c r="B2526" s="3" t="s">
        <v>27</v>
      </c>
      <c r="C2526" s="3" t="s">
        <v>28</v>
      </c>
      <c r="D2526" s="3" t="s">
        <v>29</v>
      </c>
      <c r="E2526" s="3" t="s">
        <v>119</v>
      </c>
      <c r="F2526" s="3" t="s">
        <v>31</v>
      </c>
      <c r="G2526" s="3" t="s">
        <v>119</v>
      </c>
      <c r="H2526" s="3" t="s">
        <v>96</v>
      </c>
      <c r="I2526" s="3">
        <v>2025</v>
      </c>
      <c r="J2526" s="3" t="str">
        <f>CONCATENATE("54820140645")</f>
        <v>54820140645</v>
      </c>
      <c r="K2526" s="3" t="s">
        <v>33</v>
      </c>
      <c r="L2526" s="3"/>
      <c r="M2526" s="3" t="s">
        <v>131</v>
      </c>
      <c r="N2526" s="3" t="str">
        <f>CONCATENATE("MDALCU94D12A462M")</f>
        <v>MDALCU94D12A462M</v>
      </c>
      <c r="O2526" s="3" t="s">
        <v>2661</v>
      </c>
      <c r="P2526" s="3" t="s">
        <v>36</v>
      </c>
      <c r="Q2526" s="3"/>
      <c r="R2526" s="4">
        <v>45996</v>
      </c>
      <c r="S2526" s="3" t="s">
        <v>37</v>
      </c>
      <c r="T2526" s="3" t="s">
        <v>38</v>
      </c>
      <c r="U2526" s="3" t="s">
        <v>39</v>
      </c>
      <c r="V2526" s="3">
        <v>123.37</v>
      </c>
      <c r="W2526" s="3">
        <v>52.43</v>
      </c>
      <c r="X2526" s="3">
        <v>49.66</v>
      </c>
      <c r="Y2526" s="3">
        <v>21.28</v>
      </c>
    </row>
    <row r="2527" spans="1:25" ht="60.75" x14ac:dyDescent="0.25">
      <c r="A2527" s="3" t="s">
        <v>26</v>
      </c>
      <c r="B2527" s="3" t="s">
        <v>27</v>
      </c>
      <c r="C2527" s="3" t="s">
        <v>28</v>
      </c>
      <c r="D2527" s="3" t="s">
        <v>29</v>
      </c>
      <c r="E2527" s="3" t="s">
        <v>47</v>
      </c>
      <c r="F2527" s="3" t="s">
        <v>31</v>
      </c>
      <c r="G2527" s="3" t="s">
        <v>47</v>
      </c>
      <c r="H2527" s="3" t="s">
        <v>48</v>
      </c>
      <c r="I2527" s="3">
        <v>2025</v>
      </c>
      <c r="J2527" s="3" t="str">
        <f>CONCATENATE("54820197850")</f>
        <v>54820197850</v>
      </c>
      <c r="K2527" s="3" t="s">
        <v>33</v>
      </c>
      <c r="L2527" s="3"/>
      <c r="M2527" s="3" t="s">
        <v>131</v>
      </c>
      <c r="N2527" s="3" t="str">
        <f>CONCATENATE("TSSPTR56T19D451G")</f>
        <v>TSSPTR56T19D451G</v>
      </c>
      <c r="O2527" s="3" t="s">
        <v>2662</v>
      </c>
      <c r="P2527" s="3" t="s">
        <v>36</v>
      </c>
      <c r="Q2527" s="3"/>
      <c r="R2527" s="4">
        <v>45996</v>
      </c>
      <c r="S2527" s="3" t="s">
        <v>37</v>
      </c>
      <c r="T2527" s="3" t="s">
        <v>38</v>
      </c>
      <c r="U2527" s="3" t="s">
        <v>39</v>
      </c>
      <c r="V2527" s="3">
        <v>140.1</v>
      </c>
      <c r="W2527" s="3">
        <v>59.54</v>
      </c>
      <c r="X2527" s="3">
        <v>56.39</v>
      </c>
      <c r="Y2527" s="3">
        <v>24.17</v>
      </c>
    </row>
    <row r="2528" spans="1:25" ht="36.75" x14ac:dyDescent="0.25">
      <c r="A2528" s="3" t="s">
        <v>26</v>
      </c>
      <c r="B2528" s="3" t="s">
        <v>27</v>
      </c>
      <c r="C2528" s="3" t="s">
        <v>28</v>
      </c>
      <c r="D2528" s="3" t="s">
        <v>29</v>
      </c>
      <c r="E2528" s="3" t="s">
        <v>56</v>
      </c>
      <c r="F2528" s="3" t="s">
        <v>31</v>
      </c>
      <c r="G2528" s="3" t="s">
        <v>56</v>
      </c>
      <c r="H2528" s="3" t="s">
        <v>32</v>
      </c>
      <c r="I2528" s="3">
        <v>2025</v>
      </c>
      <c r="J2528" s="3" t="str">
        <f>CONCATENATE("54820254479")</f>
        <v>54820254479</v>
      </c>
      <c r="K2528" s="3" t="s">
        <v>33</v>
      </c>
      <c r="L2528" s="3"/>
      <c r="M2528" s="3" t="s">
        <v>131</v>
      </c>
      <c r="N2528" s="3" t="str">
        <f>CONCATENATE("00395910433")</f>
        <v>00395910433</v>
      </c>
      <c r="O2528" s="3" t="s">
        <v>2663</v>
      </c>
      <c r="P2528" s="3" t="s">
        <v>36</v>
      </c>
      <c r="Q2528" s="3"/>
      <c r="R2528" s="4">
        <v>45996</v>
      </c>
      <c r="S2528" s="3" t="s">
        <v>37</v>
      </c>
      <c r="T2528" s="3" t="s">
        <v>38</v>
      </c>
      <c r="U2528" s="3" t="s">
        <v>39</v>
      </c>
      <c r="V2528" s="3">
        <v>905.1</v>
      </c>
      <c r="W2528" s="3">
        <v>384.67</v>
      </c>
      <c r="X2528" s="3">
        <v>364.3</v>
      </c>
      <c r="Y2528" s="3">
        <v>156.13</v>
      </c>
    </row>
    <row r="2529" spans="1:25" ht="60.75" x14ac:dyDescent="0.25">
      <c r="A2529" s="3" t="s">
        <v>26</v>
      </c>
      <c r="B2529" s="3" t="s">
        <v>27</v>
      </c>
      <c r="C2529" s="3" t="s">
        <v>28</v>
      </c>
      <c r="D2529" s="3" t="s">
        <v>29</v>
      </c>
      <c r="E2529" s="3" t="s">
        <v>47</v>
      </c>
      <c r="F2529" s="3" t="s">
        <v>31</v>
      </c>
      <c r="G2529" s="3" t="s">
        <v>47</v>
      </c>
      <c r="H2529" s="3" t="s">
        <v>48</v>
      </c>
      <c r="I2529" s="3">
        <v>2025</v>
      </c>
      <c r="J2529" s="3" t="str">
        <f>CONCATENATE("54820194196")</f>
        <v>54820194196</v>
      </c>
      <c r="K2529" s="3" t="s">
        <v>33</v>
      </c>
      <c r="L2529" s="3"/>
      <c r="M2529" s="3" t="s">
        <v>131</v>
      </c>
      <c r="N2529" s="3" t="str">
        <f>CONCATENATE("DNNRRT57S20D451G")</f>
        <v>DNNRRT57S20D451G</v>
      </c>
      <c r="O2529" s="3" t="s">
        <v>2664</v>
      </c>
      <c r="P2529" s="3" t="s">
        <v>36</v>
      </c>
      <c r="Q2529" s="3"/>
      <c r="R2529" s="4">
        <v>45996</v>
      </c>
      <c r="S2529" s="3" t="s">
        <v>37</v>
      </c>
      <c r="T2529" s="3" t="s">
        <v>38</v>
      </c>
      <c r="U2529" s="3" t="s">
        <v>39</v>
      </c>
      <c r="V2529" s="3">
        <v>80.78</v>
      </c>
      <c r="W2529" s="3">
        <v>34.33</v>
      </c>
      <c r="X2529" s="3">
        <v>32.51</v>
      </c>
      <c r="Y2529" s="3">
        <v>13.94</v>
      </c>
    </row>
    <row r="2530" spans="1:25" ht="60.75" x14ac:dyDescent="0.25">
      <c r="A2530" s="3" t="s">
        <v>26</v>
      </c>
      <c r="B2530" s="3" t="s">
        <v>27</v>
      </c>
      <c r="C2530" s="3" t="s">
        <v>28</v>
      </c>
      <c r="D2530" s="3" t="s">
        <v>29</v>
      </c>
      <c r="E2530" s="3" t="s">
        <v>136</v>
      </c>
      <c r="F2530" s="3" t="s">
        <v>31</v>
      </c>
      <c r="G2530" s="3" t="s">
        <v>136</v>
      </c>
      <c r="H2530" s="3" t="s">
        <v>48</v>
      </c>
      <c r="I2530" s="3">
        <v>2025</v>
      </c>
      <c r="J2530" s="3" t="str">
        <f>CONCATENATE("54820233705")</f>
        <v>54820233705</v>
      </c>
      <c r="K2530" s="3" t="s">
        <v>33</v>
      </c>
      <c r="L2530" s="3"/>
      <c r="M2530" s="3" t="s">
        <v>131</v>
      </c>
      <c r="N2530" s="3" t="str">
        <f>CONCATENATE("LSEVND55S54D965G")</f>
        <v>LSEVND55S54D965G</v>
      </c>
      <c r="O2530" s="3" t="s">
        <v>2665</v>
      </c>
      <c r="P2530" s="3" t="s">
        <v>36</v>
      </c>
      <c r="Q2530" s="3"/>
      <c r="R2530" s="4">
        <v>45996</v>
      </c>
      <c r="S2530" s="3" t="s">
        <v>37</v>
      </c>
      <c r="T2530" s="3" t="s">
        <v>38</v>
      </c>
      <c r="U2530" s="3" t="s">
        <v>39</v>
      </c>
      <c r="V2530" s="3">
        <v>759.27</v>
      </c>
      <c r="W2530" s="3">
        <v>322.69</v>
      </c>
      <c r="X2530" s="3">
        <v>305.61</v>
      </c>
      <c r="Y2530" s="3">
        <v>130.97</v>
      </c>
    </row>
    <row r="2531" spans="1:25" ht="60.75" x14ac:dyDescent="0.25">
      <c r="A2531" s="3" t="s">
        <v>26</v>
      </c>
      <c r="B2531" s="3" t="s">
        <v>27</v>
      </c>
      <c r="C2531" s="3" t="s">
        <v>28</v>
      </c>
      <c r="D2531" s="3" t="s">
        <v>29</v>
      </c>
      <c r="E2531" s="3" t="s">
        <v>186</v>
      </c>
      <c r="F2531" s="3" t="s">
        <v>31</v>
      </c>
      <c r="G2531" s="3" t="s">
        <v>186</v>
      </c>
      <c r="H2531" s="3" t="s">
        <v>45</v>
      </c>
      <c r="I2531" s="3">
        <v>2025</v>
      </c>
      <c r="J2531" s="3" t="str">
        <f>CONCATENATE("54820038716")</f>
        <v>54820038716</v>
      </c>
      <c r="K2531" s="3" t="s">
        <v>33</v>
      </c>
      <c r="L2531" s="3"/>
      <c r="M2531" s="3" t="s">
        <v>131</v>
      </c>
      <c r="N2531" s="3" t="str">
        <f>CONCATENATE("MGNLCN54S09I459K")</f>
        <v>MGNLCN54S09I459K</v>
      </c>
      <c r="O2531" s="3" t="s">
        <v>2666</v>
      </c>
      <c r="P2531" s="3" t="s">
        <v>36</v>
      </c>
      <c r="Q2531" s="3"/>
      <c r="R2531" s="4">
        <v>45996</v>
      </c>
      <c r="S2531" s="3" t="s">
        <v>37</v>
      </c>
      <c r="T2531" s="3" t="s">
        <v>38</v>
      </c>
      <c r="U2531" s="3" t="s">
        <v>39</v>
      </c>
      <c r="V2531" s="3">
        <v>308.12</v>
      </c>
      <c r="W2531" s="3">
        <v>130.94999999999999</v>
      </c>
      <c r="X2531" s="3">
        <v>124.02</v>
      </c>
      <c r="Y2531" s="3">
        <v>53.15</v>
      </c>
    </row>
    <row r="2532" spans="1:25" ht="72.75" x14ac:dyDescent="0.25">
      <c r="A2532" s="3" t="s">
        <v>26</v>
      </c>
      <c r="B2532" s="3" t="s">
        <v>27</v>
      </c>
      <c r="C2532" s="3" t="s">
        <v>28</v>
      </c>
      <c r="D2532" s="3" t="s">
        <v>29</v>
      </c>
      <c r="E2532" s="3" t="s">
        <v>47</v>
      </c>
      <c r="F2532" s="3" t="s">
        <v>31</v>
      </c>
      <c r="G2532" s="3" t="s">
        <v>47</v>
      </c>
      <c r="H2532" s="3" t="s">
        <v>48</v>
      </c>
      <c r="I2532" s="3">
        <v>2025</v>
      </c>
      <c r="J2532" s="3" t="str">
        <f>CONCATENATE("54820190616")</f>
        <v>54820190616</v>
      </c>
      <c r="K2532" s="3" t="s">
        <v>33</v>
      </c>
      <c r="L2532" s="3"/>
      <c r="M2532" s="3" t="s">
        <v>131</v>
      </c>
      <c r="N2532" s="3" t="str">
        <f>CONCATENATE("CNTMSM63A09D451V")</f>
        <v>CNTMSM63A09D451V</v>
      </c>
      <c r="O2532" s="3" t="s">
        <v>2667</v>
      </c>
      <c r="P2532" s="3" t="s">
        <v>36</v>
      </c>
      <c r="Q2532" s="3"/>
      <c r="R2532" s="4">
        <v>45996</v>
      </c>
      <c r="S2532" s="3" t="s">
        <v>37</v>
      </c>
      <c r="T2532" s="3" t="s">
        <v>38</v>
      </c>
      <c r="U2532" s="3" t="s">
        <v>39</v>
      </c>
      <c r="V2532" s="3">
        <v>465.48</v>
      </c>
      <c r="W2532" s="3">
        <v>197.83</v>
      </c>
      <c r="X2532" s="3">
        <v>187.36</v>
      </c>
      <c r="Y2532" s="3">
        <v>80.290000000000006</v>
      </c>
    </row>
    <row r="2533" spans="1:25" ht="60.75" x14ac:dyDescent="0.25">
      <c r="A2533" s="3" t="s">
        <v>26</v>
      </c>
      <c r="B2533" s="3" t="s">
        <v>27</v>
      </c>
      <c r="C2533" s="3" t="s">
        <v>28</v>
      </c>
      <c r="D2533" s="3" t="s">
        <v>29</v>
      </c>
      <c r="E2533" s="3" t="s">
        <v>208</v>
      </c>
      <c r="F2533" s="3" t="s">
        <v>31</v>
      </c>
      <c r="G2533" s="3" t="s">
        <v>208</v>
      </c>
      <c r="H2533" s="3" t="s">
        <v>45</v>
      </c>
      <c r="I2533" s="3">
        <v>2025</v>
      </c>
      <c r="J2533" s="3" t="str">
        <f>CONCATENATE("54820265434")</f>
        <v>54820265434</v>
      </c>
      <c r="K2533" s="3" t="s">
        <v>33</v>
      </c>
      <c r="L2533" s="3"/>
      <c r="M2533" s="3" t="s">
        <v>131</v>
      </c>
      <c r="N2533" s="3" t="str">
        <f>CONCATENATE("CRDGRG59A01F135P")</f>
        <v>CRDGRG59A01F135P</v>
      </c>
      <c r="O2533" s="3" t="s">
        <v>2668</v>
      </c>
      <c r="P2533" s="3" t="s">
        <v>36</v>
      </c>
      <c r="Q2533" s="3"/>
      <c r="R2533" s="4">
        <v>45996</v>
      </c>
      <c r="S2533" s="3" t="s">
        <v>37</v>
      </c>
      <c r="T2533" s="3" t="s">
        <v>38</v>
      </c>
      <c r="U2533" s="3" t="s">
        <v>39</v>
      </c>
      <c r="V2533" s="3">
        <v>250.89</v>
      </c>
      <c r="W2533" s="3">
        <v>106.63</v>
      </c>
      <c r="X2533" s="3">
        <v>100.98</v>
      </c>
      <c r="Y2533" s="3">
        <v>43.28</v>
      </c>
    </row>
    <row r="2534" spans="1:25" ht="60.75" x14ac:dyDescent="0.25">
      <c r="A2534" s="3" t="s">
        <v>26</v>
      </c>
      <c r="B2534" s="3" t="s">
        <v>27</v>
      </c>
      <c r="C2534" s="3" t="s">
        <v>28</v>
      </c>
      <c r="D2534" s="3" t="s">
        <v>29</v>
      </c>
      <c r="E2534" s="3" t="s">
        <v>341</v>
      </c>
      <c r="F2534" s="3" t="s">
        <v>31</v>
      </c>
      <c r="G2534" s="3" t="s">
        <v>341</v>
      </c>
      <c r="H2534" s="3" t="s">
        <v>45</v>
      </c>
      <c r="I2534" s="3">
        <v>2025</v>
      </c>
      <c r="J2534" s="3" t="str">
        <f>CONCATENATE("54820161203")</f>
        <v>54820161203</v>
      </c>
      <c r="K2534" s="3" t="s">
        <v>33</v>
      </c>
      <c r="L2534" s="3"/>
      <c r="M2534" s="3" t="s">
        <v>131</v>
      </c>
      <c r="N2534" s="3" t="str">
        <f>CONCATENATE("RGHRNN69L61G479C")</f>
        <v>RGHRNN69L61G479C</v>
      </c>
      <c r="O2534" s="3" t="s">
        <v>2669</v>
      </c>
      <c r="P2534" s="3" t="s">
        <v>36</v>
      </c>
      <c r="Q2534" s="3"/>
      <c r="R2534" s="4">
        <v>45996</v>
      </c>
      <c r="S2534" s="3" t="s">
        <v>37</v>
      </c>
      <c r="T2534" s="3" t="s">
        <v>38</v>
      </c>
      <c r="U2534" s="3" t="s">
        <v>39</v>
      </c>
      <c r="V2534" s="3">
        <v>141.74</v>
      </c>
      <c r="W2534" s="3">
        <v>60.24</v>
      </c>
      <c r="X2534" s="3">
        <v>57.05</v>
      </c>
      <c r="Y2534" s="3">
        <v>24.45</v>
      </c>
    </row>
    <row r="2535" spans="1:25" ht="60.75" x14ac:dyDescent="0.25">
      <c r="A2535" s="3" t="s">
        <v>26</v>
      </c>
      <c r="B2535" s="3" t="s">
        <v>27</v>
      </c>
      <c r="C2535" s="3" t="s">
        <v>28</v>
      </c>
      <c r="D2535" s="3" t="s">
        <v>50</v>
      </c>
      <c r="E2535" s="3" t="s">
        <v>212</v>
      </c>
      <c r="F2535" s="3" t="s">
        <v>52</v>
      </c>
      <c r="G2535" s="3" t="s">
        <v>212</v>
      </c>
      <c r="H2535" s="3" t="s">
        <v>32</v>
      </c>
      <c r="I2535" s="3">
        <v>2025</v>
      </c>
      <c r="J2535" s="3" t="str">
        <f>CONCATENATE("54820034889")</f>
        <v>54820034889</v>
      </c>
      <c r="K2535" s="3" t="s">
        <v>33</v>
      </c>
      <c r="L2535" s="3"/>
      <c r="M2535" s="3" t="s">
        <v>131</v>
      </c>
      <c r="N2535" s="3" t="str">
        <f>CONCATENATE("RSSMRZ74T09E388V")</f>
        <v>RSSMRZ74T09E388V</v>
      </c>
      <c r="O2535" s="3" t="s">
        <v>2670</v>
      </c>
      <c r="P2535" s="3" t="s">
        <v>36</v>
      </c>
      <c r="Q2535" s="3"/>
      <c r="R2535" s="4">
        <v>45996</v>
      </c>
      <c r="S2535" s="3" t="s">
        <v>37</v>
      </c>
      <c r="T2535" s="3" t="s">
        <v>38</v>
      </c>
      <c r="U2535" s="3" t="s">
        <v>39</v>
      </c>
      <c r="V2535" s="3">
        <v>173.5</v>
      </c>
      <c r="W2535" s="3">
        <v>73.739999999999995</v>
      </c>
      <c r="X2535" s="3">
        <v>69.83</v>
      </c>
      <c r="Y2535" s="3">
        <v>29.93</v>
      </c>
    </row>
    <row r="2536" spans="1:25" ht="60.75" x14ac:dyDescent="0.25">
      <c r="A2536" s="3" t="s">
        <v>26</v>
      </c>
      <c r="B2536" s="3" t="s">
        <v>27</v>
      </c>
      <c r="C2536" s="3" t="s">
        <v>28</v>
      </c>
      <c r="D2536" s="3" t="s">
        <v>50</v>
      </c>
      <c r="E2536" s="3" t="s">
        <v>147</v>
      </c>
      <c r="F2536" s="3" t="s">
        <v>52</v>
      </c>
      <c r="G2536" s="3" t="s">
        <v>147</v>
      </c>
      <c r="H2536" s="3" t="s">
        <v>45</v>
      </c>
      <c r="I2536" s="3">
        <v>2025</v>
      </c>
      <c r="J2536" s="3" t="str">
        <f>CONCATENATE("54820162086")</f>
        <v>54820162086</v>
      </c>
      <c r="K2536" s="3" t="s">
        <v>33</v>
      </c>
      <c r="L2536" s="3"/>
      <c r="M2536" s="3" t="s">
        <v>131</v>
      </c>
      <c r="N2536" s="3" t="str">
        <f>CONCATENATE("PRSFNC41E03L500G")</f>
        <v>PRSFNC41E03L500G</v>
      </c>
      <c r="O2536" s="3" t="s">
        <v>2671</v>
      </c>
      <c r="P2536" s="3" t="s">
        <v>36</v>
      </c>
      <c r="Q2536" s="3"/>
      <c r="R2536" s="4">
        <v>45996</v>
      </c>
      <c r="S2536" s="3" t="s">
        <v>37</v>
      </c>
      <c r="T2536" s="3" t="s">
        <v>38</v>
      </c>
      <c r="U2536" s="3" t="s">
        <v>39</v>
      </c>
      <c r="V2536" s="3">
        <v>126.23</v>
      </c>
      <c r="W2536" s="3">
        <v>53.65</v>
      </c>
      <c r="X2536" s="3">
        <v>50.81</v>
      </c>
      <c r="Y2536" s="3">
        <v>21.77</v>
      </c>
    </row>
    <row r="2537" spans="1:25" ht="60.75" x14ac:dyDescent="0.25">
      <c r="A2537" s="3" t="s">
        <v>26</v>
      </c>
      <c r="B2537" s="3" t="s">
        <v>27</v>
      </c>
      <c r="C2537" s="3" t="s">
        <v>28</v>
      </c>
      <c r="D2537" s="3" t="s">
        <v>29</v>
      </c>
      <c r="E2537" s="3" t="s">
        <v>56</v>
      </c>
      <c r="F2537" s="3" t="s">
        <v>31</v>
      </c>
      <c r="G2537" s="3" t="s">
        <v>56</v>
      </c>
      <c r="H2537" s="3" t="s">
        <v>32</v>
      </c>
      <c r="I2537" s="3">
        <v>2025</v>
      </c>
      <c r="J2537" s="3" t="str">
        <f>CONCATENATE("54820287347")</f>
        <v>54820287347</v>
      </c>
      <c r="K2537" s="3" t="s">
        <v>33</v>
      </c>
      <c r="L2537" s="3"/>
      <c r="M2537" s="3" t="s">
        <v>131</v>
      </c>
      <c r="N2537" s="3" t="str">
        <f>CONCATENATE("FDLZEI48B19I661A")</f>
        <v>FDLZEI48B19I661A</v>
      </c>
      <c r="O2537" s="3" t="s">
        <v>2672</v>
      </c>
      <c r="P2537" s="3" t="s">
        <v>36</v>
      </c>
      <c r="Q2537" s="3"/>
      <c r="R2537" s="4">
        <v>45996</v>
      </c>
      <c r="S2537" s="3" t="s">
        <v>37</v>
      </c>
      <c r="T2537" s="3" t="s">
        <v>38</v>
      </c>
      <c r="U2537" s="3" t="s">
        <v>39</v>
      </c>
      <c r="V2537" s="3">
        <v>613.14</v>
      </c>
      <c r="W2537" s="3">
        <v>260.58</v>
      </c>
      <c r="X2537" s="3">
        <v>246.79</v>
      </c>
      <c r="Y2537" s="3">
        <v>105.77</v>
      </c>
    </row>
    <row r="2538" spans="1:25" ht="60.75" x14ac:dyDescent="0.25">
      <c r="A2538" s="3" t="s">
        <v>26</v>
      </c>
      <c r="B2538" s="3" t="s">
        <v>27</v>
      </c>
      <c r="C2538" s="3" t="s">
        <v>28</v>
      </c>
      <c r="D2538" s="3" t="s">
        <v>40</v>
      </c>
      <c r="E2538" s="3" t="s">
        <v>287</v>
      </c>
      <c r="F2538" s="3" t="s">
        <v>42</v>
      </c>
      <c r="G2538" s="3" t="s">
        <v>287</v>
      </c>
      <c r="H2538" s="3" t="s">
        <v>32</v>
      </c>
      <c r="I2538" s="3">
        <v>2025</v>
      </c>
      <c r="J2538" s="3" t="str">
        <f>CONCATENATE("54820015599")</f>
        <v>54820015599</v>
      </c>
      <c r="K2538" s="3" t="s">
        <v>33</v>
      </c>
      <c r="L2538" s="3"/>
      <c r="M2538" s="3" t="s">
        <v>131</v>
      </c>
      <c r="N2538" s="3" t="str">
        <f>CONCATENATE("CRSSDR59T18B474C")</f>
        <v>CRSSDR59T18B474C</v>
      </c>
      <c r="O2538" s="3" t="s">
        <v>2673</v>
      </c>
      <c r="P2538" s="3" t="s">
        <v>36</v>
      </c>
      <c r="Q2538" s="3"/>
      <c r="R2538" s="4">
        <v>45996</v>
      </c>
      <c r="S2538" s="3" t="s">
        <v>37</v>
      </c>
      <c r="T2538" s="3" t="s">
        <v>38</v>
      </c>
      <c r="U2538" s="3" t="s">
        <v>39</v>
      </c>
      <c r="V2538" s="3">
        <v>242.96</v>
      </c>
      <c r="W2538" s="3">
        <v>103.26</v>
      </c>
      <c r="X2538" s="3">
        <v>97.79</v>
      </c>
      <c r="Y2538" s="3">
        <v>41.91</v>
      </c>
    </row>
    <row r="2539" spans="1:25" ht="60.75" x14ac:dyDescent="0.25">
      <c r="A2539" s="3" t="s">
        <v>26</v>
      </c>
      <c r="B2539" s="3" t="s">
        <v>27</v>
      </c>
      <c r="C2539" s="3" t="s">
        <v>28</v>
      </c>
      <c r="D2539" s="3" t="s">
        <v>50</v>
      </c>
      <c r="E2539" s="3" t="s">
        <v>60</v>
      </c>
      <c r="F2539" s="3" t="s">
        <v>52</v>
      </c>
      <c r="G2539" s="3" t="s">
        <v>60</v>
      </c>
      <c r="H2539" s="3" t="s">
        <v>45</v>
      </c>
      <c r="I2539" s="3">
        <v>2025</v>
      </c>
      <c r="J2539" s="3" t="str">
        <f>CONCATENATE("54820187687")</f>
        <v>54820187687</v>
      </c>
      <c r="K2539" s="3" t="s">
        <v>33</v>
      </c>
      <c r="L2539" s="3"/>
      <c r="M2539" s="3" t="s">
        <v>131</v>
      </c>
      <c r="N2539" s="3" t="str">
        <f>CONCATENATE("TRCFST50M20H958C")</f>
        <v>TRCFST50M20H958C</v>
      </c>
      <c r="O2539" s="3" t="s">
        <v>2674</v>
      </c>
      <c r="P2539" s="3" t="s">
        <v>36</v>
      </c>
      <c r="Q2539" s="3"/>
      <c r="R2539" s="4">
        <v>45996</v>
      </c>
      <c r="S2539" s="3" t="s">
        <v>37</v>
      </c>
      <c r="T2539" s="3" t="s">
        <v>38</v>
      </c>
      <c r="U2539" s="3" t="s">
        <v>39</v>
      </c>
      <c r="V2539" s="3">
        <v>52.29</v>
      </c>
      <c r="W2539" s="3">
        <v>22.22</v>
      </c>
      <c r="X2539" s="3">
        <v>21.05</v>
      </c>
      <c r="Y2539" s="3">
        <v>9.02</v>
      </c>
    </row>
    <row r="2540" spans="1:25" ht="60.75" x14ac:dyDescent="0.25">
      <c r="A2540" s="3" t="s">
        <v>26</v>
      </c>
      <c r="B2540" s="3" t="s">
        <v>27</v>
      </c>
      <c r="C2540" s="3" t="s">
        <v>28</v>
      </c>
      <c r="D2540" s="3" t="s">
        <v>29</v>
      </c>
      <c r="E2540" s="3" t="s">
        <v>56</v>
      </c>
      <c r="F2540" s="3" t="s">
        <v>31</v>
      </c>
      <c r="G2540" s="3" t="s">
        <v>56</v>
      </c>
      <c r="H2540" s="3" t="s">
        <v>32</v>
      </c>
      <c r="I2540" s="3">
        <v>2025</v>
      </c>
      <c r="J2540" s="3" t="str">
        <f>CONCATENATE("54820290432")</f>
        <v>54820290432</v>
      </c>
      <c r="K2540" s="3" t="s">
        <v>33</v>
      </c>
      <c r="L2540" s="3"/>
      <c r="M2540" s="3" t="s">
        <v>131</v>
      </c>
      <c r="N2540" s="3" t="str">
        <f>CONCATENATE("RSSNCL43B08I569Q")</f>
        <v>RSSNCL43B08I569Q</v>
      </c>
      <c r="O2540" s="3" t="s">
        <v>2675</v>
      </c>
      <c r="P2540" s="3" t="s">
        <v>36</v>
      </c>
      <c r="Q2540" s="3"/>
      <c r="R2540" s="4">
        <v>45996</v>
      </c>
      <c r="S2540" s="3" t="s">
        <v>37</v>
      </c>
      <c r="T2540" s="3" t="s">
        <v>38</v>
      </c>
      <c r="U2540" s="3" t="s">
        <v>39</v>
      </c>
      <c r="V2540" s="3">
        <v>14.77</v>
      </c>
      <c r="W2540" s="3">
        <v>6.28</v>
      </c>
      <c r="X2540" s="3">
        <v>5.94</v>
      </c>
      <c r="Y2540" s="3">
        <v>2.5499999999999998</v>
      </c>
    </row>
    <row r="2541" spans="1:25" ht="60.75" x14ac:dyDescent="0.25">
      <c r="A2541" s="3" t="s">
        <v>26</v>
      </c>
      <c r="B2541" s="3" t="s">
        <v>27</v>
      </c>
      <c r="C2541" s="3" t="s">
        <v>28</v>
      </c>
      <c r="D2541" s="3" t="s">
        <v>29</v>
      </c>
      <c r="E2541" s="3" t="s">
        <v>136</v>
      </c>
      <c r="F2541" s="3" t="s">
        <v>31</v>
      </c>
      <c r="G2541" s="3" t="s">
        <v>136</v>
      </c>
      <c r="H2541" s="3" t="s">
        <v>48</v>
      </c>
      <c r="I2541" s="3">
        <v>2025</v>
      </c>
      <c r="J2541" s="3" t="str">
        <f>CONCATENATE("54820136601")</f>
        <v>54820136601</v>
      </c>
      <c r="K2541" s="3" t="s">
        <v>33</v>
      </c>
      <c r="L2541" s="3"/>
      <c r="M2541" s="3" t="s">
        <v>131</v>
      </c>
      <c r="N2541" s="3" t="str">
        <f>CONCATENATE("MRCFPP47P15I461P")</f>
        <v>MRCFPP47P15I461P</v>
      </c>
      <c r="O2541" s="3" t="s">
        <v>2676</v>
      </c>
      <c r="P2541" s="3" t="s">
        <v>36</v>
      </c>
      <c r="Q2541" s="3"/>
      <c r="R2541" s="4">
        <v>45996</v>
      </c>
      <c r="S2541" s="3" t="s">
        <v>37</v>
      </c>
      <c r="T2541" s="3" t="s">
        <v>38</v>
      </c>
      <c r="U2541" s="3" t="s">
        <v>39</v>
      </c>
      <c r="V2541" s="3">
        <v>47.77</v>
      </c>
      <c r="W2541" s="3">
        <v>20.3</v>
      </c>
      <c r="X2541" s="3">
        <v>19.23</v>
      </c>
      <c r="Y2541" s="3">
        <v>8.24</v>
      </c>
    </row>
    <row r="2542" spans="1:25" ht="72.75" x14ac:dyDescent="0.25">
      <c r="A2542" s="3" t="s">
        <v>26</v>
      </c>
      <c r="B2542" s="3" t="s">
        <v>27</v>
      </c>
      <c r="C2542" s="3" t="s">
        <v>28</v>
      </c>
      <c r="D2542" s="3" t="s">
        <v>29</v>
      </c>
      <c r="E2542" s="3" t="s">
        <v>119</v>
      </c>
      <c r="F2542" s="3" t="s">
        <v>31</v>
      </c>
      <c r="G2542" s="3" t="s">
        <v>119</v>
      </c>
      <c r="H2542" s="3" t="s">
        <v>96</v>
      </c>
      <c r="I2542" s="3">
        <v>2025</v>
      </c>
      <c r="J2542" s="3" t="str">
        <f>CONCATENATE("54820152939")</f>
        <v>54820152939</v>
      </c>
      <c r="K2542" s="3" t="s">
        <v>33</v>
      </c>
      <c r="L2542" s="3"/>
      <c r="M2542" s="3" t="s">
        <v>131</v>
      </c>
      <c r="N2542" s="3" t="str">
        <f>CONCATENATE("SNTGNN65M04D691W")</f>
        <v>SNTGNN65M04D691W</v>
      </c>
      <c r="O2542" s="3" t="s">
        <v>2677</v>
      </c>
      <c r="P2542" s="3" t="s">
        <v>36</v>
      </c>
      <c r="Q2542" s="3"/>
      <c r="R2542" s="4">
        <v>45996</v>
      </c>
      <c r="S2542" s="3" t="s">
        <v>37</v>
      </c>
      <c r="T2542" s="3" t="s">
        <v>38</v>
      </c>
      <c r="U2542" s="3" t="s">
        <v>39</v>
      </c>
      <c r="V2542" s="3">
        <v>478.56</v>
      </c>
      <c r="W2542" s="3">
        <v>203.39</v>
      </c>
      <c r="X2542" s="3">
        <v>192.62</v>
      </c>
      <c r="Y2542" s="3">
        <v>82.55</v>
      </c>
    </row>
    <row r="2543" spans="1:25" ht="36.75" x14ac:dyDescent="0.25">
      <c r="A2543" s="3" t="s">
        <v>26</v>
      </c>
      <c r="B2543" s="3" t="s">
        <v>27</v>
      </c>
      <c r="C2543" s="3" t="s">
        <v>28</v>
      </c>
      <c r="D2543" s="3" t="s">
        <v>40</v>
      </c>
      <c r="E2543" s="3" t="s">
        <v>41</v>
      </c>
      <c r="F2543" s="3" t="s">
        <v>42</v>
      </c>
      <c r="G2543" s="3" t="s">
        <v>41</v>
      </c>
      <c r="H2543" s="3" t="s">
        <v>32</v>
      </c>
      <c r="I2543" s="3">
        <v>2025</v>
      </c>
      <c r="J2543" s="3" t="str">
        <f>CONCATENATE("54820360755")</f>
        <v>54820360755</v>
      </c>
      <c r="K2543" s="3" t="s">
        <v>33</v>
      </c>
      <c r="L2543" s="3"/>
      <c r="M2543" s="3" t="s">
        <v>131</v>
      </c>
      <c r="N2543" s="3" t="str">
        <f>CONCATENATE("01434100432")</f>
        <v>01434100432</v>
      </c>
      <c r="O2543" s="3" t="s">
        <v>2678</v>
      </c>
      <c r="P2543" s="3" t="s">
        <v>36</v>
      </c>
      <c r="Q2543" s="3"/>
      <c r="R2543" s="4">
        <v>45996</v>
      </c>
      <c r="S2543" s="3" t="s">
        <v>37</v>
      </c>
      <c r="T2543" s="3" t="s">
        <v>38</v>
      </c>
      <c r="U2543" s="3" t="s">
        <v>39</v>
      </c>
      <c r="V2543" s="3">
        <v>815.65</v>
      </c>
      <c r="W2543" s="3">
        <v>346.65</v>
      </c>
      <c r="X2543" s="3">
        <v>328.3</v>
      </c>
      <c r="Y2543" s="3">
        <v>140.69999999999999</v>
      </c>
    </row>
    <row r="2544" spans="1:25" ht="60.75" x14ac:dyDescent="0.25">
      <c r="A2544" s="3" t="s">
        <v>26</v>
      </c>
      <c r="B2544" s="3" t="s">
        <v>27</v>
      </c>
      <c r="C2544" s="3" t="s">
        <v>28</v>
      </c>
      <c r="D2544" s="3" t="s">
        <v>50</v>
      </c>
      <c r="E2544" s="3" t="s">
        <v>60</v>
      </c>
      <c r="F2544" s="3" t="s">
        <v>52</v>
      </c>
      <c r="G2544" s="3" t="s">
        <v>60</v>
      </c>
      <c r="H2544" s="3" t="s">
        <v>45</v>
      </c>
      <c r="I2544" s="3">
        <v>2025</v>
      </c>
      <c r="J2544" s="3" t="str">
        <f>CONCATENATE("54820101829")</f>
        <v>54820101829</v>
      </c>
      <c r="K2544" s="3" t="s">
        <v>33</v>
      </c>
      <c r="L2544" s="3"/>
      <c r="M2544" s="3" t="s">
        <v>131</v>
      </c>
      <c r="N2544" s="3" t="str">
        <f>CONCATENATE("BRZNGL60H23B352I")</f>
        <v>BRZNGL60H23B352I</v>
      </c>
      <c r="O2544" s="3" t="s">
        <v>2679</v>
      </c>
      <c r="P2544" s="3" t="s">
        <v>36</v>
      </c>
      <c r="Q2544" s="3"/>
      <c r="R2544" s="4">
        <v>45996</v>
      </c>
      <c r="S2544" s="3" t="s">
        <v>37</v>
      </c>
      <c r="T2544" s="3" t="s">
        <v>38</v>
      </c>
      <c r="U2544" s="3" t="s">
        <v>39</v>
      </c>
      <c r="V2544" s="3">
        <v>241.15</v>
      </c>
      <c r="W2544" s="3">
        <v>102.49</v>
      </c>
      <c r="X2544" s="3">
        <v>97.06</v>
      </c>
      <c r="Y2544" s="3">
        <v>41.6</v>
      </c>
    </row>
    <row r="2545" spans="1:25" ht="60.75" x14ac:dyDescent="0.25">
      <c r="A2545" s="3" t="s">
        <v>26</v>
      </c>
      <c r="B2545" s="3" t="s">
        <v>27</v>
      </c>
      <c r="C2545" s="3" t="s">
        <v>28</v>
      </c>
      <c r="D2545" s="3" t="s">
        <v>264</v>
      </c>
      <c r="E2545" s="3" t="s">
        <v>265</v>
      </c>
      <c r="F2545" s="3" t="s">
        <v>266</v>
      </c>
      <c r="G2545" s="3" t="s">
        <v>265</v>
      </c>
      <c r="H2545" s="3" t="s">
        <v>45</v>
      </c>
      <c r="I2545" s="3">
        <v>2025</v>
      </c>
      <c r="J2545" s="3" t="str">
        <f>CONCATENATE("54820361134")</f>
        <v>54820361134</v>
      </c>
      <c r="K2545" s="3" t="s">
        <v>33</v>
      </c>
      <c r="L2545" s="3"/>
      <c r="M2545" s="3" t="s">
        <v>131</v>
      </c>
      <c r="N2545" s="3" t="str">
        <f>CONCATENATE("CRBSNT97R52L500U")</f>
        <v>CRBSNT97R52L500U</v>
      </c>
      <c r="O2545" s="3" t="s">
        <v>2680</v>
      </c>
      <c r="P2545" s="3" t="s">
        <v>36</v>
      </c>
      <c r="Q2545" s="3"/>
      <c r="R2545" s="4">
        <v>45996</v>
      </c>
      <c r="S2545" s="3" t="s">
        <v>37</v>
      </c>
      <c r="T2545" s="3" t="s">
        <v>38</v>
      </c>
      <c r="U2545" s="3" t="s">
        <v>39</v>
      </c>
      <c r="V2545" s="3">
        <v>900.77</v>
      </c>
      <c r="W2545" s="3">
        <v>382.83</v>
      </c>
      <c r="X2545" s="3">
        <v>362.56</v>
      </c>
      <c r="Y2545" s="3">
        <v>155.38</v>
      </c>
    </row>
    <row r="2546" spans="1:25" ht="60.75" x14ac:dyDescent="0.25">
      <c r="A2546" s="3" t="s">
        <v>26</v>
      </c>
      <c r="B2546" s="3" t="s">
        <v>27</v>
      </c>
      <c r="C2546" s="3" t="s">
        <v>28</v>
      </c>
      <c r="D2546" s="3" t="s">
        <v>50</v>
      </c>
      <c r="E2546" s="3" t="s">
        <v>252</v>
      </c>
      <c r="F2546" s="3" t="s">
        <v>52</v>
      </c>
      <c r="G2546" s="3" t="s">
        <v>252</v>
      </c>
      <c r="H2546" s="3" t="s">
        <v>45</v>
      </c>
      <c r="I2546" s="3">
        <v>2025</v>
      </c>
      <c r="J2546" s="3" t="str">
        <f>CONCATENATE("54820197470")</f>
        <v>54820197470</v>
      </c>
      <c r="K2546" s="3" t="s">
        <v>33</v>
      </c>
      <c r="L2546" s="3"/>
      <c r="M2546" s="3" t="s">
        <v>131</v>
      </c>
      <c r="N2546" s="3" t="str">
        <f>CONCATENATE("FNLLCN50T02B352F")</f>
        <v>FNLLCN50T02B352F</v>
      </c>
      <c r="O2546" s="3" t="s">
        <v>2681</v>
      </c>
      <c r="P2546" s="3" t="s">
        <v>36</v>
      </c>
      <c r="Q2546" s="3"/>
      <c r="R2546" s="4">
        <v>45996</v>
      </c>
      <c r="S2546" s="3" t="s">
        <v>37</v>
      </c>
      <c r="T2546" s="3" t="s">
        <v>38</v>
      </c>
      <c r="U2546" s="3" t="s">
        <v>39</v>
      </c>
      <c r="V2546" s="3">
        <v>374.26</v>
      </c>
      <c r="W2546" s="3">
        <v>159.06</v>
      </c>
      <c r="X2546" s="3">
        <v>150.63999999999999</v>
      </c>
      <c r="Y2546" s="3">
        <v>64.56</v>
      </c>
    </row>
    <row r="2547" spans="1:25" ht="36.75" x14ac:dyDescent="0.25">
      <c r="A2547" s="3" t="s">
        <v>26</v>
      </c>
      <c r="B2547" s="3" t="s">
        <v>27</v>
      </c>
      <c r="C2547" s="3" t="s">
        <v>28</v>
      </c>
      <c r="D2547" s="3" t="s">
        <v>29</v>
      </c>
      <c r="E2547" s="3" t="s">
        <v>72</v>
      </c>
      <c r="F2547" s="3" t="s">
        <v>31</v>
      </c>
      <c r="G2547" s="3" t="s">
        <v>72</v>
      </c>
      <c r="H2547" s="3" t="s">
        <v>45</v>
      </c>
      <c r="I2547" s="3">
        <v>2025</v>
      </c>
      <c r="J2547" s="3" t="str">
        <f>CONCATENATE("54820241443")</f>
        <v>54820241443</v>
      </c>
      <c r="K2547" s="3" t="s">
        <v>33</v>
      </c>
      <c r="L2547" s="3"/>
      <c r="M2547" s="3" t="s">
        <v>131</v>
      </c>
      <c r="N2547" s="3" t="str">
        <f>CONCATENATE("01388000414")</f>
        <v>01388000414</v>
      </c>
      <c r="O2547" s="3" t="s">
        <v>2682</v>
      </c>
      <c r="P2547" s="3" t="s">
        <v>36</v>
      </c>
      <c r="Q2547" s="3"/>
      <c r="R2547" s="4">
        <v>45996</v>
      </c>
      <c r="S2547" s="3" t="s">
        <v>37</v>
      </c>
      <c r="T2547" s="3" t="s">
        <v>38</v>
      </c>
      <c r="U2547" s="3" t="s">
        <v>39</v>
      </c>
      <c r="V2547" s="5">
        <v>1014.25</v>
      </c>
      <c r="W2547" s="3">
        <v>431.06</v>
      </c>
      <c r="X2547" s="3">
        <v>408.24</v>
      </c>
      <c r="Y2547" s="3">
        <v>174.95</v>
      </c>
    </row>
    <row r="2548" spans="1:25" ht="60.75" x14ac:dyDescent="0.25">
      <c r="A2548" s="3" t="s">
        <v>26</v>
      </c>
      <c r="B2548" s="3" t="s">
        <v>27</v>
      </c>
      <c r="C2548" s="3" t="s">
        <v>28</v>
      </c>
      <c r="D2548" s="3" t="s">
        <v>29</v>
      </c>
      <c r="E2548" s="3" t="s">
        <v>119</v>
      </c>
      <c r="F2548" s="3" t="s">
        <v>31</v>
      </c>
      <c r="G2548" s="3" t="s">
        <v>119</v>
      </c>
      <c r="H2548" s="3" t="s">
        <v>96</v>
      </c>
      <c r="I2548" s="3">
        <v>2025</v>
      </c>
      <c r="J2548" s="3" t="str">
        <f>CONCATENATE("54820026018")</f>
        <v>54820026018</v>
      </c>
      <c r="K2548" s="3" t="s">
        <v>33</v>
      </c>
      <c r="L2548" s="3"/>
      <c r="M2548" s="3" t="s">
        <v>131</v>
      </c>
      <c r="N2548" s="3" t="str">
        <f>CONCATENATE("DNSMNL80L64H769I")</f>
        <v>DNSMNL80L64H769I</v>
      </c>
      <c r="O2548" s="3" t="s">
        <v>2683</v>
      </c>
      <c r="P2548" s="3" t="s">
        <v>36</v>
      </c>
      <c r="Q2548" s="3"/>
      <c r="R2548" s="4">
        <v>45996</v>
      </c>
      <c r="S2548" s="3" t="s">
        <v>37</v>
      </c>
      <c r="T2548" s="3" t="s">
        <v>38</v>
      </c>
      <c r="U2548" s="3" t="s">
        <v>39</v>
      </c>
      <c r="V2548" s="3">
        <v>130.32</v>
      </c>
      <c r="W2548" s="3">
        <v>55.39</v>
      </c>
      <c r="X2548" s="3">
        <v>52.45</v>
      </c>
      <c r="Y2548" s="3">
        <v>22.48</v>
      </c>
    </row>
    <row r="2549" spans="1:25" ht="60.75" x14ac:dyDescent="0.25">
      <c r="A2549" s="3" t="s">
        <v>26</v>
      </c>
      <c r="B2549" s="3" t="s">
        <v>27</v>
      </c>
      <c r="C2549" s="3" t="s">
        <v>28</v>
      </c>
      <c r="D2549" s="3" t="s">
        <v>104</v>
      </c>
      <c r="E2549" s="3" t="s">
        <v>691</v>
      </c>
      <c r="F2549" s="3" t="s">
        <v>104</v>
      </c>
      <c r="G2549" s="3" t="s">
        <v>691</v>
      </c>
      <c r="H2549" s="3" t="s">
        <v>48</v>
      </c>
      <c r="I2549" s="3">
        <v>2025</v>
      </c>
      <c r="J2549" s="3" t="str">
        <f>CONCATENATE("54820039904")</f>
        <v>54820039904</v>
      </c>
      <c r="K2549" s="3" t="s">
        <v>33</v>
      </c>
      <c r="L2549" s="3"/>
      <c r="M2549" s="3" t="s">
        <v>131</v>
      </c>
      <c r="N2549" s="3" t="str">
        <f>CONCATENATE("CMPMLS56H52I653F")</f>
        <v>CMPMLS56H52I653F</v>
      </c>
      <c r="O2549" s="3" t="s">
        <v>2684</v>
      </c>
      <c r="P2549" s="3" t="s">
        <v>36</v>
      </c>
      <c r="Q2549" s="3"/>
      <c r="R2549" s="4">
        <v>45996</v>
      </c>
      <c r="S2549" s="3" t="s">
        <v>37</v>
      </c>
      <c r="T2549" s="3" t="s">
        <v>38</v>
      </c>
      <c r="U2549" s="3" t="s">
        <v>39</v>
      </c>
      <c r="V2549" s="3">
        <v>403.82</v>
      </c>
      <c r="W2549" s="3">
        <v>171.62</v>
      </c>
      <c r="X2549" s="3">
        <v>162.54</v>
      </c>
      <c r="Y2549" s="3">
        <v>69.66</v>
      </c>
    </row>
    <row r="2550" spans="1:25" ht="60.75" x14ac:dyDescent="0.25">
      <c r="A2550" s="3" t="s">
        <v>26</v>
      </c>
      <c r="B2550" s="3" t="s">
        <v>27</v>
      </c>
      <c r="C2550" s="3" t="s">
        <v>28</v>
      </c>
      <c r="D2550" s="3" t="s">
        <v>50</v>
      </c>
      <c r="E2550" s="3" t="s">
        <v>60</v>
      </c>
      <c r="F2550" s="3" t="s">
        <v>52</v>
      </c>
      <c r="G2550" s="3" t="s">
        <v>60</v>
      </c>
      <c r="H2550" s="3" t="s">
        <v>45</v>
      </c>
      <c r="I2550" s="3">
        <v>2025</v>
      </c>
      <c r="J2550" s="3" t="str">
        <f>CONCATENATE("54820102272")</f>
        <v>54820102272</v>
      </c>
      <c r="K2550" s="3" t="s">
        <v>33</v>
      </c>
      <c r="L2550" s="3"/>
      <c r="M2550" s="3" t="s">
        <v>131</v>
      </c>
      <c r="N2550" s="3" t="str">
        <f>CONCATENATE("NGLTRS47R61B352T")</f>
        <v>NGLTRS47R61B352T</v>
      </c>
      <c r="O2550" s="3" t="s">
        <v>2685</v>
      </c>
      <c r="P2550" s="3" t="s">
        <v>36</v>
      </c>
      <c r="Q2550" s="3"/>
      <c r="R2550" s="4">
        <v>45996</v>
      </c>
      <c r="S2550" s="3" t="s">
        <v>37</v>
      </c>
      <c r="T2550" s="3" t="s">
        <v>38</v>
      </c>
      <c r="U2550" s="3" t="s">
        <v>39</v>
      </c>
      <c r="V2550" s="3">
        <v>153.33000000000001</v>
      </c>
      <c r="W2550" s="3">
        <v>65.17</v>
      </c>
      <c r="X2550" s="3">
        <v>61.72</v>
      </c>
      <c r="Y2550" s="3">
        <v>26.44</v>
      </c>
    </row>
    <row r="2551" spans="1:25" ht="60.75" x14ac:dyDescent="0.25">
      <c r="A2551" s="3" t="s">
        <v>26</v>
      </c>
      <c r="B2551" s="3" t="s">
        <v>27</v>
      </c>
      <c r="C2551" s="3" t="s">
        <v>28</v>
      </c>
      <c r="D2551" s="3" t="s">
        <v>50</v>
      </c>
      <c r="E2551" s="3" t="s">
        <v>51</v>
      </c>
      <c r="F2551" s="3" t="s">
        <v>52</v>
      </c>
      <c r="G2551" s="3" t="s">
        <v>51</v>
      </c>
      <c r="H2551" s="3" t="s">
        <v>48</v>
      </c>
      <c r="I2551" s="3">
        <v>2025</v>
      </c>
      <c r="J2551" s="3" t="str">
        <f>CONCATENATE("54820163498")</f>
        <v>54820163498</v>
      </c>
      <c r="K2551" s="3" t="s">
        <v>33</v>
      </c>
      <c r="L2551" s="3"/>
      <c r="M2551" s="3" t="s">
        <v>131</v>
      </c>
      <c r="N2551" s="3" t="str">
        <f>CONCATENATE("CSTLVR34C25A366E")</f>
        <v>CSTLVR34C25A366E</v>
      </c>
      <c r="O2551" s="3" t="s">
        <v>2686</v>
      </c>
      <c r="P2551" s="3" t="s">
        <v>36</v>
      </c>
      <c r="Q2551" s="3"/>
      <c r="R2551" s="4">
        <v>45996</v>
      </c>
      <c r="S2551" s="3" t="s">
        <v>37</v>
      </c>
      <c r="T2551" s="3" t="s">
        <v>38</v>
      </c>
      <c r="U2551" s="3" t="s">
        <v>39</v>
      </c>
      <c r="V2551" s="3">
        <v>169.03</v>
      </c>
      <c r="W2551" s="3">
        <v>71.84</v>
      </c>
      <c r="X2551" s="3">
        <v>68.03</v>
      </c>
      <c r="Y2551" s="3">
        <v>29.16</v>
      </c>
    </row>
    <row r="2552" spans="1:25" ht="60.75" x14ac:dyDescent="0.25">
      <c r="A2552" s="3" t="s">
        <v>26</v>
      </c>
      <c r="B2552" s="3" t="s">
        <v>27</v>
      </c>
      <c r="C2552" s="3" t="s">
        <v>28</v>
      </c>
      <c r="D2552" s="3" t="s">
        <v>50</v>
      </c>
      <c r="E2552" s="3" t="s">
        <v>147</v>
      </c>
      <c r="F2552" s="3" t="s">
        <v>52</v>
      </c>
      <c r="G2552" s="3" t="s">
        <v>147</v>
      </c>
      <c r="H2552" s="3" t="s">
        <v>45</v>
      </c>
      <c r="I2552" s="3">
        <v>2025</v>
      </c>
      <c r="J2552" s="3" t="str">
        <f>CONCATENATE("54820152731")</f>
        <v>54820152731</v>
      </c>
      <c r="K2552" s="3" t="s">
        <v>33</v>
      </c>
      <c r="L2552" s="3"/>
      <c r="M2552" s="3" t="s">
        <v>131</v>
      </c>
      <c r="N2552" s="3" t="str">
        <f>CONCATENATE("RGHNNL66H59L500I")</f>
        <v>RGHNNL66H59L500I</v>
      </c>
      <c r="O2552" s="3" t="s">
        <v>2687</v>
      </c>
      <c r="P2552" s="3" t="s">
        <v>36</v>
      </c>
      <c r="Q2552" s="3"/>
      <c r="R2552" s="4">
        <v>45996</v>
      </c>
      <c r="S2552" s="3" t="s">
        <v>37</v>
      </c>
      <c r="T2552" s="3" t="s">
        <v>38</v>
      </c>
      <c r="U2552" s="3" t="s">
        <v>39</v>
      </c>
      <c r="V2552" s="3">
        <v>177.17</v>
      </c>
      <c r="W2552" s="3">
        <v>75.3</v>
      </c>
      <c r="X2552" s="3">
        <v>71.31</v>
      </c>
      <c r="Y2552" s="3">
        <v>30.56</v>
      </c>
    </row>
    <row r="2553" spans="1:25" ht="60.75" x14ac:dyDescent="0.25">
      <c r="A2553" s="3" t="s">
        <v>26</v>
      </c>
      <c r="B2553" s="3" t="s">
        <v>27</v>
      </c>
      <c r="C2553" s="3" t="s">
        <v>28</v>
      </c>
      <c r="D2553" s="3" t="s">
        <v>29</v>
      </c>
      <c r="E2553" s="3" t="s">
        <v>80</v>
      </c>
      <c r="F2553" s="3" t="s">
        <v>31</v>
      </c>
      <c r="G2553" s="3" t="s">
        <v>80</v>
      </c>
      <c r="H2553" s="3" t="s">
        <v>45</v>
      </c>
      <c r="I2553" s="3">
        <v>2025</v>
      </c>
      <c r="J2553" s="3" t="str">
        <f>CONCATENATE("54820039664")</f>
        <v>54820039664</v>
      </c>
      <c r="K2553" s="3" t="s">
        <v>33</v>
      </c>
      <c r="L2553" s="3"/>
      <c r="M2553" s="3" t="s">
        <v>131</v>
      </c>
      <c r="N2553" s="3" t="str">
        <f>CONCATENATE("LZTMRA46P45G453V")</f>
        <v>LZTMRA46P45G453V</v>
      </c>
      <c r="O2553" s="3" t="s">
        <v>2688</v>
      </c>
      <c r="P2553" s="3" t="s">
        <v>36</v>
      </c>
      <c r="Q2553" s="3"/>
      <c r="R2553" s="4">
        <v>45996</v>
      </c>
      <c r="S2553" s="3" t="s">
        <v>37</v>
      </c>
      <c r="T2553" s="3" t="s">
        <v>38</v>
      </c>
      <c r="U2553" s="3" t="s">
        <v>39</v>
      </c>
      <c r="V2553" s="3">
        <v>60.62</v>
      </c>
      <c r="W2553" s="3">
        <v>25.76</v>
      </c>
      <c r="X2553" s="3">
        <v>24.4</v>
      </c>
      <c r="Y2553" s="3">
        <v>10.46</v>
      </c>
    </row>
    <row r="2554" spans="1:25" ht="72.75" x14ac:dyDescent="0.25">
      <c r="A2554" s="3" t="s">
        <v>26</v>
      </c>
      <c r="B2554" s="3" t="s">
        <v>27</v>
      </c>
      <c r="C2554" s="3" t="s">
        <v>28</v>
      </c>
      <c r="D2554" s="3" t="s">
        <v>29</v>
      </c>
      <c r="E2554" s="3" t="s">
        <v>80</v>
      </c>
      <c r="F2554" s="3" t="s">
        <v>31</v>
      </c>
      <c r="G2554" s="3" t="s">
        <v>80</v>
      </c>
      <c r="H2554" s="3" t="s">
        <v>45</v>
      </c>
      <c r="I2554" s="3">
        <v>2025</v>
      </c>
      <c r="J2554" s="3" t="str">
        <f>CONCATENATE("54820070750")</f>
        <v>54820070750</v>
      </c>
      <c r="K2554" s="3" t="s">
        <v>33</v>
      </c>
      <c r="L2554" s="3"/>
      <c r="M2554" s="3" t="s">
        <v>131</v>
      </c>
      <c r="N2554" s="3" t="str">
        <f>CONCATENATE("MZZRND35D47G453R")</f>
        <v>MZZRND35D47G453R</v>
      </c>
      <c r="O2554" s="3" t="s">
        <v>2689</v>
      </c>
      <c r="P2554" s="3" t="s">
        <v>36</v>
      </c>
      <c r="Q2554" s="3"/>
      <c r="R2554" s="4">
        <v>45996</v>
      </c>
      <c r="S2554" s="3" t="s">
        <v>37</v>
      </c>
      <c r="T2554" s="3" t="s">
        <v>38</v>
      </c>
      <c r="U2554" s="3" t="s">
        <v>39</v>
      </c>
      <c r="V2554" s="3">
        <v>157.09</v>
      </c>
      <c r="W2554" s="3">
        <v>66.760000000000005</v>
      </c>
      <c r="X2554" s="3">
        <v>63.23</v>
      </c>
      <c r="Y2554" s="3">
        <v>27.1</v>
      </c>
    </row>
    <row r="2555" spans="1:25" ht="60.75" x14ac:dyDescent="0.25">
      <c r="A2555" s="3" t="s">
        <v>26</v>
      </c>
      <c r="B2555" s="3" t="s">
        <v>27</v>
      </c>
      <c r="C2555" s="3" t="s">
        <v>28</v>
      </c>
      <c r="D2555" s="3" t="s">
        <v>104</v>
      </c>
      <c r="E2555" s="3" t="s">
        <v>268</v>
      </c>
      <c r="F2555" s="3" t="s">
        <v>104</v>
      </c>
      <c r="G2555" s="3" t="s">
        <v>268</v>
      </c>
      <c r="H2555" s="3" t="s">
        <v>32</v>
      </c>
      <c r="I2555" s="3">
        <v>2025</v>
      </c>
      <c r="J2555" s="3" t="str">
        <f>CONCATENATE("54820063052")</f>
        <v>54820063052</v>
      </c>
      <c r="K2555" s="3" t="s">
        <v>33</v>
      </c>
      <c r="L2555" s="3"/>
      <c r="M2555" s="3" t="s">
        <v>131</v>
      </c>
      <c r="N2555" s="3" t="str">
        <f>CONCATENATE("CCCFNC38R29C582J")</f>
        <v>CCCFNC38R29C582J</v>
      </c>
      <c r="O2555" s="3" t="s">
        <v>2690</v>
      </c>
      <c r="P2555" s="3" t="s">
        <v>36</v>
      </c>
      <c r="Q2555" s="3"/>
      <c r="R2555" s="4">
        <v>45996</v>
      </c>
      <c r="S2555" s="3" t="s">
        <v>37</v>
      </c>
      <c r="T2555" s="3" t="s">
        <v>38</v>
      </c>
      <c r="U2555" s="3" t="s">
        <v>39</v>
      </c>
      <c r="V2555" s="3">
        <v>104.79</v>
      </c>
      <c r="W2555" s="3">
        <v>44.54</v>
      </c>
      <c r="X2555" s="3">
        <v>42.18</v>
      </c>
      <c r="Y2555" s="3">
        <v>18.07</v>
      </c>
    </row>
    <row r="2556" spans="1:25" ht="60.75" x14ac:dyDescent="0.25">
      <c r="A2556" s="3" t="s">
        <v>26</v>
      </c>
      <c r="B2556" s="3" t="s">
        <v>27</v>
      </c>
      <c r="C2556" s="3" t="s">
        <v>28</v>
      </c>
      <c r="D2556" s="3" t="s">
        <v>29</v>
      </c>
      <c r="E2556" s="3" t="s">
        <v>72</v>
      </c>
      <c r="F2556" s="3" t="s">
        <v>31</v>
      </c>
      <c r="G2556" s="3" t="s">
        <v>72</v>
      </c>
      <c r="H2556" s="3" t="s">
        <v>45</v>
      </c>
      <c r="I2556" s="3">
        <v>2025</v>
      </c>
      <c r="J2556" s="3" t="str">
        <f>CONCATENATE("54820022884")</f>
        <v>54820022884</v>
      </c>
      <c r="K2556" s="3" t="s">
        <v>33</v>
      </c>
      <c r="L2556" s="3"/>
      <c r="M2556" s="3" t="s">
        <v>131</v>
      </c>
      <c r="N2556" s="3" t="str">
        <f>CONCATENATE("PNCGPP52T07B352F")</f>
        <v>PNCGPP52T07B352F</v>
      </c>
      <c r="O2556" s="3" t="s">
        <v>2691</v>
      </c>
      <c r="P2556" s="3" t="s">
        <v>36</v>
      </c>
      <c r="Q2556" s="3"/>
      <c r="R2556" s="4">
        <v>45996</v>
      </c>
      <c r="S2556" s="3" t="s">
        <v>37</v>
      </c>
      <c r="T2556" s="3" t="s">
        <v>38</v>
      </c>
      <c r="U2556" s="3" t="s">
        <v>39</v>
      </c>
      <c r="V2556" s="3">
        <v>256.54000000000002</v>
      </c>
      <c r="W2556" s="3">
        <v>109.03</v>
      </c>
      <c r="X2556" s="3">
        <v>103.26</v>
      </c>
      <c r="Y2556" s="3">
        <v>44.25</v>
      </c>
    </row>
    <row r="2557" spans="1:25" ht="60.75" x14ac:dyDescent="0.25">
      <c r="A2557" s="3" t="s">
        <v>26</v>
      </c>
      <c r="B2557" s="3" t="s">
        <v>27</v>
      </c>
      <c r="C2557" s="3" t="s">
        <v>28</v>
      </c>
      <c r="D2557" s="3" t="s">
        <v>29</v>
      </c>
      <c r="E2557" s="3" t="s">
        <v>68</v>
      </c>
      <c r="F2557" s="3" t="s">
        <v>31</v>
      </c>
      <c r="G2557" s="3" t="s">
        <v>68</v>
      </c>
      <c r="H2557" s="3" t="s">
        <v>32</v>
      </c>
      <c r="I2557" s="3">
        <v>2025</v>
      </c>
      <c r="J2557" s="3" t="str">
        <f>CONCATENATE("54820031182")</f>
        <v>54820031182</v>
      </c>
      <c r="K2557" s="3" t="s">
        <v>33</v>
      </c>
      <c r="L2557" s="3"/>
      <c r="M2557" s="3" t="s">
        <v>131</v>
      </c>
      <c r="N2557" s="3" t="str">
        <f>CONCATENATE("BRNGLI63A21I436H")</f>
        <v>BRNGLI63A21I436H</v>
      </c>
      <c r="O2557" s="3" t="s">
        <v>2692</v>
      </c>
      <c r="P2557" s="3" t="s">
        <v>36</v>
      </c>
      <c r="Q2557" s="3"/>
      <c r="R2557" s="4">
        <v>45996</v>
      </c>
      <c r="S2557" s="3" t="s">
        <v>37</v>
      </c>
      <c r="T2557" s="3" t="s">
        <v>38</v>
      </c>
      <c r="U2557" s="3" t="s">
        <v>39</v>
      </c>
      <c r="V2557" s="3">
        <v>223.29</v>
      </c>
      <c r="W2557" s="3">
        <v>94.9</v>
      </c>
      <c r="X2557" s="3">
        <v>89.87</v>
      </c>
      <c r="Y2557" s="3">
        <v>38.520000000000003</v>
      </c>
    </row>
    <row r="2558" spans="1:25" ht="60.75" x14ac:dyDescent="0.25">
      <c r="A2558" s="3" t="s">
        <v>26</v>
      </c>
      <c r="B2558" s="3" t="s">
        <v>27</v>
      </c>
      <c r="C2558" s="3" t="s">
        <v>28</v>
      </c>
      <c r="D2558" s="3" t="s">
        <v>104</v>
      </c>
      <c r="E2558" s="3" t="s">
        <v>691</v>
      </c>
      <c r="F2558" s="3" t="s">
        <v>104</v>
      </c>
      <c r="G2558" s="3" t="s">
        <v>691</v>
      </c>
      <c r="H2558" s="3" t="s">
        <v>48</v>
      </c>
      <c r="I2558" s="3">
        <v>2025</v>
      </c>
      <c r="J2558" s="3" t="str">
        <f>CONCATENATE("54820012406")</f>
        <v>54820012406</v>
      </c>
      <c r="K2558" s="3" t="s">
        <v>33</v>
      </c>
      <c r="L2558" s="3"/>
      <c r="M2558" s="3" t="s">
        <v>131</v>
      </c>
      <c r="N2558" s="3" t="str">
        <f>CONCATENATE("CMRMTR65S54D211T")</f>
        <v>CMRMTR65S54D211T</v>
      </c>
      <c r="O2558" s="3" t="s">
        <v>2693</v>
      </c>
      <c r="P2558" s="3" t="s">
        <v>36</v>
      </c>
      <c r="Q2558" s="3"/>
      <c r="R2558" s="4">
        <v>45996</v>
      </c>
      <c r="S2558" s="3" t="s">
        <v>37</v>
      </c>
      <c r="T2558" s="3" t="s">
        <v>38</v>
      </c>
      <c r="U2558" s="3" t="s">
        <v>39</v>
      </c>
      <c r="V2558" s="3">
        <v>160.13</v>
      </c>
      <c r="W2558" s="3">
        <v>68.06</v>
      </c>
      <c r="X2558" s="3">
        <v>64.45</v>
      </c>
      <c r="Y2558" s="3">
        <v>27.62</v>
      </c>
    </row>
    <row r="2559" spans="1:25" ht="60.75" x14ac:dyDescent="0.25">
      <c r="A2559" s="3" t="s">
        <v>26</v>
      </c>
      <c r="B2559" s="3" t="s">
        <v>27</v>
      </c>
      <c r="C2559" s="3" t="s">
        <v>28</v>
      </c>
      <c r="D2559" s="3" t="s">
        <v>29</v>
      </c>
      <c r="E2559" s="3" t="s">
        <v>136</v>
      </c>
      <c r="F2559" s="3" t="s">
        <v>31</v>
      </c>
      <c r="G2559" s="3" t="s">
        <v>136</v>
      </c>
      <c r="H2559" s="3" t="s">
        <v>48</v>
      </c>
      <c r="I2559" s="3">
        <v>2025</v>
      </c>
      <c r="J2559" s="3" t="str">
        <f>CONCATENATE("54820068309")</f>
        <v>54820068309</v>
      </c>
      <c r="K2559" s="3" t="s">
        <v>33</v>
      </c>
      <c r="L2559" s="3"/>
      <c r="M2559" s="3" t="s">
        <v>131</v>
      </c>
      <c r="N2559" s="3" t="str">
        <f>CONCATENATE("FDRRFL60M43B076D")</f>
        <v>FDRRFL60M43B076D</v>
      </c>
      <c r="O2559" s="3" t="s">
        <v>2694</v>
      </c>
      <c r="P2559" s="3" t="s">
        <v>36</v>
      </c>
      <c r="Q2559" s="3"/>
      <c r="R2559" s="4">
        <v>45996</v>
      </c>
      <c r="S2559" s="3" t="s">
        <v>37</v>
      </c>
      <c r="T2559" s="3" t="s">
        <v>38</v>
      </c>
      <c r="U2559" s="3" t="s">
        <v>39</v>
      </c>
      <c r="V2559" s="3">
        <v>65.290000000000006</v>
      </c>
      <c r="W2559" s="3">
        <v>27.75</v>
      </c>
      <c r="X2559" s="3">
        <v>26.28</v>
      </c>
      <c r="Y2559" s="3">
        <v>11.26</v>
      </c>
    </row>
    <row r="2560" spans="1:25" ht="60.75" x14ac:dyDescent="0.25">
      <c r="A2560" s="3" t="s">
        <v>26</v>
      </c>
      <c r="B2560" s="3" t="s">
        <v>27</v>
      </c>
      <c r="C2560" s="3" t="s">
        <v>28</v>
      </c>
      <c r="D2560" s="3" t="s">
        <v>104</v>
      </c>
      <c r="E2560" s="3" t="s">
        <v>141</v>
      </c>
      <c r="F2560" s="3" t="s">
        <v>104</v>
      </c>
      <c r="G2560" s="3" t="s">
        <v>141</v>
      </c>
      <c r="H2560" s="3" t="s">
        <v>96</v>
      </c>
      <c r="I2560" s="3">
        <v>2025</v>
      </c>
      <c r="J2560" s="3" t="str">
        <f>CONCATENATE("54820136940")</f>
        <v>54820136940</v>
      </c>
      <c r="K2560" s="3" t="s">
        <v>33</v>
      </c>
      <c r="L2560" s="3"/>
      <c r="M2560" s="3" t="s">
        <v>131</v>
      </c>
      <c r="N2560" s="3" t="str">
        <f>CONCATENATE("BRTNCL64A27A252K")</f>
        <v>BRTNCL64A27A252K</v>
      </c>
      <c r="O2560" s="3" t="s">
        <v>2695</v>
      </c>
      <c r="P2560" s="3" t="s">
        <v>36</v>
      </c>
      <c r="Q2560" s="3"/>
      <c r="R2560" s="4">
        <v>45996</v>
      </c>
      <c r="S2560" s="3" t="s">
        <v>37</v>
      </c>
      <c r="T2560" s="3" t="s">
        <v>38</v>
      </c>
      <c r="U2560" s="3" t="s">
        <v>39</v>
      </c>
      <c r="V2560" s="3">
        <v>46.97</v>
      </c>
      <c r="W2560" s="3">
        <v>19.96</v>
      </c>
      <c r="X2560" s="3">
        <v>18.91</v>
      </c>
      <c r="Y2560" s="3">
        <v>8.1</v>
      </c>
    </row>
    <row r="2561" spans="1:25" ht="60.75" x14ac:dyDescent="0.25">
      <c r="A2561" s="3" t="s">
        <v>26</v>
      </c>
      <c r="B2561" s="3" t="s">
        <v>27</v>
      </c>
      <c r="C2561" s="3" t="s">
        <v>28</v>
      </c>
      <c r="D2561" s="3" t="s">
        <v>29</v>
      </c>
      <c r="E2561" s="3" t="s">
        <v>72</v>
      </c>
      <c r="F2561" s="3" t="s">
        <v>31</v>
      </c>
      <c r="G2561" s="3" t="s">
        <v>72</v>
      </c>
      <c r="H2561" s="3" t="s">
        <v>45</v>
      </c>
      <c r="I2561" s="3">
        <v>2025</v>
      </c>
      <c r="J2561" s="3" t="str">
        <f>CONCATENATE("54820022173")</f>
        <v>54820022173</v>
      </c>
      <c r="K2561" s="3" t="s">
        <v>33</v>
      </c>
      <c r="L2561" s="3"/>
      <c r="M2561" s="3" t="s">
        <v>131</v>
      </c>
      <c r="N2561" s="3" t="str">
        <f>CONCATENATE("CLMMPS49C50G044M")</f>
        <v>CLMMPS49C50G044M</v>
      </c>
      <c r="O2561" s="3" t="s">
        <v>2696</v>
      </c>
      <c r="P2561" s="3" t="s">
        <v>36</v>
      </c>
      <c r="Q2561" s="3"/>
      <c r="R2561" s="4">
        <v>45996</v>
      </c>
      <c r="S2561" s="3" t="s">
        <v>37</v>
      </c>
      <c r="T2561" s="3" t="s">
        <v>38</v>
      </c>
      <c r="U2561" s="3" t="s">
        <v>39</v>
      </c>
      <c r="V2561" s="3">
        <v>306.5</v>
      </c>
      <c r="W2561" s="3">
        <v>130.26</v>
      </c>
      <c r="X2561" s="3">
        <v>123.37</v>
      </c>
      <c r="Y2561" s="3">
        <v>52.87</v>
      </c>
    </row>
    <row r="2562" spans="1:25" ht="60.75" x14ac:dyDescent="0.25">
      <c r="A2562" s="3" t="s">
        <v>26</v>
      </c>
      <c r="B2562" s="3" t="s">
        <v>27</v>
      </c>
      <c r="C2562" s="3" t="s">
        <v>28</v>
      </c>
      <c r="D2562" s="3" t="s">
        <v>40</v>
      </c>
      <c r="E2562" s="3" t="s">
        <v>287</v>
      </c>
      <c r="F2562" s="3" t="s">
        <v>42</v>
      </c>
      <c r="G2562" s="3" t="s">
        <v>287</v>
      </c>
      <c r="H2562" s="3" t="s">
        <v>32</v>
      </c>
      <c r="I2562" s="3">
        <v>2025</v>
      </c>
      <c r="J2562" s="3" t="str">
        <f>CONCATENATE("54820090816")</f>
        <v>54820090816</v>
      </c>
      <c r="K2562" s="3" t="s">
        <v>33</v>
      </c>
      <c r="L2562" s="3"/>
      <c r="M2562" s="3" t="s">
        <v>131</v>
      </c>
      <c r="N2562" s="3" t="str">
        <f>CONCATENATE("BSLLCU99A45I156E")</f>
        <v>BSLLCU99A45I156E</v>
      </c>
      <c r="O2562" s="3" t="s">
        <v>2697</v>
      </c>
      <c r="P2562" s="3" t="s">
        <v>36</v>
      </c>
      <c r="Q2562" s="3"/>
      <c r="R2562" s="4">
        <v>45996</v>
      </c>
      <c r="S2562" s="3" t="s">
        <v>37</v>
      </c>
      <c r="T2562" s="3" t="s">
        <v>38</v>
      </c>
      <c r="U2562" s="3" t="s">
        <v>39</v>
      </c>
      <c r="V2562" s="5">
        <v>1128.73</v>
      </c>
      <c r="W2562" s="3">
        <v>479.71</v>
      </c>
      <c r="X2562" s="3">
        <v>454.31</v>
      </c>
      <c r="Y2562" s="3">
        <v>194.71</v>
      </c>
    </row>
    <row r="2563" spans="1:25" ht="60.75" x14ac:dyDescent="0.25">
      <c r="A2563" s="3" t="s">
        <v>26</v>
      </c>
      <c r="B2563" s="3" t="s">
        <v>27</v>
      </c>
      <c r="C2563" s="3" t="s">
        <v>28</v>
      </c>
      <c r="D2563" s="3" t="s">
        <v>29</v>
      </c>
      <c r="E2563" s="3" t="s">
        <v>208</v>
      </c>
      <c r="F2563" s="3" t="s">
        <v>31</v>
      </c>
      <c r="G2563" s="3" t="s">
        <v>208</v>
      </c>
      <c r="H2563" s="3" t="s">
        <v>45</v>
      </c>
      <c r="I2563" s="3">
        <v>2025</v>
      </c>
      <c r="J2563" s="3" t="str">
        <f>CONCATENATE("54820031851")</f>
        <v>54820031851</v>
      </c>
      <c r="K2563" s="3" t="s">
        <v>33</v>
      </c>
      <c r="L2563" s="3"/>
      <c r="M2563" s="3" t="s">
        <v>131</v>
      </c>
      <c r="N2563" s="3" t="str">
        <f>CONCATENATE("NTNNGL45S19L498M")</f>
        <v>NTNNGL45S19L498M</v>
      </c>
      <c r="O2563" s="3" t="s">
        <v>2698</v>
      </c>
      <c r="P2563" s="3" t="s">
        <v>36</v>
      </c>
      <c r="Q2563" s="3"/>
      <c r="R2563" s="4">
        <v>45996</v>
      </c>
      <c r="S2563" s="3" t="s">
        <v>37</v>
      </c>
      <c r="T2563" s="3" t="s">
        <v>38</v>
      </c>
      <c r="U2563" s="3" t="s">
        <v>39</v>
      </c>
      <c r="V2563" s="3">
        <v>56.57</v>
      </c>
      <c r="W2563" s="3">
        <v>24.04</v>
      </c>
      <c r="X2563" s="3">
        <v>22.77</v>
      </c>
      <c r="Y2563" s="3">
        <v>9.76</v>
      </c>
    </row>
    <row r="2564" spans="1:25" ht="60.75" x14ac:dyDescent="0.25">
      <c r="A2564" s="3" t="s">
        <v>26</v>
      </c>
      <c r="B2564" s="3" t="s">
        <v>27</v>
      </c>
      <c r="C2564" s="3" t="s">
        <v>28</v>
      </c>
      <c r="D2564" s="3" t="s">
        <v>50</v>
      </c>
      <c r="E2564" s="3" t="s">
        <v>252</v>
      </c>
      <c r="F2564" s="3" t="s">
        <v>52</v>
      </c>
      <c r="G2564" s="3" t="s">
        <v>252</v>
      </c>
      <c r="H2564" s="3" t="s">
        <v>45</v>
      </c>
      <c r="I2564" s="3">
        <v>2025</v>
      </c>
      <c r="J2564" s="3" t="str">
        <f>CONCATENATE("54820189055")</f>
        <v>54820189055</v>
      </c>
      <c r="K2564" s="3" t="s">
        <v>33</v>
      </c>
      <c r="L2564" s="3"/>
      <c r="M2564" s="3" t="s">
        <v>131</v>
      </c>
      <c r="N2564" s="3" t="str">
        <f>CONCATENATE("CLDFLL56P63D749T")</f>
        <v>CLDFLL56P63D749T</v>
      </c>
      <c r="O2564" s="3" t="s">
        <v>2699</v>
      </c>
      <c r="P2564" s="3" t="s">
        <v>36</v>
      </c>
      <c r="Q2564" s="3"/>
      <c r="R2564" s="4">
        <v>45996</v>
      </c>
      <c r="S2564" s="3" t="s">
        <v>37</v>
      </c>
      <c r="T2564" s="3" t="s">
        <v>38</v>
      </c>
      <c r="U2564" s="3" t="s">
        <v>39</v>
      </c>
      <c r="V2564" s="3">
        <v>119.27</v>
      </c>
      <c r="W2564" s="3">
        <v>50.69</v>
      </c>
      <c r="X2564" s="3">
        <v>48.01</v>
      </c>
      <c r="Y2564" s="3">
        <v>20.57</v>
      </c>
    </row>
    <row r="2565" spans="1:25" ht="36.75" x14ac:dyDescent="0.25">
      <c r="A2565" s="3" t="s">
        <v>26</v>
      </c>
      <c r="B2565" s="3" t="s">
        <v>27</v>
      </c>
      <c r="C2565" s="3" t="s">
        <v>28</v>
      </c>
      <c r="D2565" s="3" t="s">
        <v>50</v>
      </c>
      <c r="E2565" s="3" t="s">
        <v>60</v>
      </c>
      <c r="F2565" s="3" t="s">
        <v>52</v>
      </c>
      <c r="G2565" s="3" t="s">
        <v>60</v>
      </c>
      <c r="H2565" s="3" t="s">
        <v>45</v>
      </c>
      <c r="I2565" s="3">
        <v>2025</v>
      </c>
      <c r="J2565" s="3" t="str">
        <f>CONCATENATE("54820211438")</f>
        <v>54820211438</v>
      </c>
      <c r="K2565" s="3" t="s">
        <v>33</v>
      </c>
      <c r="L2565" s="3"/>
      <c r="M2565" s="3" t="s">
        <v>131</v>
      </c>
      <c r="N2565" s="3" t="str">
        <f>CONCATENATE("02596960415")</f>
        <v>02596960415</v>
      </c>
      <c r="O2565" s="3" t="s">
        <v>2700</v>
      </c>
      <c r="P2565" s="3" t="s">
        <v>36</v>
      </c>
      <c r="Q2565" s="3"/>
      <c r="R2565" s="4">
        <v>45996</v>
      </c>
      <c r="S2565" s="3" t="s">
        <v>37</v>
      </c>
      <c r="T2565" s="3" t="s">
        <v>38</v>
      </c>
      <c r="U2565" s="3" t="s">
        <v>39</v>
      </c>
      <c r="V2565" s="3">
        <v>422.43</v>
      </c>
      <c r="W2565" s="3">
        <v>179.53</v>
      </c>
      <c r="X2565" s="3">
        <v>170.03</v>
      </c>
      <c r="Y2565" s="3">
        <v>72.87</v>
      </c>
    </row>
    <row r="2566" spans="1:25" ht="72.75" x14ac:dyDescent="0.25">
      <c r="A2566" s="3" t="s">
        <v>26</v>
      </c>
      <c r="B2566" s="3" t="s">
        <v>27</v>
      </c>
      <c r="C2566" s="3" t="s">
        <v>28</v>
      </c>
      <c r="D2566" s="3" t="s">
        <v>29</v>
      </c>
      <c r="E2566" s="3" t="s">
        <v>47</v>
      </c>
      <c r="F2566" s="3" t="s">
        <v>31</v>
      </c>
      <c r="G2566" s="3" t="s">
        <v>47</v>
      </c>
      <c r="H2566" s="3" t="s">
        <v>48</v>
      </c>
      <c r="I2566" s="3">
        <v>2025</v>
      </c>
      <c r="J2566" s="3" t="str">
        <f>CONCATENATE("54820211826")</f>
        <v>54820211826</v>
      </c>
      <c r="K2566" s="3" t="s">
        <v>33</v>
      </c>
      <c r="L2566" s="3"/>
      <c r="M2566" s="3" t="s">
        <v>131</v>
      </c>
      <c r="N2566" s="3" t="str">
        <f>CONCATENATE("RCCFNC57R13D451R")</f>
        <v>RCCFNC57R13D451R</v>
      </c>
      <c r="O2566" s="3" t="s">
        <v>2701</v>
      </c>
      <c r="P2566" s="3" t="s">
        <v>36</v>
      </c>
      <c r="Q2566" s="3"/>
      <c r="R2566" s="4">
        <v>45996</v>
      </c>
      <c r="S2566" s="3" t="s">
        <v>37</v>
      </c>
      <c r="T2566" s="3" t="s">
        <v>38</v>
      </c>
      <c r="U2566" s="3" t="s">
        <v>39</v>
      </c>
      <c r="V2566" s="3">
        <v>169.41</v>
      </c>
      <c r="W2566" s="3">
        <v>72</v>
      </c>
      <c r="X2566" s="3">
        <v>68.19</v>
      </c>
      <c r="Y2566" s="3">
        <v>29.22</v>
      </c>
    </row>
    <row r="2567" spans="1:25" ht="60.75" x14ac:dyDescent="0.25">
      <c r="A2567" s="3" t="s">
        <v>26</v>
      </c>
      <c r="B2567" s="3" t="s">
        <v>27</v>
      </c>
      <c r="C2567" s="3" t="s">
        <v>28</v>
      </c>
      <c r="D2567" s="3" t="s">
        <v>29</v>
      </c>
      <c r="E2567" s="3" t="s">
        <v>56</v>
      </c>
      <c r="F2567" s="3" t="s">
        <v>31</v>
      </c>
      <c r="G2567" s="3" t="s">
        <v>56</v>
      </c>
      <c r="H2567" s="3" t="s">
        <v>32</v>
      </c>
      <c r="I2567" s="3">
        <v>2025</v>
      </c>
      <c r="J2567" s="3" t="str">
        <f>CONCATENATE("54820161781")</f>
        <v>54820161781</v>
      </c>
      <c r="K2567" s="3" t="s">
        <v>33</v>
      </c>
      <c r="L2567" s="3"/>
      <c r="M2567" s="3" t="s">
        <v>131</v>
      </c>
      <c r="N2567" s="3" t="str">
        <f>CONCATENATE("BFRMRA66C71F051Z")</f>
        <v>BFRMRA66C71F051Z</v>
      </c>
      <c r="O2567" s="3" t="s">
        <v>2702</v>
      </c>
      <c r="P2567" s="3" t="s">
        <v>36</v>
      </c>
      <c r="Q2567" s="3"/>
      <c r="R2567" s="4">
        <v>45996</v>
      </c>
      <c r="S2567" s="3" t="s">
        <v>37</v>
      </c>
      <c r="T2567" s="3" t="s">
        <v>38</v>
      </c>
      <c r="U2567" s="3" t="s">
        <v>39</v>
      </c>
      <c r="V2567" s="3">
        <v>261.91000000000003</v>
      </c>
      <c r="W2567" s="3">
        <v>111.31</v>
      </c>
      <c r="X2567" s="3">
        <v>105.42</v>
      </c>
      <c r="Y2567" s="3">
        <v>45.18</v>
      </c>
    </row>
    <row r="2568" spans="1:25" ht="60.75" x14ac:dyDescent="0.25">
      <c r="A2568" s="3" t="s">
        <v>26</v>
      </c>
      <c r="B2568" s="3" t="s">
        <v>27</v>
      </c>
      <c r="C2568" s="3" t="s">
        <v>28</v>
      </c>
      <c r="D2568" s="3" t="s">
        <v>29</v>
      </c>
      <c r="E2568" s="3" t="s">
        <v>182</v>
      </c>
      <c r="F2568" s="3" t="s">
        <v>31</v>
      </c>
      <c r="G2568" s="3" t="s">
        <v>182</v>
      </c>
      <c r="H2568" s="3" t="s">
        <v>45</v>
      </c>
      <c r="I2568" s="3">
        <v>2025</v>
      </c>
      <c r="J2568" s="3" t="str">
        <f>CONCATENATE("54820266804")</f>
        <v>54820266804</v>
      </c>
      <c r="K2568" s="3" t="s">
        <v>33</v>
      </c>
      <c r="L2568" s="3"/>
      <c r="M2568" s="3" t="s">
        <v>131</v>
      </c>
      <c r="N2568" s="3" t="str">
        <f>CONCATENATE("SNTLNT47A15L500P")</f>
        <v>SNTLNT47A15L500P</v>
      </c>
      <c r="O2568" s="3" t="s">
        <v>2703</v>
      </c>
      <c r="P2568" s="3" t="s">
        <v>36</v>
      </c>
      <c r="Q2568" s="3"/>
      <c r="R2568" s="4">
        <v>45996</v>
      </c>
      <c r="S2568" s="3" t="s">
        <v>37</v>
      </c>
      <c r="T2568" s="3" t="s">
        <v>38</v>
      </c>
      <c r="U2568" s="3" t="s">
        <v>39</v>
      </c>
      <c r="V2568" s="3">
        <v>50.28</v>
      </c>
      <c r="W2568" s="3">
        <v>21.37</v>
      </c>
      <c r="X2568" s="3">
        <v>20.239999999999998</v>
      </c>
      <c r="Y2568" s="3">
        <v>8.67</v>
      </c>
    </row>
    <row r="2569" spans="1:25" ht="60.75" x14ac:dyDescent="0.25">
      <c r="A2569" s="3" t="s">
        <v>26</v>
      </c>
      <c r="B2569" s="3" t="s">
        <v>27</v>
      </c>
      <c r="C2569" s="3" t="s">
        <v>28</v>
      </c>
      <c r="D2569" s="3" t="s">
        <v>50</v>
      </c>
      <c r="E2569" s="3" t="s">
        <v>51</v>
      </c>
      <c r="F2569" s="3" t="s">
        <v>52</v>
      </c>
      <c r="G2569" s="3" t="s">
        <v>51</v>
      </c>
      <c r="H2569" s="3" t="s">
        <v>48</v>
      </c>
      <c r="I2569" s="3">
        <v>2025</v>
      </c>
      <c r="J2569" s="3" t="str">
        <f>CONCATENATE("54820197769")</f>
        <v>54820197769</v>
      </c>
      <c r="K2569" s="3" t="s">
        <v>33</v>
      </c>
      <c r="L2569" s="3"/>
      <c r="M2569" s="3" t="s">
        <v>131</v>
      </c>
      <c r="N2569" s="3" t="str">
        <f>CONCATENATE("GRSNGL50P52D451W")</f>
        <v>GRSNGL50P52D451W</v>
      </c>
      <c r="O2569" s="3" t="s">
        <v>2704</v>
      </c>
      <c r="P2569" s="3" t="s">
        <v>36</v>
      </c>
      <c r="Q2569" s="3"/>
      <c r="R2569" s="4">
        <v>45996</v>
      </c>
      <c r="S2569" s="3" t="s">
        <v>37</v>
      </c>
      <c r="T2569" s="3" t="s">
        <v>38</v>
      </c>
      <c r="U2569" s="3" t="s">
        <v>39</v>
      </c>
      <c r="V2569" s="3">
        <v>674.58</v>
      </c>
      <c r="W2569" s="3">
        <v>286.7</v>
      </c>
      <c r="X2569" s="3">
        <v>271.52</v>
      </c>
      <c r="Y2569" s="3">
        <v>116.36</v>
      </c>
    </row>
    <row r="2570" spans="1:25" ht="60.75" x14ac:dyDescent="0.25">
      <c r="A2570" s="3" t="s">
        <v>26</v>
      </c>
      <c r="B2570" s="3" t="s">
        <v>27</v>
      </c>
      <c r="C2570" s="3" t="s">
        <v>28</v>
      </c>
      <c r="D2570" s="3" t="s">
        <v>29</v>
      </c>
      <c r="E2570" s="3" t="s">
        <v>56</v>
      </c>
      <c r="F2570" s="3" t="s">
        <v>31</v>
      </c>
      <c r="G2570" s="3" t="s">
        <v>56</v>
      </c>
      <c r="H2570" s="3" t="s">
        <v>32</v>
      </c>
      <c r="I2570" s="3">
        <v>2025</v>
      </c>
      <c r="J2570" s="3" t="str">
        <f>CONCATENATE("54820169370")</f>
        <v>54820169370</v>
      </c>
      <c r="K2570" s="3" t="s">
        <v>33</v>
      </c>
      <c r="L2570" s="3"/>
      <c r="M2570" s="3" t="s">
        <v>131</v>
      </c>
      <c r="N2570" s="3" t="str">
        <f>CONCATENATE("CPPFRZ75P08D451S")</f>
        <v>CPPFRZ75P08D451S</v>
      </c>
      <c r="O2570" s="3" t="s">
        <v>2705</v>
      </c>
      <c r="P2570" s="3" t="s">
        <v>36</v>
      </c>
      <c r="Q2570" s="3"/>
      <c r="R2570" s="4">
        <v>45996</v>
      </c>
      <c r="S2570" s="3" t="s">
        <v>37</v>
      </c>
      <c r="T2570" s="3" t="s">
        <v>38</v>
      </c>
      <c r="U2570" s="3" t="s">
        <v>39</v>
      </c>
      <c r="V2570" s="3">
        <v>136.28</v>
      </c>
      <c r="W2570" s="3">
        <v>57.92</v>
      </c>
      <c r="X2570" s="3">
        <v>54.85</v>
      </c>
      <c r="Y2570" s="3">
        <v>23.51</v>
      </c>
    </row>
    <row r="2571" spans="1:25" ht="36.75" x14ac:dyDescent="0.25">
      <c r="A2571" s="3" t="s">
        <v>26</v>
      </c>
      <c r="B2571" s="3" t="s">
        <v>27</v>
      </c>
      <c r="C2571" s="3" t="s">
        <v>28</v>
      </c>
      <c r="D2571" s="3" t="s">
        <v>40</v>
      </c>
      <c r="E2571" s="3" t="s">
        <v>99</v>
      </c>
      <c r="F2571" s="3" t="s">
        <v>42</v>
      </c>
      <c r="G2571" s="3" t="s">
        <v>99</v>
      </c>
      <c r="H2571" s="3" t="s">
        <v>96</v>
      </c>
      <c r="I2571" s="3">
        <v>2025</v>
      </c>
      <c r="J2571" s="3" t="str">
        <f>CONCATENATE("54820159744")</f>
        <v>54820159744</v>
      </c>
      <c r="K2571" s="3" t="s">
        <v>33</v>
      </c>
      <c r="L2571" s="3"/>
      <c r="M2571" s="3" t="s">
        <v>131</v>
      </c>
      <c r="N2571" s="3" t="str">
        <f>CONCATENATE("02364090445")</f>
        <v>02364090445</v>
      </c>
      <c r="O2571" s="3" t="s">
        <v>2706</v>
      </c>
      <c r="P2571" s="3" t="s">
        <v>36</v>
      </c>
      <c r="Q2571" s="3"/>
      <c r="R2571" s="4">
        <v>45996</v>
      </c>
      <c r="S2571" s="3" t="s">
        <v>37</v>
      </c>
      <c r="T2571" s="3" t="s">
        <v>38</v>
      </c>
      <c r="U2571" s="3" t="s">
        <v>39</v>
      </c>
      <c r="V2571" s="3">
        <v>222.39</v>
      </c>
      <c r="W2571" s="3">
        <v>94.52</v>
      </c>
      <c r="X2571" s="3">
        <v>89.51</v>
      </c>
      <c r="Y2571" s="3">
        <v>38.36</v>
      </c>
    </row>
    <row r="2572" spans="1:25" ht="60.75" x14ac:dyDescent="0.25">
      <c r="A2572" s="3" t="s">
        <v>26</v>
      </c>
      <c r="B2572" s="3" t="s">
        <v>27</v>
      </c>
      <c r="C2572" s="3" t="s">
        <v>28</v>
      </c>
      <c r="D2572" s="3" t="s">
        <v>50</v>
      </c>
      <c r="E2572" s="3" t="s">
        <v>51</v>
      </c>
      <c r="F2572" s="3" t="s">
        <v>52</v>
      </c>
      <c r="G2572" s="3" t="s">
        <v>51</v>
      </c>
      <c r="H2572" s="3" t="s">
        <v>48</v>
      </c>
      <c r="I2572" s="3">
        <v>2025</v>
      </c>
      <c r="J2572" s="3" t="str">
        <f>CONCATENATE("54820210802")</f>
        <v>54820210802</v>
      </c>
      <c r="K2572" s="3" t="s">
        <v>33</v>
      </c>
      <c r="L2572" s="3"/>
      <c r="M2572" s="3" t="s">
        <v>131</v>
      </c>
      <c r="N2572" s="3" t="str">
        <f>CONCATENATE("PCCDNL82T29D451P")</f>
        <v>PCCDNL82T29D451P</v>
      </c>
      <c r="O2572" s="3" t="s">
        <v>2707</v>
      </c>
      <c r="P2572" s="3" t="s">
        <v>36</v>
      </c>
      <c r="Q2572" s="3"/>
      <c r="R2572" s="4">
        <v>45996</v>
      </c>
      <c r="S2572" s="3" t="s">
        <v>37</v>
      </c>
      <c r="T2572" s="3" t="s">
        <v>38</v>
      </c>
      <c r="U2572" s="3" t="s">
        <v>39</v>
      </c>
      <c r="V2572" s="5">
        <v>1322.61</v>
      </c>
      <c r="W2572" s="3">
        <v>562.11</v>
      </c>
      <c r="X2572" s="3">
        <v>532.35</v>
      </c>
      <c r="Y2572" s="3">
        <v>228.15</v>
      </c>
    </row>
    <row r="2573" spans="1:25" ht="36.75" x14ac:dyDescent="0.25">
      <c r="A2573" s="3" t="s">
        <v>26</v>
      </c>
      <c r="B2573" s="3" t="s">
        <v>27</v>
      </c>
      <c r="C2573" s="3" t="s">
        <v>28</v>
      </c>
      <c r="D2573" s="3" t="s">
        <v>2552</v>
      </c>
      <c r="E2573" s="3" t="s">
        <v>2553</v>
      </c>
      <c r="F2573" s="3" t="s">
        <v>2554</v>
      </c>
      <c r="G2573" s="3" t="s">
        <v>2553</v>
      </c>
      <c r="H2573" s="3" t="s">
        <v>45</v>
      </c>
      <c r="I2573" s="3">
        <v>2025</v>
      </c>
      <c r="J2573" s="3" t="str">
        <f>CONCATENATE("54820177449")</f>
        <v>54820177449</v>
      </c>
      <c r="K2573" s="3" t="s">
        <v>33</v>
      </c>
      <c r="L2573" s="3"/>
      <c r="M2573" s="3" t="s">
        <v>131</v>
      </c>
      <c r="N2573" s="3" t="str">
        <f>CONCATENATE("03507620403")</f>
        <v>03507620403</v>
      </c>
      <c r="O2573" s="3" t="s">
        <v>2708</v>
      </c>
      <c r="P2573" s="3" t="s">
        <v>36</v>
      </c>
      <c r="Q2573" s="3"/>
      <c r="R2573" s="4">
        <v>45996</v>
      </c>
      <c r="S2573" s="3" t="s">
        <v>37</v>
      </c>
      <c r="T2573" s="3" t="s">
        <v>38</v>
      </c>
      <c r="U2573" s="3" t="s">
        <v>39</v>
      </c>
      <c r="V2573" s="3">
        <v>190.9</v>
      </c>
      <c r="W2573" s="3">
        <v>81.13</v>
      </c>
      <c r="X2573" s="3">
        <v>76.84</v>
      </c>
      <c r="Y2573" s="3">
        <v>32.93</v>
      </c>
    </row>
    <row r="2574" spans="1:25" ht="72.75" x14ac:dyDescent="0.25">
      <c r="A2574" s="3" t="s">
        <v>26</v>
      </c>
      <c r="B2574" s="3" t="s">
        <v>27</v>
      </c>
      <c r="C2574" s="3" t="s">
        <v>28</v>
      </c>
      <c r="D2574" s="3" t="s">
        <v>29</v>
      </c>
      <c r="E2574" s="3" t="s">
        <v>136</v>
      </c>
      <c r="F2574" s="3" t="s">
        <v>31</v>
      </c>
      <c r="G2574" s="3" t="s">
        <v>136</v>
      </c>
      <c r="H2574" s="3" t="s">
        <v>48</v>
      </c>
      <c r="I2574" s="3">
        <v>2025</v>
      </c>
      <c r="J2574" s="3" t="str">
        <f>CONCATENATE("54820219571")</f>
        <v>54820219571</v>
      </c>
      <c r="K2574" s="3" t="s">
        <v>33</v>
      </c>
      <c r="L2574" s="3"/>
      <c r="M2574" s="3" t="s">
        <v>131</v>
      </c>
      <c r="N2574" s="3" t="str">
        <f>CONCATENATE("SNTDNI65R17H501G")</f>
        <v>SNTDNI65R17H501G</v>
      </c>
      <c r="O2574" s="3" t="s">
        <v>2709</v>
      </c>
      <c r="P2574" s="3" t="s">
        <v>36</v>
      </c>
      <c r="Q2574" s="3"/>
      <c r="R2574" s="4">
        <v>45996</v>
      </c>
      <c r="S2574" s="3" t="s">
        <v>37</v>
      </c>
      <c r="T2574" s="3" t="s">
        <v>38</v>
      </c>
      <c r="U2574" s="3" t="s">
        <v>39</v>
      </c>
      <c r="V2574" s="3">
        <v>73.62</v>
      </c>
      <c r="W2574" s="3">
        <v>31.29</v>
      </c>
      <c r="X2574" s="3">
        <v>29.63</v>
      </c>
      <c r="Y2574" s="3">
        <v>12.7</v>
      </c>
    </row>
    <row r="2575" spans="1:25" ht="72.75" x14ac:dyDescent="0.25">
      <c r="A2575" s="3" t="s">
        <v>26</v>
      </c>
      <c r="B2575" s="3" t="s">
        <v>27</v>
      </c>
      <c r="C2575" s="3" t="s">
        <v>28</v>
      </c>
      <c r="D2575" s="3" t="s">
        <v>50</v>
      </c>
      <c r="E2575" s="3" t="s">
        <v>252</v>
      </c>
      <c r="F2575" s="3" t="s">
        <v>52</v>
      </c>
      <c r="G2575" s="3" t="s">
        <v>252</v>
      </c>
      <c r="H2575" s="3" t="s">
        <v>45</v>
      </c>
      <c r="I2575" s="3">
        <v>2025</v>
      </c>
      <c r="J2575" s="3" t="str">
        <f>CONCATENATE("54820225164")</f>
        <v>54820225164</v>
      </c>
      <c r="K2575" s="3" t="s">
        <v>33</v>
      </c>
      <c r="L2575" s="3"/>
      <c r="M2575" s="3" t="s">
        <v>131</v>
      </c>
      <c r="N2575" s="3" t="str">
        <f>CONCATENATE("MNCMCL70A14D749H")</f>
        <v>MNCMCL70A14D749H</v>
      </c>
      <c r="O2575" s="3" t="s">
        <v>2710</v>
      </c>
      <c r="P2575" s="3" t="s">
        <v>36</v>
      </c>
      <c r="Q2575" s="3"/>
      <c r="R2575" s="4">
        <v>45996</v>
      </c>
      <c r="S2575" s="3" t="s">
        <v>37</v>
      </c>
      <c r="T2575" s="3" t="s">
        <v>38</v>
      </c>
      <c r="U2575" s="3" t="s">
        <v>39</v>
      </c>
      <c r="V2575" s="3">
        <v>459.09</v>
      </c>
      <c r="W2575" s="3">
        <v>195.11</v>
      </c>
      <c r="X2575" s="3">
        <v>184.78</v>
      </c>
      <c r="Y2575" s="3">
        <v>79.2</v>
      </c>
    </row>
    <row r="2576" spans="1:25" ht="60.75" x14ac:dyDescent="0.25">
      <c r="A2576" s="3" t="s">
        <v>26</v>
      </c>
      <c r="B2576" s="3" t="s">
        <v>27</v>
      </c>
      <c r="C2576" s="3" t="s">
        <v>28</v>
      </c>
      <c r="D2576" s="3" t="s">
        <v>29</v>
      </c>
      <c r="E2576" s="3" t="s">
        <v>119</v>
      </c>
      <c r="F2576" s="3" t="s">
        <v>31</v>
      </c>
      <c r="G2576" s="3" t="s">
        <v>119</v>
      </c>
      <c r="H2576" s="3" t="s">
        <v>96</v>
      </c>
      <c r="I2576" s="3">
        <v>2025</v>
      </c>
      <c r="J2576" s="3" t="str">
        <f>CONCATENATE("54820083803")</f>
        <v>54820083803</v>
      </c>
      <c r="K2576" s="3" t="s">
        <v>33</v>
      </c>
      <c r="L2576" s="3"/>
      <c r="M2576" s="3" t="s">
        <v>131</v>
      </c>
      <c r="N2576" s="3" t="str">
        <f>CONCATENATE("GNNGNI49T54C935L")</f>
        <v>GNNGNI49T54C935L</v>
      </c>
      <c r="O2576" s="3" t="s">
        <v>2711</v>
      </c>
      <c r="P2576" s="3" t="s">
        <v>36</v>
      </c>
      <c r="Q2576" s="3"/>
      <c r="R2576" s="4">
        <v>45996</v>
      </c>
      <c r="S2576" s="3" t="s">
        <v>37</v>
      </c>
      <c r="T2576" s="3" t="s">
        <v>38</v>
      </c>
      <c r="U2576" s="3" t="s">
        <v>39</v>
      </c>
      <c r="V2576" s="3">
        <v>462.61</v>
      </c>
      <c r="W2576" s="3">
        <v>196.61</v>
      </c>
      <c r="X2576" s="3">
        <v>186.2</v>
      </c>
      <c r="Y2576" s="3">
        <v>79.8</v>
      </c>
    </row>
    <row r="2577" spans="1:25" ht="72.75" x14ac:dyDescent="0.25">
      <c r="A2577" s="3" t="s">
        <v>26</v>
      </c>
      <c r="B2577" s="3" t="s">
        <v>27</v>
      </c>
      <c r="C2577" s="3" t="s">
        <v>28</v>
      </c>
      <c r="D2577" s="3" t="s">
        <v>50</v>
      </c>
      <c r="E2577" s="3" t="s">
        <v>51</v>
      </c>
      <c r="F2577" s="3" t="s">
        <v>52</v>
      </c>
      <c r="G2577" s="3" t="s">
        <v>51</v>
      </c>
      <c r="H2577" s="3" t="s">
        <v>48</v>
      </c>
      <c r="I2577" s="3">
        <v>2025</v>
      </c>
      <c r="J2577" s="3" t="str">
        <f>CONCATENATE("54820163720")</f>
        <v>54820163720</v>
      </c>
      <c r="K2577" s="3" t="s">
        <v>33</v>
      </c>
      <c r="L2577" s="3"/>
      <c r="M2577" s="3" t="s">
        <v>131</v>
      </c>
      <c r="N2577" s="3" t="str">
        <f>CONCATENATE("MNCPRZ77H52D451W")</f>
        <v>MNCPRZ77H52D451W</v>
      </c>
      <c r="O2577" s="3" t="s">
        <v>2712</v>
      </c>
      <c r="P2577" s="3" t="s">
        <v>36</v>
      </c>
      <c r="Q2577" s="3"/>
      <c r="R2577" s="4">
        <v>45996</v>
      </c>
      <c r="S2577" s="3" t="s">
        <v>37</v>
      </c>
      <c r="T2577" s="3" t="s">
        <v>38</v>
      </c>
      <c r="U2577" s="3" t="s">
        <v>39</v>
      </c>
      <c r="V2577" s="3">
        <v>50.1</v>
      </c>
      <c r="W2577" s="3">
        <v>21.29</v>
      </c>
      <c r="X2577" s="3">
        <v>20.170000000000002</v>
      </c>
      <c r="Y2577" s="3">
        <v>8.64</v>
      </c>
    </row>
    <row r="2578" spans="1:25" ht="60.75" x14ac:dyDescent="0.25">
      <c r="A2578" s="3" t="s">
        <v>26</v>
      </c>
      <c r="B2578" s="3" t="s">
        <v>27</v>
      </c>
      <c r="C2578" s="3" t="s">
        <v>28</v>
      </c>
      <c r="D2578" s="3" t="s">
        <v>50</v>
      </c>
      <c r="E2578" s="3" t="s">
        <v>51</v>
      </c>
      <c r="F2578" s="3" t="s">
        <v>52</v>
      </c>
      <c r="G2578" s="3" t="s">
        <v>51</v>
      </c>
      <c r="H2578" s="3" t="s">
        <v>48</v>
      </c>
      <c r="I2578" s="3">
        <v>2025</v>
      </c>
      <c r="J2578" s="3" t="str">
        <f>CONCATENATE("54820163670")</f>
        <v>54820163670</v>
      </c>
      <c r="K2578" s="3" t="s">
        <v>33</v>
      </c>
      <c r="L2578" s="3"/>
      <c r="M2578" s="3" t="s">
        <v>131</v>
      </c>
      <c r="N2578" s="3" t="str">
        <f>CONCATENATE("FRCGLN76A21I461D")</f>
        <v>FRCGLN76A21I461D</v>
      </c>
      <c r="O2578" s="3" t="s">
        <v>2713</v>
      </c>
      <c r="P2578" s="3" t="s">
        <v>36</v>
      </c>
      <c r="Q2578" s="3"/>
      <c r="R2578" s="4">
        <v>45996</v>
      </c>
      <c r="S2578" s="3" t="s">
        <v>37</v>
      </c>
      <c r="T2578" s="3" t="s">
        <v>38</v>
      </c>
      <c r="U2578" s="3" t="s">
        <v>39</v>
      </c>
      <c r="V2578" s="3">
        <v>60.2</v>
      </c>
      <c r="W2578" s="3">
        <v>25.59</v>
      </c>
      <c r="X2578" s="3">
        <v>24.23</v>
      </c>
      <c r="Y2578" s="3">
        <v>10.38</v>
      </c>
    </row>
    <row r="2579" spans="1:25" ht="60.75" x14ac:dyDescent="0.25">
      <c r="A2579" s="3" t="s">
        <v>26</v>
      </c>
      <c r="B2579" s="3" t="s">
        <v>27</v>
      </c>
      <c r="C2579" s="3" t="s">
        <v>28</v>
      </c>
      <c r="D2579" s="3" t="s">
        <v>29</v>
      </c>
      <c r="E2579" s="3" t="s">
        <v>136</v>
      </c>
      <c r="F2579" s="3" t="s">
        <v>31</v>
      </c>
      <c r="G2579" s="3" t="s">
        <v>136</v>
      </c>
      <c r="H2579" s="3" t="s">
        <v>48</v>
      </c>
      <c r="I2579" s="3">
        <v>2025</v>
      </c>
      <c r="J2579" s="3" t="str">
        <f>CONCATENATE("54820219753")</f>
        <v>54820219753</v>
      </c>
      <c r="K2579" s="3" t="s">
        <v>33</v>
      </c>
      <c r="L2579" s="3"/>
      <c r="M2579" s="3" t="s">
        <v>131</v>
      </c>
      <c r="N2579" s="3" t="str">
        <f>CONCATENATE("VTLFRC94H01D451D")</f>
        <v>VTLFRC94H01D451D</v>
      </c>
      <c r="O2579" s="3" t="s">
        <v>2714</v>
      </c>
      <c r="P2579" s="3" t="s">
        <v>36</v>
      </c>
      <c r="Q2579" s="3"/>
      <c r="R2579" s="4">
        <v>45996</v>
      </c>
      <c r="S2579" s="3" t="s">
        <v>37</v>
      </c>
      <c r="T2579" s="3" t="s">
        <v>38</v>
      </c>
      <c r="U2579" s="3" t="s">
        <v>39</v>
      </c>
      <c r="V2579" s="3">
        <v>112.49</v>
      </c>
      <c r="W2579" s="3">
        <v>47.81</v>
      </c>
      <c r="X2579" s="3">
        <v>45.28</v>
      </c>
      <c r="Y2579" s="3">
        <v>19.399999999999999</v>
      </c>
    </row>
    <row r="2580" spans="1:25" ht="60.75" x14ac:dyDescent="0.25">
      <c r="A2580" s="3" t="s">
        <v>26</v>
      </c>
      <c r="B2580" s="3" t="s">
        <v>27</v>
      </c>
      <c r="C2580" s="3" t="s">
        <v>28</v>
      </c>
      <c r="D2580" s="3" t="s">
        <v>50</v>
      </c>
      <c r="E2580" s="3" t="s">
        <v>60</v>
      </c>
      <c r="F2580" s="3" t="s">
        <v>52</v>
      </c>
      <c r="G2580" s="3" t="s">
        <v>60</v>
      </c>
      <c r="H2580" s="3" t="s">
        <v>45</v>
      </c>
      <c r="I2580" s="3">
        <v>2025</v>
      </c>
      <c r="J2580" s="3" t="str">
        <f>CONCATENATE("54820109517")</f>
        <v>54820109517</v>
      </c>
      <c r="K2580" s="3" t="s">
        <v>33</v>
      </c>
      <c r="L2580" s="3"/>
      <c r="M2580" s="3" t="s">
        <v>131</v>
      </c>
      <c r="N2580" s="3" t="str">
        <f>CONCATENATE("CSVMRA52T66B352R")</f>
        <v>CSVMRA52T66B352R</v>
      </c>
      <c r="O2580" s="3" t="s">
        <v>2715</v>
      </c>
      <c r="P2580" s="3" t="s">
        <v>36</v>
      </c>
      <c r="Q2580" s="3"/>
      <c r="R2580" s="4">
        <v>45996</v>
      </c>
      <c r="S2580" s="3" t="s">
        <v>37</v>
      </c>
      <c r="T2580" s="3" t="s">
        <v>38</v>
      </c>
      <c r="U2580" s="3" t="s">
        <v>39</v>
      </c>
      <c r="V2580" s="3">
        <v>111.55</v>
      </c>
      <c r="W2580" s="3">
        <v>47.41</v>
      </c>
      <c r="X2580" s="3">
        <v>44.9</v>
      </c>
      <c r="Y2580" s="3">
        <v>19.239999999999998</v>
      </c>
    </row>
    <row r="2581" spans="1:25" ht="60.75" x14ac:dyDescent="0.25">
      <c r="A2581" s="3" t="s">
        <v>26</v>
      </c>
      <c r="B2581" s="3" t="s">
        <v>27</v>
      </c>
      <c r="C2581" s="3" t="s">
        <v>28</v>
      </c>
      <c r="D2581" s="3" t="s">
        <v>29</v>
      </c>
      <c r="E2581" s="3" t="s">
        <v>56</v>
      </c>
      <c r="F2581" s="3" t="s">
        <v>31</v>
      </c>
      <c r="G2581" s="3" t="s">
        <v>56</v>
      </c>
      <c r="H2581" s="3" t="s">
        <v>32</v>
      </c>
      <c r="I2581" s="3">
        <v>2025</v>
      </c>
      <c r="J2581" s="3" t="str">
        <f>CONCATENATE("54820122205")</f>
        <v>54820122205</v>
      </c>
      <c r="K2581" s="3" t="s">
        <v>33</v>
      </c>
      <c r="L2581" s="3"/>
      <c r="M2581" s="3" t="s">
        <v>131</v>
      </c>
      <c r="N2581" s="3" t="str">
        <f>CONCATENATE("PNIMCN61S53C573E")</f>
        <v>PNIMCN61S53C573E</v>
      </c>
      <c r="O2581" s="3" t="s">
        <v>2716</v>
      </c>
      <c r="P2581" s="3" t="s">
        <v>36</v>
      </c>
      <c r="Q2581" s="3"/>
      <c r="R2581" s="4">
        <v>45996</v>
      </c>
      <c r="S2581" s="3" t="s">
        <v>37</v>
      </c>
      <c r="T2581" s="3" t="s">
        <v>38</v>
      </c>
      <c r="U2581" s="3" t="s">
        <v>39</v>
      </c>
      <c r="V2581" s="3">
        <v>154.47999999999999</v>
      </c>
      <c r="W2581" s="3">
        <v>65.650000000000006</v>
      </c>
      <c r="X2581" s="3">
        <v>62.18</v>
      </c>
      <c r="Y2581" s="3">
        <v>26.65</v>
      </c>
    </row>
    <row r="2582" spans="1:25" ht="60.75" x14ac:dyDescent="0.25">
      <c r="A2582" s="3" t="s">
        <v>26</v>
      </c>
      <c r="B2582" s="3" t="s">
        <v>27</v>
      </c>
      <c r="C2582" s="3" t="s">
        <v>28</v>
      </c>
      <c r="D2582" s="3" t="s">
        <v>50</v>
      </c>
      <c r="E2582" s="3" t="s">
        <v>149</v>
      </c>
      <c r="F2582" s="3" t="s">
        <v>52</v>
      </c>
      <c r="G2582" s="3" t="s">
        <v>149</v>
      </c>
      <c r="H2582" s="3" t="s">
        <v>96</v>
      </c>
      <c r="I2582" s="3">
        <v>2025</v>
      </c>
      <c r="J2582" s="3" t="str">
        <f>CONCATENATE("54820109939")</f>
        <v>54820109939</v>
      </c>
      <c r="K2582" s="3" t="s">
        <v>33</v>
      </c>
      <c r="L2582" s="3"/>
      <c r="M2582" s="3" t="s">
        <v>131</v>
      </c>
      <c r="N2582" s="3" t="str">
        <f>CONCATENATE("RSSGLC88A20H769C")</f>
        <v>RSSGLC88A20H769C</v>
      </c>
      <c r="O2582" s="3" t="s">
        <v>2717</v>
      </c>
      <c r="P2582" s="3" t="s">
        <v>36</v>
      </c>
      <c r="Q2582" s="3"/>
      <c r="R2582" s="4">
        <v>45996</v>
      </c>
      <c r="S2582" s="3" t="s">
        <v>37</v>
      </c>
      <c r="T2582" s="3" t="s">
        <v>38</v>
      </c>
      <c r="U2582" s="3" t="s">
        <v>39</v>
      </c>
      <c r="V2582" s="3">
        <v>172.71</v>
      </c>
      <c r="W2582" s="3">
        <v>73.400000000000006</v>
      </c>
      <c r="X2582" s="3">
        <v>69.52</v>
      </c>
      <c r="Y2582" s="3">
        <v>29.79</v>
      </c>
    </row>
    <row r="2583" spans="1:25" ht="36.75" x14ac:dyDescent="0.25">
      <c r="A2583" s="3" t="s">
        <v>26</v>
      </c>
      <c r="B2583" s="3" t="s">
        <v>27</v>
      </c>
      <c r="C2583" s="3" t="s">
        <v>28</v>
      </c>
      <c r="D2583" s="3" t="s">
        <v>29</v>
      </c>
      <c r="E2583" s="3" t="s">
        <v>119</v>
      </c>
      <c r="F2583" s="3" t="s">
        <v>31</v>
      </c>
      <c r="G2583" s="3" t="s">
        <v>119</v>
      </c>
      <c r="H2583" s="3" t="s">
        <v>96</v>
      </c>
      <c r="I2583" s="3">
        <v>2025</v>
      </c>
      <c r="J2583" s="3" t="str">
        <f>CONCATENATE("54820109491")</f>
        <v>54820109491</v>
      </c>
      <c r="K2583" s="3" t="s">
        <v>33</v>
      </c>
      <c r="L2583" s="3"/>
      <c r="M2583" s="3" t="s">
        <v>131</v>
      </c>
      <c r="N2583" s="3" t="str">
        <f>CONCATENATE("02364820445")</f>
        <v>02364820445</v>
      </c>
      <c r="O2583" s="3" t="s">
        <v>2718</v>
      </c>
      <c r="P2583" s="3" t="s">
        <v>36</v>
      </c>
      <c r="Q2583" s="3"/>
      <c r="R2583" s="4">
        <v>45996</v>
      </c>
      <c r="S2583" s="3" t="s">
        <v>37</v>
      </c>
      <c r="T2583" s="3" t="s">
        <v>38</v>
      </c>
      <c r="U2583" s="3" t="s">
        <v>39</v>
      </c>
      <c r="V2583" s="3">
        <v>110.22</v>
      </c>
      <c r="W2583" s="3">
        <v>46.84</v>
      </c>
      <c r="X2583" s="3">
        <v>44.36</v>
      </c>
      <c r="Y2583" s="3">
        <v>19.02</v>
      </c>
    </row>
    <row r="2584" spans="1:25" ht="60.75" x14ac:dyDescent="0.25">
      <c r="A2584" s="3" t="s">
        <v>26</v>
      </c>
      <c r="B2584" s="3" t="s">
        <v>27</v>
      </c>
      <c r="C2584" s="3" t="s">
        <v>28</v>
      </c>
      <c r="D2584" s="3" t="s">
        <v>50</v>
      </c>
      <c r="E2584" s="3" t="s">
        <v>147</v>
      </c>
      <c r="F2584" s="3" t="s">
        <v>52</v>
      </c>
      <c r="G2584" s="3" t="s">
        <v>147</v>
      </c>
      <c r="H2584" s="3" t="s">
        <v>45</v>
      </c>
      <c r="I2584" s="3">
        <v>2025</v>
      </c>
      <c r="J2584" s="3" t="str">
        <f>CONCATENATE("54820105705")</f>
        <v>54820105705</v>
      </c>
      <c r="K2584" s="3" t="s">
        <v>33</v>
      </c>
      <c r="L2584" s="3"/>
      <c r="M2584" s="3" t="s">
        <v>131</v>
      </c>
      <c r="N2584" s="3" t="str">
        <f>CONCATENATE("CRNRRT49B19E351M")</f>
        <v>CRNRRT49B19E351M</v>
      </c>
      <c r="O2584" s="3" t="s">
        <v>2719</v>
      </c>
      <c r="P2584" s="3" t="s">
        <v>36</v>
      </c>
      <c r="Q2584" s="3"/>
      <c r="R2584" s="4">
        <v>45996</v>
      </c>
      <c r="S2584" s="3" t="s">
        <v>37</v>
      </c>
      <c r="T2584" s="3" t="s">
        <v>38</v>
      </c>
      <c r="U2584" s="3" t="s">
        <v>39</v>
      </c>
      <c r="V2584" s="3">
        <v>411.58</v>
      </c>
      <c r="W2584" s="3">
        <v>174.92</v>
      </c>
      <c r="X2584" s="3">
        <v>165.66</v>
      </c>
      <c r="Y2584" s="3">
        <v>71</v>
      </c>
    </row>
    <row r="2585" spans="1:25" ht="60.75" x14ac:dyDescent="0.25">
      <c r="A2585" s="3" t="s">
        <v>26</v>
      </c>
      <c r="B2585" s="3" t="s">
        <v>27</v>
      </c>
      <c r="C2585" s="3" t="s">
        <v>28</v>
      </c>
      <c r="D2585" s="3" t="s">
        <v>29</v>
      </c>
      <c r="E2585" s="3" t="s">
        <v>47</v>
      </c>
      <c r="F2585" s="3" t="s">
        <v>31</v>
      </c>
      <c r="G2585" s="3" t="s">
        <v>47</v>
      </c>
      <c r="H2585" s="3" t="s">
        <v>48</v>
      </c>
      <c r="I2585" s="3">
        <v>2025</v>
      </c>
      <c r="J2585" s="3" t="str">
        <f>CONCATENATE("54820169883")</f>
        <v>54820169883</v>
      </c>
      <c r="K2585" s="3" t="s">
        <v>33</v>
      </c>
      <c r="L2585" s="3"/>
      <c r="M2585" s="3" t="s">
        <v>131</v>
      </c>
      <c r="N2585" s="3" t="str">
        <f>CONCATENATE("BCCMRA88E66D451X")</f>
        <v>BCCMRA88E66D451X</v>
      </c>
      <c r="O2585" s="3" t="s">
        <v>191</v>
      </c>
      <c r="P2585" s="3" t="s">
        <v>36</v>
      </c>
      <c r="Q2585" s="3"/>
      <c r="R2585" s="4">
        <v>45996</v>
      </c>
      <c r="S2585" s="3" t="s">
        <v>37</v>
      </c>
      <c r="T2585" s="3" t="s">
        <v>38</v>
      </c>
      <c r="U2585" s="3" t="s">
        <v>39</v>
      </c>
      <c r="V2585" s="5">
        <v>1336.24</v>
      </c>
      <c r="W2585" s="3">
        <v>567.9</v>
      </c>
      <c r="X2585" s="3">
        <v>537.84</v>
      </c>
      <c r="Y2585" s="3">
        <v>230.5</v>
      </c>
    </row>
    <row r="2586" spans="1:25" ht="60.75" x14ac:dyDescent="0.25">
      <c r="A2586" s="3" t="s">
        <v>26</v>
      </c>
      <c r="B2586" s="3" t="s">
        <v>27</v>
      </c>
      <c r="C2586" s="3" t="s">
        <v>28</v>
      </c>
      <c r="D2586" s="3" t="s">
        <v>29</v>
      </c>
      <c r="E2586" s="3" t="s">
        <v>47</v>
      </c>
      <c r="F2586" s="3" t="s">
        <v>31</v>
      </c>
      <c r="G2586" s="3" t="s">
        <v>47</v>
      </c>
      <c r="H2586" s="3" t="s">
        <v>48</v>
      </c>
      <c r="I2586" s="3">
        <v>2025</v>
      </c>
      <c r="J2586" s="3" t="str">
        <f>CONCATENATE("54820145545")</f>
        <v>54820145545</v>
      </c>
      <c r="K2586" s="3" t="s">
        <v>33</v>
      </c>
      <c r="L2586" s="3"/>
      <c r="M2586" s="3" t="s">
        <v>131</v>
      </c>
      <c r="N2586" s="3" t="str">
        <f>CONCATENATE("CRZLSN75E19I653N")</f>
        <v>CRZLSN75E19I653N</v>
      </c>
      <c r="O2586" s="3" t="s">
        <v>2720</v>
      </c>
      <c r="P2586" s="3" t="s">
        <v>36</v>
      </c>
      <c r="Q2586" s="3"/>
      <c r="R2586" s="4">
        <v>45996</v>
      </c>
      <c r="S2586" s="3" t="s">
        <v>37</v>
      </c>
      <c r="T2586" s="3" t="s">
        <v>38</v>
      </c>
      <c r="U2586" s="3" t="s">
        <v>39</v>
      </c>
      <c r="V2586" s="3">
        <v>125.08</v>
      </c>
      <c r="W2586" s="3">
        <v>53.16</v>
      </c>
      <c r="X2586" s="3">
        <v>50.34</v>
      </c>
      <c r="Y2586" s="3">
        <v>21.58</v>
      </c>
    </row>
    <row r="2587" spans="1:25" ht="72.75" x14ac:dyDescent="0.25">
      <c r="A2587" s="3" t="s">
        <v>26</v>
      </c>
      <c r="B2587" s="3" t="s">
        <v>27</v>
      </c>
      <c r="C2587" s="3" t="s">
        <v>28</v>
      </c>
      <c r="D2587" s="3" t="s">
        <v>50</v>
      </c>
      <c r="E2587" s="3" t="s">
        <v>149</v>
      </c>
      <c r="F2587" s="3" t="s">
        <v>52</v>
      </c>
      <c r="G2587" s="3" t="s">
        <v>149</v>
      </c>
      <c r="H2587" s="3" t="s">
        <v>96</v>
      </c>
      <c r="I2587" s="3">
        <v>2025</v>
      </c>
      <c r="J2587" s="3" t="str">
        <f>CONCATENATE("54820166954")</f>
        <v>54820166954</v>
      </c>
      <c r="K2587" s="3" t="s">
        <v>33</v>
      </c>
      <c r="L2587" s="3"/>
      <c r="M2587" s="3" t="s">
        <v>131</v>
      </c>
      <c r="N2587" s="3" t="str">
        <f>CONCATENATE("PCCGNN68D07A044G")</f>
        <v>PCCGNN68D07A044G</v>
      </c>
      <c r="O2587" s="3" t="s">
        <v>2721</v>
      </c>
      <c r="P2587" s="3" t="s">
        <v>36</v>
      </c>
      <c r="Q2587" s="3"/>
      <c r="R2587" s="4">
        <v>45996</v>
      </c>
      <c r="S2587" s="3" t="s">
        <v>37</v>
      </c>
      <c r="T2587" s="3" t="s">
        <v>38</v>
      </c>
      <c r="U2587" s="3" t="s">
        <v>39</v>
      </c>
      <c r="V2587" s="3">
        <v>100.35</v>
      </c>
      <c r="W2587" s="3">
        <v>42.65</v>
      </c>
      <c r="X2587" s="3">
        <v>40.39</v>
      </c>
      <c r="Y2587" s="3">
        <v>17.309999999999999</v>
      </c>
    </row>
    <row r="2588" spans="1:25" ht="60.75" x14ac:dyDescent="0.25">
      <c r="A2588" s="3" t="s">
        <v>26</v>
      </c>
      <c r="B2588" s="3" t="s">
        <v>27</v>
      </c>
      <c r="C2588" s="3" t="s">
        <v>28</v>
      </c>
      <c r="D2588" s="3" t="s">
        <v>50</v>
      </c>
      <c r="E2588" s="3" t="s">
        <v>252</v>
      </c>
      <c r="F2588" s="3" t="s">
        <v>52</v>
      </c>
      <c r="G2588" s="3" t="s">
        <v>252</v>
      </c>
      <c r="H2588" s="3" t="s">
        <v>45</v>
      </c>
      <c r="I2588" s="3">
        <v>2025</v>
      </c>
      <c r="J2588" s="3" t="str">
        <f>CONCATENATE("54820188958")</f>
        <v>54820188958</v>
      </c>
      <c r="K2588" s="3" t="s">
        <v>33</v>
      </c>
      <c r="L2588" s="3"/>
      <c r="M2588" s="3" t="s">
        <v>131</v>
      </c>
      <c r="N2588" s="3" t="str">
        <f>CONCATENATE("CHRSTN57E63D749W")</f>
        <v>CHRSTN57E63D749W</v>
      </c>
      <c r="O2588" s="3" t="s">
        <v>2722</v>
      </c>
      <c r="P2588" s="3" t="s">
        <v>36</v>
      </c>
      <c r="Q2588" s="3"/>
      <c r="R2588" s="4">
        <v>45996</v>
      </c>
      <c r="S2588" s="3" t="s">
        <v>37</v>
      </c>
      <c r="T2588" s="3" t="s">
        <v>38</v>
      </c>
      <c r="U2588" s="3" t="s">
        <v>39</v>
      </c>
      <c r="V2588" s="3">
        <v>83.96</v>
      </c>
      <c r="W2588" s="3">
        <v>35.68</v>
      </c>
      <c r="X2588" s="3">
        <v>33.79</v>
      </c>
      <c r="Y2588" s="3">
        <v>14.49</v>
      </c>
    </row>
    <row r="2589" spans="1:25" ht="60.75" x14ac:dyDescent="0.25">
      <c r="A2589" s="3" t="s">
        <v>26</v>
      </c>
      <c r="B2589" s="3" t="s">
        <v>27</v>
      </c>
      <c r="C2589" s="3" t="s">
        <v>28</v>
      </c>
      <c r="D2589" s="3" t="s">
        <v>157</v>
      </c>
      <c r="E2589" s="3" t="s">
        <v>1299</v>
      </c>
      <c r="F2589" s="3" t="s">
        <v>159</v>
      </c>
      <c r="G2589" s="3" t="s">
        <v>1299</v>
      </c>
      <c r="H2589" s="3" t="s">
        <v>48</v>
      </c>
      <c r="I2589" s="3">
        <v>2025</v>
      </c>
      <c r="J2589" s="3" t="str">
        <f>CONCATENATE("54820171194")</f>
        <v>54820171194</v>
      </c>
      <c r="K2589" s="3" t="s">
        <v>33</v>
      </c>
      <c r="L2589" s="3"/>
      <c r="M2589" s="3" t="s">
        <v>131</v>
      </c>
      <c r="N2589" s="3" t="str">
        <f>CONCATENATE("TRCLNZ91C13C615C")</f>
        <v>TRCLNZ91C13C615C</v>
      </c>
      <c r="O2589" s="3" t="s">
        <v>2723</v>
      </c>
      <c r="P2589" s="3" t="s">
        <v>36</v>
      </c>
      <c r="Q2589" s="3"/>
      <c r="R2589" s="4">
        <v>45996</v>
      </c>
      <c r="S2589" s="3" t="s">
        <v>37</v>
      </c>
      <c r="T2589" s="3" t="s">
        <v>38</v>
      </c>
      <c r="U2589" s="3" t="s">
        <v>39</v>
      </c>
      <c r="V2589" s="3">
        <v>359.91</v>
      </c>
      <c r="W2589" s="3">
        <v>152.96</v>
      </c>
      <c r="X2589" s="3">
        <v>144.86000000000001</v>
      </c>
      <c r="Y2589" s="3">
        <v>62.09</v>
      </c>
    </row>
    <row r="2590" spans="1:25" ht="60.75" x14ac:dyDescent="0.25">
      <c r="A2590" s="3" t="s">
        <v>26</v>
      </c>
      <c r="B2590" s="3" t="s">
        <v>27</v>
      </c>
      <c r="C2590" s="3" t="s">
        <v>28</v>
      </c>
      <c r="D2590" s="3" t="s">
        <v>50</v>
      </c>
      <c r="E2590" s="3" t="s">
        <v>60</v>
      </c>
      <c r="F2590" s="3" t="s">
        <v>52</v>
      </c>
      <c r="G2590" s="3" t="s">
        <v>60</v>
      </c>
      <c r="H2590" s="3" t="s">
        <v>45</v>
      </c>
      <c r="I2590" s="3">
        <v>2025</v>
      </c>
      <c r="J2590" s="3" t="str">
        <f>CONCATENATE("54820169446")</f>
        <v>54820169446</v>
      </c>
      <c r="K2590" s="3" t="s">
        <v>33</v>
      </c>
      <c r="L2590" s="3"/>
      <c r="M2590" s="3" t="s">
        <v>131</v>
      </c>
      <c r="N2590" s="3" t="str">
        <f>CONCATENATE("SDLLNI41D24D749B")</f>
        <v>SDLLNI41D24D749B</v>
      </c>
      <c r="O2590" s="3" t="s">
        <v>2724</v>
      </c>
      <c r="P2590" s="3" t="s">
        <v>36</v>
      </c>
      <c r="Q2590" s="3"/>
      <c r="R2590" s="4">
        <v>45996</v>
      </c>
      <c r="S2590" s="3" t="s">
        <v>37</v>
      </c>
      <c r="T2590" s="3" t="s">
        <v>38</v>
      </c>
      <c r="U2590" s="3" t="s">
        <v>39</v>
      </c>
      <c r="V2590" s="3">
        <v>203.84</v>
      </c>
      <c r="W2590" s="3">
        <v>86.63</v>
      </c>
      <c r="X2590" s="3">
        <v>82.05</v>
      </c>
      <c r="Y2590" s="3">
        <v>35.159999999999997</v>
      </c>
    </row>
    <row r="2591" spans="1:25" ht="60.75" x14ac:dyDescent="0.25">
      <c r="A2591" s="3" t="s">
        <v>26</v>
      </c>
      <c r="B2591" s="3" t="s">
        <v>27</v>
      </c>
      <c r="C2591" s="3" t="s">
        <v>28</v>
      </c>
      <c r="D2591" s="3" t="s">
        <v>29</v>
      </c>
      <c r="E2591" s="3" t="s">
        <v>228</v>
      </c>
      <c r="F2591" s="3" t="s">
        <v>31</v>
      </c>
      <c r="G2591" s="3" t="s">
        <v>228</v>
      </c>
      <c r="H2591" s="3" t="s">
        <v>45</v>
      </c>
      <c r="I2591" s="3">
        <v>2025</v>
      </c>
      <c r="J2591" s="3" t="str">
        <f>CONCATENATE("54820131578")</f>
        <v>54820131578</v>
      </c>
      <c r="K2591" s="3" t="s">
        <v>33</v>
      </c>
      <c r="L2591" s="3"/>
      <c r="M2591" s="3" t="s">
        <v>131</v>
      </c>
      <c r="N2591" s="3" t="str">
        <f>CONCATENATE("VDDNZE47B08D749K")</f>
        <v>VDDNZE47B08D749K</v>
      </c>
      <c r="O2591" s="3" t="s">
        <v>2725</v>
      </c>
      <c r="P2591" s="3" t="s">
        <v>36</v>
      </c>
      <c r="Q2591" s="3"/>
      <c r="R2591" s="4">
        <v>45996</v>
      </c>
      <c r="S2591" s="3" t="s">
        <v>37</v>
      </c>
      <c r="T2591" s="3" t="s">
        <v>38</v>
      </c>
      <c r="U2591" s="3" t="s">
        <v>39</v>
      </c>
      <c r="V2591" s="3">
        <v>192.08</v>
      </c>
      <c r="W2591" s="3">
        <v>81.63</v>
      </c>
      <c r="X2591" s="3">
        <v>77.31</v>
      </c>
      <c r="Y2591" s="3">
        <v>33.14</v>
      </c>
    </row>
    <row r="2592" spans="1:25" ht="60.75" x14ac:dyDescent="0.25">
      <c r="A2592" s="3" t="s">
        <v>26</v>
      </c>
      <c r="B2592" s="3" t="s">
        <v>27</v>
      </c>
      <c r="C2592" s="3" t="s">
        <v>28</v>
      </c>
      <c r="D2592" s="3" t="s">
        <v>50</v>
      </c>
      <c r="E2592" s="3" t="s">
        <v>147</v>
      </c>
      <c r="F2592" s="3" t="s">
        <v>52</v>
      </c>
      <c r="G2592" s="3" t="s">
        <v>147</v>
      </c>
      <c r="H2592" s="3" t="s">
        <v>45</v>
      </c>
      <c r="I2592" s="3">
        <v>2025</v>
      </c>
      <c r="J2592" s="3" t="str">
        <f>CONCATENATE("54820188032")</f>
        <v>54820188032</v>
      </c>
      <c r="K2592" s="3" t="s">
        <v>33</v>
      </c>
      <c r="L2592" s="3"/>
      <c r="M2592" s="3" t="s">
        <v>131</v>
      </c>
      <c r="N2592" s="3" t="str">
        <f>CONCATENATE("PRLSDR58M25L500P")</f>
        <v>PRLSDR58M25L500P</v>
      </c>
      <c r="O2592" s="3" t="s">
        <v>2726</v>
      </c>
      <c r="P2592" s="3" t="s">
        <v>36</v>
      </c>
      <c r="Q2592" s="3"/>
      <c r="R2592" s="4">
        <v>45996</v>
      </c>
      <c r="S2592" s="3" t="s">
        <v>37</v>
      </c>
      <c r="T2592" s="3" t="s">
        <v>38</v>
      </c>
      <c r="U2592" s="3" t="s">
        <v>39</v>
      </c>
      <c r="V2592" s="3">
        <v>84.58</v>
      </c>
      <c r="W2592" s="3">
        <v>35.950000000000003</v>
      </c>
      <c r="X2592" s="3">
        <v>34.04</v>
      </c>
      <c r="Y2592" s="3">
        <v>14.59</v>
      </c>
    </row>
    <row r="2593" spans="1:25" ht="60.75" x14ac:dyDescent="0.25">
      <c r="A2593" s="3" t="s">
        <v>26</v>
      </c>
      <c r="B2593" s="3" t="s">
        <v>27</v>
      </c>
      <c r="C2593" s="3" t="s">
        <v>28</v>
      </c>
      <c r="D2593" s="3" t="s">
        <v>29</v>
      </c>
      <c r="E2593" s="3" t="s">
        <v>101</v>
      </c>
      <c r="F2593" s="3" t="s">
        <v>31</v>
      </c>
      <c r="G2593" s="3" t="s">
        <v>101</v>
      </c>
      <c r="H2593" s="3" t="s">
        <v>32</v>
      </c>
      <c r="I2593" s="3">
        <v>2025</v>
      </c>
      <c r="J2593" s="3" t="str">
        <f>CONCATENATE("54820167671")</f>
        <v>54820167671</v>
      </c>
      <c r="K2593" s="3" t="s">
        <v>33</v>
      </c>
      <c r="L2593" s="3"/>
      <c r="M2593" s="3" t="s">
        <v>131</v>
      </c>
      <c r="N2593" s="3" t="str">
        <f>CONCATENATE("BTTRNN49C15I651S")</f>
        <v>BTTRNN49C15I651S</v>
      </c>
      <c r="O2593" s="3" t="s">
        <v>2727</v>
      </c>
      <c r="P2593" s="3" t="s">
        <v>36</v>
      </c>
      <c r="Q2593" s="3"/>
      <c r="R2593" s="4">
        <v>45996</v>
      </c>
      <c r="S2593" s="3" t="s">
        <v>37</v>
      </c>
      <c r="T2593" s="3" t="s">
        <v>38</v>
      </c>
      <c r="U2593" s="3" t="s">
        <v>39</v>
      </c>
      <c r="V2593" s="3">
        <v>67.34</v>
      </c>
      <c r="W2593" s="3">
        <v>28.62</v>
      </c>
      <c r="X2593" s="3">
        <v>27.1</v>
      </c>
      <c r="Y2593" s="3">
        <v>11.62</v>
      </c>
    </row>
    <row r="2594" spans="1:25" ht="60.75" x14ac:dyDescent="0.25">
      <c r="A2594" s="3" t="s">
        <v>26</v>
      </c>
      <c r="B2594" s="3" t="s">
        <v>27</v>
      </c>
      <c r="C2594" s="3" t="s">
        <v>28</v>
      </c>
      <c r="D2594" s="3" t="s">
        <v>50</v>
      </c>
      <c r="E2594" s="3" t="s">
        <v>147</v>
      </c>
      <c r="F2594" s="3" t="s">
        <v>52</v>
      </c>
      <c r="G2594" s="3" t="s">
        <v>147</v>
      </c>
      <c r="H2594" s="3" t="s">
        <v>45</v>
      </c>
      <c r="I2594" s="3">
        <v>2025</v>
      </c>
      <c r="J2594" s="3" t="str">
        <f>CONCATENATE("54820188941")</f>
        <v>54820188941</v>
      </c>
      <c r="K2594" s="3" t="s">
        <v>33</v>
      </c>
      <c r="L2594" s="3"/>
      <c r="M2594" s="3" t="s">
        <v>131</v>
      </c>
      <c r="N2594" s="3" t="str">
        <f>CONCATENATE("BRZMRP41E50B352O")</f>
        <v>BRZMRP41E50B352O</v>
      </c>
      <c r="O2594" s="3" t="s">
        <v>2728</v>
      </c>
      <c r="P2594" s="3" t="s">
        <v>36</v>
      </c>
      <c r="Q2594" s="3"/>
      <c r="R2594" s="4">
        <v>45996</v>
      </c>
      <c r="S2594" s="3" t="s">
        <v>37</v>
      </c>
      <c r="T2594" s="3" t="s">
        <v>38</v>
      </c>
      <c r="U2594" s="3" t="s">
        <v>39</v>
      </c>
      <c r="V2594" s="3">
        <v>46.94</v>
      </c>
      <c r="W2594" s="3">
        <v>19.95</v>
      </c>
      <c r="X2594" s="3">
        <v>18.89</v>
      </c>
      <c r="Y2594" s="3">
        <v>8.1</v>
      </c>
    </row>
    <row r="2595" spans="1:25" ht="60.75" x14ac:dyDescent="0.25">
      <c r="A2595" s="3" t="s">
        <v>26</v>
      </c>
      <c r="B2595" s="3" t="s">
        <v>27</v>
      </c>
      <c r="C2595" s="3" t="s">
        <v>28</v>
      </c>
      <c r="D2595" s="3" t="s">
        <v>50</v>
      </c>
      <c r="E2595" s="3" t="s">
        <v>147</v>
      </c>
      <c r="F2595" s="3" t="s">
        <v>52</v>
      </c>
      <c r="G2595" s="3" t="s">
        <v>147</v>
      </c>
      <c r="H2595" s="3" t="s">
        <v>45</v>
      </c>
      <c r="I2595" s="3">
        <v>2025</v>
      </c>
      <c r="J2595" s="3" t="str">
        <f>CONCATENATE("54820165857")</f>
        <v>54820165857</v>
      </c>
      <c r="K2595" s="3" t="s">
        <v>33</v>
      </c>
      <c r="L2595" s="3"/>
      <c r="M2595" s="3" t="s">
        <v>131</v>
      </c>
      <c r="N2595" s="3" t="str">
        <f>CONCATENATE("MRATMS81B24L500R")</f>
        <v>MRATMS81B24L500R</v>
      </c>
      <c r="O2595" s="3" t="s">
        <v>2729</v>
      </c>
      <c r="P2595" s="3" t="s">
        <v>36</v>
      </c>
      <c r="Q2595" s="3"/>
      <c r="R2595" s="4">
        <v>45996</v>
      </c>
      <c r="S2595" s="3" t="s">
        <v>37</v>
      </c>
      <c r="T2595" s="3" t="s">
        <v>38</v>
      </c>
      <c r="U2595" s="3" t="s">
        <v>39</v>
      </c>
      <c r="V2595" s="3">
        <v>181.03</v>
      </c>
      <c r="W2595" s="3">
        <v>76.94</v>
      </c>
      <c r="X2595" s="3">
        <v>72.86</v>
      </c>
      <c r="Y2595" s="3">
        <v>31.23</v>
      </c>
    </row>
    <row r="2596" spans="1:25" ht="60.75" x14ac:dyDescent="0.25">
      <c r="A2596" s="3" t="s">
        <v>26</v>
      </c>
      <c r="B2596" s="3" t="s">
        <v>27</v>
      </c>
      <c r="C2596" s="3" t="s">
        <v>28</v>
      </c>
      <c r="D2596" s="3" t="s">
        <v>29</v>
      </c>
      <c r="E2596" s="3" t="s">
        <v>136</v>
      </c>
      <c r="F2596" s="3" t="s">
        <v>31</v>
      </c>
      <c r="G2596" s="3" t="s">
        <v>136</v>
      </c>
      <c r="H2596" s="3" t="s">
        <v>48</v>
      </c>
      <c r="I2596" s="3">
        <v>2025</v>
      </c>
      <c r="J2596" s="3" t="str">
        <f>CONCATENATE("54820184593")</f>
        <v>54820184593</v>
      </c>
      <c r="K2596" s="3" t="s">
        <v>33</v>
      </c>
      <c r="L2596" s="3"/>
      <c r="M2596" s="3" t="s">
        <v>131</v>
      </c>
      <c r="N2596" s="3" t="str">
        <f>CONCATENATE("GCCMRZ55M07A366S")</f>
        <v>GCCMRZ55M07A366S</v>
      </c>
      <c r="O2596" s="3" t="s">
        <v>2730</v>
      </c>
      <c r="P2596" s="3" t="s">
        <v>36</v>
      </c>
      <c r="Q2596" s="3"/>
      <c r="R2596" s="4">
        <v>45996</v>
      </c>
      <c r="S2596" s="3" t="s">
        <v>37</v>
      </c>
      <c r="T2596" s="3" t="s">
        <v>38</v>
      </c>
      <c r="U2596" s="3" t="s">
        <v>39</v>
      </c>
      <c r="V2596" s="3">
        <v>198.74</v>
      </c>
      <c r="W2596" s="3">
        <v>84.46</v>
      </c>
      <c r="X2596" s="3">
        <v>79.989999999999995</v>
      </c>
      <c r="Y2596" s="3">
        <v>34.29</v>
      </c>
    </row>
    <row r="2597" spans="1:25" ht="60.75" x14ac:dyDescent="0.25">
      <c r="A2597" s="3" t="s">
        <v>26</v>
      </c>
      <c r="B2597" s="3" t="s">
        <v>27</v>
      </c>
      <c r="C2597" s="3" t="s">
        <v>28</v>
      </c>
      <c r="D2597" s="3" t="s">
        <v>29</v>
      </c>
      <c r="E2597" s="3" t="s">
        <v>47</v>
      </c>
      <c r="F2597" s="3" t="s">
        <v>31</v>
      </c>
      <c r="G2597" s="3" t="s">
        <v>47</v>
      </c>
      <c r="H2597" s="3" t="s">
        <v>48</v>
      </c>
      <c r="I2597" s="3">
        <v>2025</v>
      </c>
      <c r="J2597" s="3" t="str">
        <f>CONCATENATE("54820131081")</f>
        <v>54820131081</v>
      </c>
      <c r="K2597" s="3" t="s">
        <v>33</v>
      </c>
      <c r="L2597" s="3"/>
      <c r="M2597" s="3" t="s">
        <v>131</v>
      </c>
      <c r="N2597" s="3" t="str">
        <f>CONCATENATE("PLLRSM48E22D451F")</f>
        <v>PLLRSM48E22D451F</v>
      </c>
      <c r="O2597" s="3" t="s">
        <v>2731</v>
      </c>
      <c r="P2597" s="3" t="s">
        <v>36</v>
      </c>
      <c r="Q2597" s="3"/>
      <c r="R2597" s="4">
        <v>45996</v>
      </c>
      <c r="S2597" s="3" t="s">
        <v>37</v>
      </c>
      <c r="T2597" s="3" t="s">
        <v>38</v>
      </c>
      <c r="U2597" s="3" t="s">
        <v>39</v>
      </c>
      <c r="V2597" s="3">
        <v>85.09</v>
      </c>
      <c r="W2597" s="3">
        <v>36.159999999999997</v>
      </c>
      <c r="X2597" s="3">
        <v>34.25</v>
      </c>
      <c r="Y2597" s="3">
        <v>14.68</v>
      </c>
    </row>
    <row r="2598" spans="1:25" ht="72.75" x14ac:dyDescent="0.25">
      <c r="A2598" s="3" t="s">
        <v>26</v>
      </c>
      <c r="B2598" s="3" t="s">
        <v>27</v>
      </c>
      <c r="C2598" s="3" t="s">
        <v>28</v>
      </c>
      <c r="D2598" s="3" t="s">
        <v>50</v>
      </c>
      <c r="E2598" s="3" t="s">
        <v>51</v>
      </c>
      <c r="F2598" s="3" t="s">
        <v>52</v>
      </c>
      <c r="G2598" s="3" t="s">
        <v>51</v>
      </c>
      <c r="H2598" s="3" t="s">
        <v>48</v>
      </c>
      <c r="I2598" s="3">
        <v>2025</v>
      </c>
      <c r="J2598" s="3" t="str">
        <f>CONCATENATE("54820166582")</f>
        <v>54820166582</v>
      </c>
      <c r="K2598" s="3" t="s">
        <v>33</v>
      </c>
      <c r="L2598" s="3"/>
      <c r="M2598" s="3" t="s">
        <v>131</v>
      </c>
      <c r="N2598" s="3" t="str">
        <f>CONCATENATE("FRTMSM65R27F205U")</f>
        <v>FRTMSM65R27F205U</v>
      </c>
      <c r="O2598" s="3" t="s">
        <v>2732</v>
      </c>
      <c r="P2598" s="3" t="s">
        <v>36</v>
      </c>
      <c r="Q2598" s="3"/>
      <c r="R2598" s="4">
        <v>45996</v>
      </c>
      <c r="S2598" s="3" t="s">
        <v>37</v>
      </c>
      <c r="T2598" s="3" t="s">
        <v>38</v>
      </c>
      <c r="U2598" s="3" t="s">
        <v>39</v>
      </c>
      <c r="V2598" s="3">
        <v>323.77</v>
      </c>
      <c r="W2598" s="3">
        <v>137.6</v>
      </c>
      <c r="X2598" s="3">
        <v>130.32</v>
      </c>
      <c r="Y2598" s="3">
        <v>55.85</v>
      </c>
    </row>
    <row r="2599" spans="1:25" ht="60.75" x14ac:dyDescent="0.25">
      <c r="A2599" s="3" t="s">
        <v>26</v>
      </c>
      <c r="B2599" s="3" t="s">
        <v>27</v>
      </c>
      <c r="C2599" s="3" t="s">
        <v>28</v>
      </c>
      <c r="D2599" s="3" t="s">
        <v>29</v>
      </c>
      <c r="E2599" s="3" t="s">
        <v>47</v>
      </c>
      <c r="F2599" s="3" t="s">
        <v>31</v>
      </c>
      <c r="G2599" s="3" t="s">
        <v>47</v>
      </c>
      <c r="H2599" s="3" t="s">
        <v>48</v>
      </c>
      <c r="I2599" s="3">
        <v>2025</v>
      </c>
      <c r="J2599" s="3" t="str">
        <f>CONCATENATE("54820219670")</f>
        <v>54820219670</v>
      </c>
      <c r="K2599" s="3" t="s">
        <v>33</v>
      </c>
      <c r="L2599" s="3"/>
      <c r="M2599" s="3" t="s">
        <v>131</v>
      </c>
      <c r="N2599" s="3" t="str">
        <f>CONCATENATE("TRRNGL67A49G702Y")</f>
        <v>TRRNGL67A49G702Y</v>
      </c>
      <c r="O2599" s="3" t="s">
        <v>2733</v>
      </c>
      <c r="P2599" s="3" t="s">
        <v>36</v>
      </c>
      <c r="Q2599" s="3"/>
      <c r="R2599" s="4">
        <v>45996</v>
      </c>
      <c r="S2599" s="3" t="s">
        <v>37</v>
      </c>
      <c r="T2599" s="3" t="s">
        <v>38</v>
      </c>
      <c r="U2599" s="3" t="s">
        <v>39</v>
      </c>
      <c r="V2599" s="3">
        <v>146.4</v>
      </c>
      <c r="W2599" s="3">
        <v>62.22</v>
      </c>
      <c r="X2599" s="3">
        <v>58.93</v>
      </c>
      <c r="Y2599" s="3">
        <v>25.25</v>
      </c>
    </row>
    <row r="2600" spans="1:25" ht="60.75" x14ac:dyDescent="0.25">
      <c r="A2600" s="3" t="s">
        <v>26</v>
      </c>
      <c r="B2600" s="3" t="s">
        <v>27</v>
      </c>
      <c r="C2600" s="3" t="s">
        <v>28</v>
      </c>
      <c r="D2600" s="3" t="s">
        <v>91</v>
      </c>
      <c r="E2600" s="3" t="s">
        <v>522</v>
      </c>
      <c r="F2600" s="3" t="s">
        <v>93</v>
      </c>
      <c r="G2600" s="3" t="s">
        <v>522</v>
      </c>
      <c r="H2600" s="3" t="s">
        <v>32</v>
      </c>
      <c r="I2600" s="3">
        <v>2025</v>
      </c>
      <c r="J2600" s="3" t="str">
        <f>CONCATENATE("54820131966")</f>
        <v>54820131966</v>
      </c>
      <c r="K2600" s="3" t="s">
        <v>33</v>
      </c>
      <c r="L2600" s="3"/>
      <c r="M2600" s="3" t="s">
        <v>131</v>
      </c>
      <c r="N2600" s="3" t="str">
        <f>CONCATENATE("BNRLDI61D42A271N")</f>
        <v>BNRLDI61D42A271N</v>
      </c>
      <c r="O2600" s="3" t="s">
        <v>2734</v>
      </c>
      <c r="P2600" s="3" t="s">
        <v>36</v>
      </c>
      <c r="Q2600" s="3"/>
      <c r="R2600" s="4">
        <v>45996</v>
      </c>
      <c r="S2600" s="3" t="s">
        <v>37</v>
      </c>
      <c r="T2600" s="3" t="s">
        <v>38</v>
      </c>
      <c r="U2600" s="3" t="s">
        <v>39</v>
      </c>
      <c r="V2600" s="3">
        <v>311.29000000000002</v>
      </c>
      <c r="W2600" s="3">
        <v>132.30000000000001</v>
      </c>
      <c r="X2600" s="3">
        <v>125.29</v>
      </c>
      <c r="Y2600" s="3">
        <v>53.7</v>
      </c>
    </row>
    <row r="2601" spans="1:25" ht="60.75" x14ac:dyDescent="0.25">
      <c r="A2601" s="3" t="s">
        <v>26</v>
      </c>
      <c r="B2601" s="3" t="s">
        <v>27</v>
      </c>
      <c r="C2601" s="3" t="s">
        <v>28</v>
      </c>
      <c r="D2601" s="3" t="s">
        <v>29</v>
      </c>
      <c r="E2601" s="3" t="s">
        <v>80</v>
      </c>
      <c r="F2601" s="3" t="s">
        <v>31</v>
      </c>
      <c r="G2601" s="3" t="s">
        <v>80</v>
      </c>
      <c r="H2601" s="3" t="s">
        <v>45</v>
      </c>
      <c r="I2601" s="3">
        <v>2025</v>
      </c>
      <c r="J2601" s="3" t="str">
        <f>CONCATENATE("54820192638")</f>
        <v>54820192638</v>
      </c>
      <c r="K2601" s="3" t="s">
        <v>33</v>
      </c>
      <c r="L2601" s="3"/>
      <c r="M2601" s="3" t="s">
        <v>131</v>
      </c>
      <c r="N2601" s="3" t="str">
        <f>CONCATENATE("RSOMRA43B44G453F")</f>
        <v>RSOMRA43B44G453F</v>
      </c>
      <c r="O2601" s="3" t="s">
        <v>2735</v>
      </c>
      <c r="P2601" s="3" t="s">
        <v>36</v>
      </c>
      <c r="Q2601" s="3"/>
      <c r="R2601" s="4">
        <v>45996</v>
      </c>
      <c r="S2601" s="3" t="s">
        <v>37</v>
      </c>
      <c r="T2601" s="3" t="s">
        <v>38</v>
      </c>
      <c r="U2601" s="3" t="s">
        <v>39</v>
      </c>
      <c r="V2601" s="3">
        <v>644.79</v>
      </c>
      <c r="W2601" s="3">
        <v>274.04000000000002</v>
      </c>
      <c r="X2601" s="3">
        <v>259.52999999999997</v>
      </c>
      <c r="Y2601" s="3">
        <v>111.22</v>
      </c>
    </row>
    <row r="2602" spans="1:25" ht="60.75" x14ac:dyDescent="0.25">
      <c r="A2602" s="3" t="s">
        <v>26</v>
      </c>
      <c r="B2602" s="3" t="s">
        <v>27</v>
      </c>
      <c r="C2602" s="3" t="s">
        <v>28</v>
      </c>
      <c r="D2602" s="3" t="s">
        <v>29</v>
      </c>
      <c r="E2602" s="3" t="s">
        <v>136</v>
      </c>
      <c r="F2602" s="3" t="s">
        <v>31</v>
      </c>
      <c r="G2602" s="3" t="s">
        <v>136</v>
      </c>
      <c r="H2602" s="3" t="s">
        <v>48</v>
      </c>
      <c r="I2602" s="3">
        <v>2025</v>
      </c>
      <c r="J2602" s="3" t="str">
        <f>CONCATENATE("54820173919")</f>
        <v>54820173919</v>
      </c>
      <c r="K2602" s="3" t="s">
        <v>33</v>
      </c>
      <c r="L2602" s="3"/>
      <c r="M2602" s="3" t="s">
        <v>131</v>
      </c>
      <c r="N2602" s="3" t="str">
        <f>CONCATENATE("PLTNTN31D05I461P")</f>
        <v>PLTNTN31D05I461P</v>
      </c>
      <c r="O2602" s="3" t="s">
        <v>2736</v>
      </c>
      <c r="P2602" s="3" t="s">
        <v>36</v>
      </c>
      <c r="Q2602" s="3"/>
      <c r="R2602" s="4">
        <v>45996</v>
      </c>
      <c r="S2602" s="3" t="s">
        <v>37</v>
      </c>
      <c r="T2602" s="3" t="s">
        <v>38</v>
      </c>
      <c r="U2602" s="3" t="s">
        <v>39</v>
      </c>
      <c r="V2602" s="3">
        <v>60.54</v>
      </c>
      <c r="W2602" s="3">
        <v>25.73</v>
      </c>
      <c r="X2602" s="3">
        <v>24.37</v>
      </c>
      <c r="Y2602" s="3">
        <v>10.44</v>
      </c>
    </row>
    <row r="2603" spans="1:25" ht="60.75" x14ac:dyDescent="0.25">
      <c r="A2603" s="3" t="s">
        <v>26</v>
      </c>
      <c r="B2603" s="3" t="s">
        <v>27</v>
      </c>
      <c r="C2603" s="3" t="s">
        <v>28</v>
      </c>
      <c r="D2603" s="3" t="s">
        <v>29</v>
      </c>
      <c r="E2603" s="3" t="s">
        <v>136</v>
      </c>
      <c r="F2603" s="3" t="s">
        <v>31</v>
      </c>
      <c r="G2603" s="3" t="s">
        <v>136</v>
      </c>
      <c r="H2603" s="3" t="s">
        <v>48</v>
      </c>
      <c r="I2603" s="3">
        <v>2025</v>
      </c>
      <c r="J2603" s="3" t="str">
        <f>CONCATENATE("54820168976")</f>
        <v>54820168976</v>
      </c>
      <c r="K2603" s="3" t="s">
        <v>33</v>
      </c>
      <c r="L2603" s="3"/>
      <c r="M2603" s="3" t="s">
        <v>131</v>
      </c>
      <c r="N2603" s="3" t="str">
        <f>CONCATENATE("BVSGNN53H05D965F")</f>
        <v>BVSGNN53H05D965F</v>
      </c>
      <c r="O2603" s="3" t="s">
        <v>2737</v>
      </c>
      <c r="P2603" s="3" t="s">
        <v>36</v>
      </c>
      <c r="Q2603" s="3"/>
      <c r="R2603" s="4">
        <v>45996</v>
      </c>
      <c r="S2603" s="3" t="s">
        <v>37</v>
      </c>
      <c r="T2603" s="3" t="s">
        <v>38</v>
      </c>
      <c r="U2603" s="3" t="s">
        <v>39</v>
      </c>
      <c r="V2603" s="3">
        <v>124.32</v>
      </c>
      <c r="W2603" s="3">
        <v>52.84</v>
      </c>
      <c r="X2603" s="3">
        <v>50.04</v>
      </c>
      <c r="Y2603" s="3">
        <v>21.44</v>
      </c>
    </row>
    <row r="2604" spans="1:25" ht="60.75" x14ac:dyDescent="0.25">
      <c r="A2604" s="3" t="s">
        <v>26</v>
      </c>
      <c r="B2604" s="3" t="s">
        <v>27</v>
      </c>
      <c r="C2604" s="3" t="s">
        <v>28</v>
      </c>
      <c r="D2604" s="3" t="s">
        <v>157</v>
      </c>
      <c r="E2604" s="3" t="s">
        <v>1299</v>
      </c>
      <c r="F2604" s="3" t="s">
        <v>159</v>
      </c>
      <c r="G2604" s="3" t="s">
        <v>1299</v>
      </c>
      <c r="H2604" s="3" t="s">
        <v>48</v>
      </c>
      <c r="I2604" s="3">
        <v>2025</v>
      </c>
      <c r="J2604" s="3" t="str">
        <f>CONCATENATE("54820234356")</f>
        <v>54820234356</v>
      </c>
      <c r="K2604" s="3" t="s">
        <v>33</v>
      </c>
      <c r="L2604" s="3"/>
      <c r="M2604" s="3" t="s">
        <v>131</v>
      </c>
      <c r="N2604" s="3" t="str">
        <f>CONCATENATE("NGLNDR81S30D451Q")</f>
        <v>NGLNDR81S30D451Q</v>
      </c>
      <c r="O2604" s="3" t="s">
        <v>2738</v>
      </c>
      <c r="P2604" s="3" t="s">
        <v>36</v>
      </c>
      <c r="Q2604" s="3"/>
      <c r="R2604" s="4">
        <v>45996</v>
      </c>
      <c r="S2604" s="3" t="s">
        <v>37</v>
      </c>
      <c r="T2604" s="3" t="s">
        <v>38</v>
      </c>
      <c r="U2604" s="3" t="s">
        <v>39</v>
      </c>
      <c r="V2604" s="3">
        <v>813.04</v>
      </c>
      <c r="W2604" s="3">
        <v>345.54</v>
      </c>
      <c r="X2604" s="3">
        <v>327.25</v>
      </c>
      <c r="Y2604" s="3">
        <v>140.25</v>
      </c>
    </row>
    <row r="2605" spans="1:25" ht="60.75" x14ac:dyDescent="0.25">
      <c r="A2605" s="3" t="s">
        <v>26</v>
      </c>
      <c r="B2605" s="3" t="s">
        <v>27</v>
      </c>
      <c r="C2605" s="3" t="s">
        <v>28</v>
      </c>
      <c r="D2605" s="3" t="s">
        <v>29</v>
      </c>
      <c r="E2605" s="3" t="s">
        <v>72</v>
      </c>
      <c r="F2605" s="3" t="s">
        <v>31</v>
      </c>
      <c r="G2605" s="3" t="s">
        <v>72</v>
      </c>
      <c r="H2605" s="3" t="s">
        <v>45</v>
      </c>
      <c r="I2605" s="3">
        <v>2025</v>
      </c>
      <c r="J2605" s="3" t="str">
        <f>CONCATENATE("54820185384")</f>
        <v>54820185384</v>
      </c>
      <c r="K2605" s="3" t="s">
        <v>33</v>
      </c>
      <c r="L2605" s="3"/>
      <c r="M2605" s="3" t="s">
        <v>131</v>
      </c>
      <c r="N2605" s="3" t="str">
        <f>CONCATENATE("TRVGPP74L22E256W")</f>
        <v>TRVGPP74L22E256W</v>
      </c>
      <c r="O2605" s="3" t="s">
        <v>78</v>
      </c>
      <c r="P2605" s="3" t="s">
        <v>36</v>
      </c>
      <c r="Q2605" s="3"/>
      <c r="R2605" s="4">
        <v>45996</v>
      </c>
      <c r="S2605" s="3" t="s">
        <v>37</v>
      </c>
      <c r="T2605" s="3" t="s">
        <v>38</v>
      </c>
      <c r="U2605" s="3" t="s">
        <v>39</v>
      </c>
      <c r="V2605" s="3">
        <v>616.77</v>
      </c>
      <c r="W2605" s="3">
        <v>262.13</v>
      </c>
      <c r="X2605" s="3">
        <v>248.25</v>
      </c>
      <c r="Y2605" s="3">
        <v>106.39</v>
      </c>
    </row>
    <row r="2606" spans="1:25" ht="60.75" x14ac:dyDescent="0.25">
      <c r="A2606" s="3" t="s">
        <v>26</v>
      </c>
      <c r="B2606" s="3" t="s">
        <v>27</v>
      </c>
      <c r="C2606" s="3" t="s">
        <v>28</v>
      </c>
      <c r="D2606" s="3" t="s">
        <v>50</v>
      </c>
      <c r="E2606" s="3" t="s">
        <v>51</v>
      </c>
      <c r="F2606" s="3" t="s">
        <v>52</v>
      </c>
      <c r="G2606" s="3" t="s">
        <v>51</v>
      </c>
      <c r="H2606" s="3" t="s">
        <v>48</v>
      </c>
      <c r="I2606" s="3">
        <v>2025</v>
      </c>
      <c r="J2606" s="3" t="str">
        <f>CONCATENATE("54820175245")</f>
        <v>54820175245</v>
      </c>
      <c r="K2606" s="3" t="s">
        <v>33</v>
      </c>
      <c r="L2606" s="3"/>
      <c r="M2606" s="3" t="s">
        <v>131</v>
      </c>
      <c r="N2606" s="3" t="str">
        <f>CONCATENATE("SGRLSN97R12I608Q")</f>
        <v>SGRLSN97R12I608Q</v>
      </c>
      <c r="O2606" s="3" t="s">
        <v>2739</v>
      </c>
      <c r="P2606" s="3" t="s">
        <v>36</v>
      </c>
      <c r="Q2606" s="3"/>
      <c r="R2606" s="4">
        <v>45996</v>
      </c>
      <c r="S2606" s="3" t="s">
        <v>37</v>
      </c>
      <c r="T2606" s="3" t="s">
        <v>38</v>
      </c>
      <c r="U2606" s="3" t="s">
        <v>39</v>
      </c>
      <c r="V2606" s="3">
        <v>66.78</v>
      </c>
      <c r="W2606" s="3">
        <v>28.38</v>
      </c>
      <c r="X2606" s="3">
        <v>26.88</v>
      </c>
      <c r="Y2606" s="3">
        <v>11.52</v>
      </c>
    </row>
    <row r="2607" spans="1:25" ht="60.75" x14ac:dyDescent="0.25">
      <c r="A2607" s="3" t="s">
        <v>26</v>
      </c>
      <c r="B2607" s="3" t="s">
        <v>27</v>
      </c>
      <c r="C2607" s="3" t="s">
        <v>28</v>
      </c>
      <c r="D2607" s="3" t="s">
        <v>29</v>
      </c>
      <c r="E2607" s="3" t="s">
        <v>136</v>
      </c>
      <c r="F2607" s="3" t="s">
        <v>31</v>
      </c>
      <c r="G2607" s="3" t="s">
        <v>136</v>
      </c>
      <c r="H2607" s="3" t="s">
        <v>48</v>
      </c>
      <c r="I2607" s="3">
        <v>2025</v>
      </c>
      <c r="J2607" s="3" t="str">
        <f>CONCATENATE("54820143334")</f>
        <v>54820143334</v>
      </c>
      <c r="K2607" s="3" t="s">
        <v>33</v>
      </c>
      <c r="L2607" s="3"/>
      <c r="M2607" s="3" t="s">
        <v>131</v>
      </c>
      <c r="N2607" s="3" t="str">
        <f>CONCATENATE("STFSRA50A21I461F")</f>
        <v>STFSRA50A21I461F</v>
      </c>
      <c r="O2607" s="3" t="s">
        <v>2740</v>
      </c>
      <c r="P2607" s="3" t="s">
        <v>36</v>
      </c>
      <c r="Q2607" s="3"/>
      <c r="R2607" s="4">
        <v>45996</v>
      </c>
      <c r="S2607" s="3" t="s">
        <v>37</v>
      </c>
      <c r="T2607" s="3" t="s">
        <v>38</v>
      </c>
      <c r="U2607" s="3" t="s">
        <v>39</v>
      </c>
      <c r="V2607" s="3">
        <v>487</v>
      </c>
      <c r="W2607" s="3">
        <v>206.98</v>
      </c>
      <c r="X2607" s="3">
        <v>196.02</v>
      </c>
      <c r="Y2607" s="3">
        <v>84</v>
      </c>
    </row>
    <row r="2608" spans="1:25" ht="60.75" x14ac:dyDescent="0.25">
      <c r="A2608" s="3" t="s">
        <v>26</v>
      </c>
      <c r="B2608" s="3" t="s">
        <v>27</v>
      </c>
      <c r="C2608" s="3" t="s">
        <v>28</v>
      </c>
      <c r="D2608" s="3" t="s">
        <v>29</v>
      </c>
      <c r="E2608" s="3" t="s">
        <v>56</v>
      </c>
      <c r="F2608" s="3" t="s">
        <v>31</v>
      </c>
      <c r="G2608" s="3" t="s">
        <v>56</v>
      </c>
      <c r="H2608" s="3" t="s">
        <v>32</v>
      </c>
      <c r="I2608" s="3">
        <v>2025</v>
      </c>
      <c r="J2608" s="3" t="str">
        <f>CONCATENATE("54820187943")</f>
        <v>54820187943</v>
      </c>
      <c r="K2608" s="3" t="s">
        <v>33</v>
      </c>
      <c r="L2608" s="3"/>
      <c r="M2608" s="3" t="s">
        <v>131</v>
      </c>
      <c r="N2608" s="3" t="str">
        <f>CONCATENATE("MDSRNR51B19D429C")</f>
        <v>MDSRNR51B19D429C</v>
      </c>
      <c r="O2608" s="3" t="s">
        <v>2741</v>
      </c>
      <c r="P2608" s="3" t="s">
        <v>36</v>
      </c>
      <c r="Q2608" s="3"/>
      <c r="R2608" s="4">
        <v>45996</v>
      </c>
      <c r="S2608" s="3" t="s">
        <v>37</v>
      </c>
      <c r="T2608" s="3" t="s">
        <v>38</v>
      </c>
      <c r="U2608" s="3" t="s">
        <v>39</v>
      </c>
      <c r="V2608" s="3">
        <v>279.39999999999998</v>
      </c>
      <c r="W2608" s="3">
        <v>118.75</v>
      </c>
      <c r="X2608" s="3">
        <v>112.46</v>
      </c>
      <c r="Y2608" s="3">
        <v>48.19</v>
      </c>
    </row>
    <row r="2609" spans="1:25" ht="60.75" x14ac:dyDescent="0.25">
      <c r="A2609" s="3" t="s">
        <v>26</v>
      </c>
      <c r="B2609" s="3" t="s">
        <v>27</v>
      </c>
      <c r="C2609" s="3" t="s">
        <v>28</v>
      </c>
      <c r="D2609" s="3" t="s">
        <v>29</v>
      </c>
      <c r="E2609" s="3" t="s">
        <v>182</v>
      </c>
      <c r="F2609" s="3" t="s">
        <v>31</v>
      </c>
      <c r="G2609" s="3" t="s">
        <v>182</v>
      </c>
      <c r="H2609" s="3" t="s">
        <v>45</v>
      </c>
      <c r="I2609" s="3">
        <v>2025</v>
      </c>
      <c r="J2609" s="3" t="str">
        <f>CONCATENATE("54820170659")</f>
        <v>54820170659</v>
      </c>
      <c r="K2609" s="3" t="s">
        <v>33</v>
      </c>
      <c r="L2609" s="3"/>
      <c r="M2609" s="3" t="s">
        <v>131</v>
      </c>
      <c r="N2609" s="3" t="str">
        <f>CONCATENATE("MNGRGL55P02L500K")</f>
        <v>MNGRGL55P02L500K</v>
      </c>
      <c r="O2609" s="3" t="s">
        <v>2742</v>
      </c>
      <c r="P2609" s="3" t="s">
        <v>36</v>
      </c>
      <c r="Q2609" s="3"/>
      <c r="R2609" s="4">
        <v>45996</v>
      </c>
      <c r="S2609" s="3" t="s">
        <v>37</v>
      </c>
      <c r="T2609" s="3" t="s">
        <v>38</v>
      </c>
      <c r="U2609" s="3" t="s">
        <v>39</v>
      </c>
      <c r="V2609" s="3">
        <v>949.2</v>
      </c>
      <c r="W2609" s="3">
        <v>403.41</v>
      </c>
      <c r="X2609" s="3">
        <v>382.05</v>
      </c>
      <c r="Y2609" s="3">
        <v>163.74</v>
      </c>
    </row>
    <row r="2610" spans="1:25" ht="36.75" x14ac:dyDescent="0.25">
      <c r="A2610" s="3" t="s">
        <v>26</v>
      </c>
      <c r="B2610" s="3" t="s">
        <v>27</v>
      </c>
      <c r="C2610" s="3" t="s">
        <v>28</v>
      </c>
      <c r="D2610" s="3" t="s">
        <v>40</v>
      </c>
      <c r="E2610" s="3" t="s">
        <v>41</v>
      </c>
      <c r="F2610" s="3" t="s">
        <v>42</v>
      </c>
      <c r="G2610" s="3" t="s">
        <v>41</v>
      </c>
      <c r="H2610" s="3" t="s">
        <v>32</v>
      </c>
      <c r="I2610" s="3">
        <v>2025</v>
      </c>
      <c r="J2610" s="3" t="str">
        <f>CONCATENATE("54820167127")</f>
        <v>54820167127</v>
      </c>
      <c r="K2610" s="3" t="s">
        <v>33</v>
      </c>
      <c r="L2610" s="3"/>
      <c r="M2610" s="3" t="s">
        <v>131</v>
      </c>
      <c r="N2610" s="3" t="str">
        <f>CONCATENATE("00876290438")</f>
        <v>00876290438</v>
      </c>
      <c r="O2610" s="3" t="s">
        <v>2743</v>
      </c>
      <c r="P2610" s="3" t="s">
        <v>36</v>
      </c>
      <c r="Q2610" s="3"/>
      <c r="R2610" s="4">
        <v>45996</v>
      </c>
      <c r="S2610" s="3" t="s">
        <v>37</v>
      </c>
      <c r="T2610" s="3" t="s">
        <v>38</v>
      </c>
      <c r="U2610" s="3" t="s">
        <v>39</v>
      </c>
      <c r="V2610" s="5">
        <v>1046.23</v>
      </c>
      <c r="W2610" s="3">
        <v>444.65</v>
      </c>
      <c r="X2610" s="3">
        <v>421.11</v>
      </c>
      <c r="Y2610" s="3">
        <v>180.47</v>
      </c>
    </row>
    <row r="2611" spans="1:25" ht="60.75" x14ac:dyDescent="0.25">
      <c r="A2611" s="3" t="s">
        <v>26</v>
      </c>
      <c r="B2611" s="3" t="s">
        <v>27</v>
      </c>
      <c r="C2611" s="3" t="s">
        <v>28</v>
      </c>
      <c r="D2611" s="3" t="s">
        <v>50</v>
      </c>
      <c r="E2611" s="3" t="s">
        <v>147</v>
      </c>
      <c r="F2611" s="3" t="s">
        <v>52</v>
      </c>
      <c r="G2611" s="3" t="s">
        <v>147</v>
      </c>
      <c r="H2611" s="3" t="s">
        <v>45</v>
      </c>
      <c r="I2611" s="3">
        <v>2025</v>
      </c>
      <c r="J2611" s="3" t="str">
        <f>CONCATENATE("54820152327")</f>
        <v>54820152327</v>
      </c>
      <c r="K2611" s="3" t="s">
        <v>33</v>
      </c>
      <c r="L2611" s="3"/>
      <c r="M2611" s="3" t="s">
        <v>131</v>
      </c>
      <c r="N2611" s="3" t="str">
        <f>CONCATENATE("RCCPGR64A19D749T")</f>
        <v>RCCPGR64A19D749T</v>
      </c>
      <c r="O2611" s="3" t="s">
        <v>2744</v>
      </c>
      <c r="P2611" s="3" t="s">
        <v>36</v>
      </c>
      <c r="Q2611" s="3"/>
      <c r="R2611" s="4">
        <v>45996</v>
      </c>
      <c r="S2611" s="3" t="s">
        <v>37</v>
      </c>
      <c r="T2611" s="3" t="s">
        <v>38</v>
      </c>
      <c r="U2611" s="3" t="s">
        <v>39</v>
      </c>
      <c r="V2611" s="3">
        <v>96.98</v>
      </c>
      <c r="W2611" s="3">
        <v>41.22</v>
      </c>
      <c r="X2611" s="3">
        <v>39.03</v>
      </c>
      <c r="Y2611" s="3">
        <v>16.73</v>
      </c>
    </row>
    <row r="2612" spans="1:25" ht="72.75" x14ac:dyDescent="0.25">
      <c r="A2612" s="3" t="s">
        <v>26</v>
      </c>
      <c r="B2612" s="3" t="s">
        <v>27</v>
      </c>
      <c r="C2612" s="3" t="s">
        <v>28</v>
      </c>
      <c r="D2612" s="3" t="s">
        <v>50</v>
      </c>
      <c r="E2612" s="3" t="s">
        <v>51</v>
      </c>
      <c r="F2612" s="3" t="s">
        <v>52</v>
      </c>
      <c r="G2612" s="3" t="s">
        <v>51</v>
      </c>
      <c r="H2612" s="3" t="s">
        <v>48</v>
      </c>
      <c r="I2612" s="3">
        <v>2025</v>
      </c>
      <c r="J2612" s="3" t="str">
        <f>CONCATENATE("54820163258")</f>
        <v>54820163258</v>
      </c>
      <c r="K2612" s="3" t="s">
        <v>33</v>
      </c>
      <c r="L2612" s="3"/>
      <c r="M2612" s="3" t="s">
        <v>131</v>
      </c>
      <c r="N2612" s="3" t="str">
        <f>CONCATENATE("CRSGCR67D17D451W")</f>
        <v>CRSGCR67D17D451W</v>
      </c>
      <c r="O2612" s="3" t="s">
        <v>2745</v>
      </c>
      <c r="P2612" s="3" t="s">
        <v>36</v>
      </c>
      <c r="Q2612" s="3"/>
      <c r="R2612" s="4">
        <v>45996</v>
      </c>
      <c r="S2612" s="3" t="s">
        <v>37</v>
      </c>
      <c r="T2612" s="3" t="s">
        <v>38</v>
      </c>
      <c r="U2612" s="3" t="s">
        <v>39</v>
      </c>
      <c r="V2612" s="3">
        <v>91.15</v>
      </c>
      <c r="W2612" s="3">
        <v>38.74</v>
      </c>
      <c r="X2612" s="3">
        <v>36.69</v>
      </c>
      <c r="Y2612" s="3">
        <v>15.72</v>
      </c>
    </row>
    <row r="2613" spans="1:25" ht="60.75" x14ac:dyDescent="0.25">
      <c r="A2613" s="3" t="s">
        <v>26</v>
      </c>
      <c r="B2613" s="3" t="s">
        <v>27</v>
      </c>
      <c r="C2613" s="3" t="s">
        <v>28</v>
      </c>
      <c r="D2613" s="3" t="s">
        <v>50</v>
      </c>
      <c r="E2613" s="3" t="s">
        <v>252</v>
      </c>
      <c r="F2613" s="3" t="s">
        <v>52</v>
      </c>
      <c r="G2613" s="3" t="s">
        <v>252</v>
      </c>
      <c r="H2613" s="3" t="s">
        <v>45</v>
      </c>
      <c r="I2613" s="3">
        <v>2025</v>
      </c>
      <c r="J2613" s="3" t="str">
        <f>CONCATENATE("54820212881")</f>
        <v>54820212881</v>
      </c>
      <c r="K2613" s="3" t="s">
        <v>33</v>
      </c>
      <c r="L2613" s="3"/>
      <c r="M2613" s="3" t="s">
        <v>131</v>
      </c>
      <c r="N2613" s="3" t="str">
        <f>CONCATENATE("RTUMRS44C46D749H")</f>
        <v>RTUMRS44C46D749H</v>
      </c>
      <c r="O2613" s="3" t="s">
        <v>2746</v>
      </c>
      <c r="P2613" s="3" t="s">
        <v>36</v>
      </c>
      <c r="Q2613" s="3"/>
      <c r="R2613" s="4">
        <v>45996</v>
      </c>
      <c r="S2613" s="3" t="s">
        <v>37</v>
      </c>
      <c r="T2613" s="3" t="s">
        <v>38</v>
      </c>
      <c r="U2613" s="3" t="s">
        <v>39</v>
      </c>
      <c r="V2613" s="3">
        <v>58.3</v>
      </c>
      <c r="W2613" s="3">
        <v>24.78</v>
      </c>
      <c r="X2613" s="3">
        <v>23.47</v>
      </c>
      <c r="Y2613" s="3">
        <v>10.050000000000001</v>
      </c>
    </row>
    <row r="2614" spans="1:25" ht="60.75" x14ac:dyDescent="0.25">
      <c r="A2614" s="3" t="s">
        <v>26</v>
      </c>
      <c r="B2614" s="3" t="s">
        <v>27</v>
      </c>
      <c r="C2614" s="3" t="s">
        <v>28</v>
      </c>
      <c r="D2614" s="3" t="s">
        <v>29</v>
      </c>
      <c r="E2614" s="3" t="s">
        <v>228</v>
      </c>
      <c r="F2614" s="3" t="s">
        <v>31</v>
      </c>
      <c r="G2614" s="3" t="s">
        <v>228</v>
      </c>
      <c r="H2614" s="3" t="s">
        <v>45</v>
      </c>
      <c r="I2614" s="3">
        <v>2025</v>
      </c>
      <c r="J2614" s="3" t="str">
        <f>CONCATENATE("54820254560")</f>
        <v>54820254560</v>
      </c>
      <c r="K2614" s="3" t="s">
        <v>33</v>
      </c>
      <c r="L2614" s="3"/>
      <c r="M2614" s="3" t="s">
        <v>131</v>
      </c>
      <c r="N2614" s="3" t="str">
        <f>CONCATENATE("CCCSML03L09L500J")</f>
        <v>CCCSML03L09L500J</v>
      </c>
      <c r="O2614" s="3" t="s">
        <v>2747</v>
      </c>
      <c r="P2614" s="3" t="s">
        <v>36</v>
      </c>
      <c r="Q2614" s="3"/>
      <c r="R2614" s="4">
        <v>45996</v>
      </c>
      <c r="S2614" s="3" t="s">
        <v>37</v>
      </c>
      <c r="T2614" s="3" t="s">
        <v>38</v>
      </c>
      <c r="U2614" s="3" t="s">
        <v>39</v>
      </c>
      <c r="V2614" s="3">
        <v>307.58</v>
      </c>
      <c r="W2614" s="3">
        <v>130.72</v>
      </c>
      <c r="X2614" s="3">
        <v>123.8</v>
      </c>
      <c r="Y2614" s="3">
        <v>53.06</v>
      </c>
    </row>
    <row r="2615" spans="1:25" ht="72.75" x14ac:dyDescent="0.25">
      <c r="A2615" s="3" t="s">
        <v>26</v>
      </c>
      <c r="B2615" s="3" t="s">
        <v>27</v>
      </c>
      <c r="C2615" s="3" t="s">
        <v>28</v>
      </c>
      <c r="D2615" s="3" t="s">
        <v>29</v>
      </c>
      <c r="E2615" s="3" t="s">
        <v>136</v>
      </c>
      <c r="F2615" s="3" t="s">
        <v>31</v>
      </c>
      <c r="G2615" s="3" t="s">
        <v>136</v>
      </c>
      <c r="H2615" s="3" t="s">
        <v>48</v>
      </c>
      <c r="I2615" s="3">
        <v>2025</v>
      </c>
      <c r="J2615" s="3" t="str">
        <f>CONCATENATE("54820142799")</f>
        <v>54820142799</v>
      </c>
      <c r="K2615" s="3" t="s">
        <v>33</v>
      </c>
      <c r="L2615" s="3"/>
      <c r="M2615" s="3" t="s">
        <v>131</v>
      </c>
      <c r="N2615" s="3" t="str">
        <f>CONCATENATE("SBSMSM84L16D488N")</f>
        <v>SBSMSM84L16D488N</v>
      </c>
      <c r="O2615" s="3" t="s">
        <v>2748</v>
      </c>
      <c r="P2615" s="3" t="s">
        <v>36</v>
      </c>
      <c r="Q2615" s="3"/>
      <c r="R2615" s="4">
        <v>45996</v>
      </c>
      <c r="S2615" s="3" t="s">
        <v>37</v>
      </c>
      <c r="T2615" s="3" t="s">
        <v>38</v>
      </c>
      <c r="U2615" s="3" t="s">
        <v>39</v>
      </c>
      <c r="V2615" s="5">
        <v>1113.75</v>
      </c>
      <c r="W2615" s="3">
        <v>473.34</v>
      </c>
      <c r="X2615" s="3">
        <v>448.28</v>
      </c>
      <c r="Y2615" s="3">
        <v>192.13</v>
      </c>
    </row>
    <row r="2616" spans="1:25" ht="60.75" x14ac:dyDescent="0.25">
      <c r="A2616" s="3" t="s">
        <v>26</v>
      </c>
      <c r="B2616" s="3" t="s">
        <v>27</v>
      </c>
      <c r="C2616" s="3" t="s">
        <v>28</v>
      </c>
      <c r="D2616" s="3" t="s">
        <v>29</v>
      </c>
      <c r="E2616" s="3" t="s">
        <v>56</v>
      </c>
      <c r="F2616" s="3" t="s">
        <v>31</v>
      </c>
      <c r="G2616" s="3" t="s">
        <v>56</v>
      </c>
      <c r="H2616" s="3" t="s">
        <v>32</v>
      </c>
      <c r="I2616" s="3">
        <v>2025</v>
      </c>
      <c r="J2616" s="3" t="str">
        <f>CONCATENATE("54820089701")</f>
        <v>54820089701</v>
      </c>
      <c r="K2616" s="3" t="s">
        <v>33</v>
      </c>
      <c r="L2616" s="3"/>
      <c r="M2616" s="3" t="s">
        <v>131</v>
      </c>
      <c r="N2616" s="3" t="str">
        <f>CONCATENATE("FRLLCU55P19B474J")</f>
        <v>FRLLCU55P19B474J</v>
      </c>
      <c r="O2616" s="3" t="s">
        <v>2749</v>
      </c>
      <c r="P2616" s="3" t="s">
        <v>36</v>
      </c>
      <c r="Q2616" s="3"/>
      <c r="R2616" s="4">
        <v>45996</v>
      </c>
      <c r="S2616" s="3" t="s">
        <v>37</v>
      </c>
      <c r="T2616" s="3" t="s">
        <v>38</v>
      </c>
      <c r="U2616" s="3" t="s">
        <v>39</v>
      </c>
      <c r="V2616" s="3">
        <v>188.83</v>
      </c>
      <c r="W2616" s="3">
        <v>80.25</v>
      </c>
      <c r="X2616" s="3">
        <v>76</v>
      </c>
      <c r="Y2616" s="3">
        <v>32.58</v>
      </c>
    </row>
    <row r="2617" spans="1:25" ht="60.75" x14ac:dyDescent="0.25">
      <c r="A2617" s="3" t="s">
        <v>26</v>
      </c>
      <c r="B2617" s="3" t="s">
        <v>27</v>
      </c>
      <c r="C2617" s="3" t="s">
        <v>28</v>
      </c>
      <c r="D2617" s="3" t="s">
        <v>50</v>
      </c>
      <c r="E2617" s="3" t="s">
        <v>149</v>
      </c>
      <c r="F2617" s="3" t="s">
        <v>52</v>
      </c>
      <c r="G2617" s="3" t="s">
        <v>149</v>
      </c>
      <c r="H2617" s="3" t="s">
        <v>96</v>
      </c>
      <c r="I2617" s="3">
        <v>2025</v>
      </c>
      <c r="J2617" s="3" t="str">
        <f>CONCATENATE("54820209192")</f>
        <v>54820209192</v>
      </c>
      <c r="K2617" s="3" t="s">
        <v>33</v>
      </c>
      <c r="L2617" s="3"/>
      <c r="M2617" s="3" t="s">
        <v>131</v>
      </c>
      <c r="N2617" s="3" t="str">
        <f>CONCATENATE("FLZGRG53R15H390Z")</f>
        <v>FLZGRG53R15H390Z</v>
      </c>
      <c r="O2617" s="3" t="s">
        <v>2750</v>
      </c>
      <c r="P2617" s="3" t="s">
        <v>36</v>
      </c>
      <c r="Q2617" s="3"/>
      <c r="R2617" s="4">
        <v>45996</v>
      </c>
      <c r="S2617" s="3" t="s">
        <v>37</v>
      </c>
      <c r="T2617" s="3" t="s">
        <v>38</v>
      </c>
      <c r="U2617" s="3" t="s">
        <v>39</v>
      </c>
      <c r="V2617" s="3">
        <v>94.47</v>
      </c>
      <c r="W2617" s="3">
        <v>40.15</v>
      </c>
      <c r="X2617" s="3">
        <v>38.020000000000003</v>
      </c>
      <c r="Y2617" s="3">
        <v>16.3</v>
      </c>
    </row>
    <row r="2618" spans="1:25" ht="60.75" x14ac:dyDescent="0.25">
      <c r="A2618" s="3" t="s">
        <v>26</v>
      </c>
      <c r="B2618" s="3" t="s">
        <v>27</v>
      </c>
      <c r="C2618" s="3" t="s">
        <v>28</v>
      </c>
      <c r="D2618" s="3" t="s">
        <v>50</v>
      </c>
      <c r="E2618" s="3" t="s">
        <v>60</v>
      </c>
      <c r="F2618" s="3" t="s">
        <v>52</v>
      </c>
      <c r="G2618" s="3" t="s">
        <v>60</v>
      </c>
      <c r="H2618" s="3" t="s">
        <v>45</v>
      </c>
      <c r="I2618" s="3">
        <v>2025</v>
      </c>
      <c r="J2618" s="3" t="str">
        <f>CONCATENATE("54820172085")</f>
        <v>54820172085</v>
      </c>
      <c r="K2618" s="3" t="s">
        <v>33</v>
      </c>
      <c r="L2618" s="3"/>
      <c r="M2618" s="3" t="s">
        <v>131</v>
      </c>
      <c r="N2618" s="3" t="str">
        <f>CONCATENATE("BLLLNS59M30B352W")</f>
        <v>BLLLNS59M30B352W</v>
      </c>
      <c r="O2618" s="3" t="s">
        <v>2751</v>
      </c>
      <c r="P2618" s="3" t="s">
        <v>36</v>
      </c>
      <c r="Q2618" s="3"/>
      <c r="R2618" s="4">
        <v>45996</v>
      </c>
      <c r="S2618" s="3" t="s">
        <v>37</v>
      </c>
      <c r="T2618" s="3" t="s">
        <v>38</v>
      </c>
      <c r="U2618" s="3" t="s">
        <v>39</v>
      </c>
      <c r="V2618" s="3">
        <v>115.88</v>
      </c>
      <c r="W2618" s="3">
        <v>49.25</v>
      </c>
      <c r="X2618" s="3">
        <v>46.64</v>
      </c>
      <c r="Y2618" s="3">
        <v>19.989999999999998</v>
      </c>
    </row>
    <row r="2619" spans="1:25" ht="60.75" x14ac:dyDescent="0.25">
      <c r="A2619" s="3" t="s">
        <v>26</v>
      </c>
      <c r="B2619" s="3" t="s">
        <v>27</v>
      </c>
      <c r="C2619" s="3" t="s">
        <v>28</v>
      </c>
      <c r="D2619" s="3" t="s">
        <v>29</v>
      </c>
      <c r="E2619" s="3" t="s">
        <v>182</v>
      </c>
      <c r="F2619" s="3" t="s">
        <v>31</v>
      </c>
      <c r="G2619" s="3" t="s">
        <v>182</v>
      </c>
      <c r="H2619" s="3" t="s">
        <v>45</v>
      </c>
      <c r="I2619" s="3">
        <v>2025</v>
      </c>
      <c r="J2619" s="3" t="str">
        <f>CONCATENATE("54820169826")</f>
        <v>54820169826</v>
      </c>
      <c r="K2619" s="3" t="s">
        <v>33</v>
      </c>
      <c r="L2619" s="3"/>
      <c r="M2619" s="3" t="s">
        <v>131</v>
      </c>
      <c r="N2619" s="3" t="str">
        <f>CONCATENATE("GCCPLA72E14L500A")</f>
        <v>GCCPLA72E14L500A</v>
      </c>
      <c r="O2619" s="3" t="s">
        <v>2752</v>
      </c>
      <c r="P2619" s="3" t="s">
        <v>36</v>
      </c>
      <c r="Q2619" s="3"/>
      <c r="R2619" s="4">
        <v>45996</v>
      </c>
      <c r="S2619" s="3" t="s">
        <v>37</v>
      </c>
      <c r="T2619" s="3" t="s">
        <v>38</v>
      </c>
      <c r="U2619" s="3" t="s">
        <v>39</v>
      </c>
      <c r="V2619" s="3">
        <v>58.38</v>
      </c>
      <c r="W2619" s="3">
        <v>24.81</v>
      </c>
      <c r="X2619" s="3">
        <v>23.5</v>
      </c>
      <c r="Y2619" s="3">
        <v>10.07</v>
      </c>
    </row>
    <row r="2620" spans="1:25" ht="60.75" x14ac:dyDescent="0.25">
      <c r="A2620" s="3" t="s">
        <v>26</v>
      </c>
      <c r="B2620" s="3" t="s">
        <v>27</v>
      </c>
      <c r="C2620" s="3" t="s">
        <v>28</v>
      </c>
      <c r="D2620" s="3" t="s">
        <v>50</v>
      </c>
      <c r="E2620" s="3" t="s">
        <v>60</v>
      </c>
      <c r="F2620" s="3" t="s">
        <v>52</v>
      </c>
      <c r="G2620" s="3" t="s">
        <v>60</v>
      </c>
      <c r="H2620" s="3" t="s">
        <v>45</v>
      </c>
      <c r="I2620" s="3">
        <v>2025</v>
      </c>
      <c r="J2620" s="3" t="str">
        <f>CONCATENATE("54820231006")</f>
        <v>54820231006</v>
      </c>
      <c r="K2620" s="3" t="s">
        <v>33</v>
      </c>
      <c r="L2620" s="3"/>
      <c r="M2620" s="3" t="s">
        <v>131</v>
      </c>
      <c r="N2620" s="3" t="str">
        <f>CONCATENATE("PLNMRC79M13D749X")</f>
        <v>PLNMRC79M13D749X</v>
      </c>
      <c r="O2620" s="3" t="s">
        <v>2753</v>
      </c>
      <c r="P2620" s="3" t="s">
        <v>36</v>
      </c>
      <c r="Q2620" s="3"/>
      <c r="R2620" s="4">
        <v>45996</v>
      </c>
      <c r="S2620" s="3" t="s">
        <v>37</v>
      </c>
      <c r="T2620" s="3" t="s">
        <v>38</v>
      </c>
      <c r="U2620" s="3" t="s">
        <v>39</v>
      </c>
      <c r="V2620" s="3">
        <v>503.9</v>
      </c>
      <c r="W2620" s="3">
        <v>214.16</v>
      </c>
      <c r="X2620" s="3">
        <v>202.82</v>
      </c>
      <c r="Y2620" s="3">
        <v>86.92</v>
      </c>
    </row>
    <row r="2621" spans="1:25" ht="60.75" x14ac:dyDescent="0.25">
      <c r="A2621" s="3" t="s">
        <v>26</v>
      </c>
      <c r="B2621" s="3" t="s">
        <v>27</v>
      </c>
      <c r="C2621" s="3" t="s">
        <v>28</v>
      </c>
      <c r="D2621" s="3" t="s">
        <v>40</v>
      </c>
      <c r="E2621" s="3" t="s">
        <v>99</v>
      </c>
      <c r="F2621" s="3" t="s">
        <v>42</v>
      </c>
      <c r="G2621" s="3" t="s">
        <v>99</v>
      </c>
      <c r="H2621" s="3" t="s">
        <v>32</v>
      </c>
      <c r="I2621" s="3">
        <v>2025</v>
      </c>
      <c r="J2621" s="3" t="str">
        <f>CONCATENATE("54820179072")</f>
        <v>54820179072</v>
      </c>
      <c r="K2621" s="3" t="s">
        <v>33</v>
      </c>
      <c r="L2621" s="3"/>
      <c r="M2621" s="3" t="s">
        <v>131</v>
      </c>
      <c r="N2621" s="3" t="str">
        <f>CONCATENATE("RZOFNC79B52E783N")</f>
        <v>RZOFNC79B52E783N</v>
      </c>
      <c r="O2621" s="3" t="s">
        <v>2754</v>
      </c>
      <c r="P2621" s="3" t="s">
        <v>36</v>
      </c>
      <c r="Q2621" s="3"/>
      <c r="R2621" s="4">
        <v>45996</v>
      </c>
      <c r="S2621" s="3" t="s">
        <v>37</v>
      </c>
      <c r="T2621" s="3" t="s">
        <v>38</v>
      </c>
      <c r="U2621" s="3" t="s">
        <v>39</v>
      </c>
      <c r="V2621" s="3">
        <v>303.58999999999997</v>
      </c>
      <c r="W2621" s="3">
        <v>129.03</v>
      </c>
      <c r="X2621" s="3">
        <v>122.19</v>
      </c>
      <c r="Y2621" s="3">
        <v>52.37</v>
      </c>
    </row>
    <row r="2622" spans="1:25" ht="60.75" x14ac:dyDescent="0.25">
      <c r="A2622" s="3" t="s">
        <v>26</v>
      </c>
      <c r="B2622" s="3" t="s">
        <v>27</v>
      </c>
      <c r="C2622" s="3" t="s">
        <v>28</v>
      </c>
      <c r="D2622" s="3" t="s">
        <v>104</v>
      </c>
      <c r="E2622" s="3" t="s">
        <v>141</v>
      </c>
      <c r="F2622" s="3" t="s">
        <v>104</v>
      </c>
      <c r="G2622" s="3" t="s">
        <v>141</v>
      </c>
      <c r="H2622" s="3" t="s">
        <v>96</v>
      </c>
      <c r="I2622" s="3">
        <v>2025</v>
      </c>
      <c r="J2622" s="3" t="str">
        <f>CONCATENATE("54820282876")</f>
        <v>54820282876</v>
      </c>
      <c r="K2622" s="3" t="s">
        <v>33</v>
      </c>
      <c r="L2622" s="3"/>
      <c r="M2622" s="3" t="s">
        <v>131</v>
      </c>
      <c r="N2622" s="3" t="str">
        <f>CONCATENATE("CRBLGN60E22F570O")</f>
        <v>CRBLGN60E22F570O</v>
      </c>
      <c r="O2622" s="3" t="s">
        <v>2755</v>
      </c>
      <c r="P2622" s="3" t="s">
        <v>36</v>
      </c>
      <c r="Q2622" s="3"/>
      <c r="R2622" s="4">
        <v>45996</v>
      </c>
      <c r="S2622" s="3" t="s">
        <v>37</v>
      </c>
      <c r="T2622" s="3" t="s">
        <v>38</v>
      </c>
      <c r="U2622" s="3" t="s">
        <v>39</v>
      </c>
      <c r="V2622" s="3">
        <v>431.69</v>
      </c>
      <c r="W2622" s="3">
        <v>183.47</v>
      </c>
      <c r="X2622" s="3">
        <v>173.76</v>
      </c>
      <c r="Y2622" s="3">
        <v>74.459999999999994</v>
      </c>
    </row>
    <row r="2623" spans="1:25" ht="60.75" x14ac:dyDescent="0.25">
      <c r="A2623" s="3" t="s">
        <v>26</v>
      </c>
      <c r="B2623" s="3" t="s">
        <v>27</v>
      </c>
      <c r="C2623" s="3" t="s">
        <v>28</v>
      </c>
      <c r="D2623" s="3" t="s">
        <v>40</v>
      </c>
      <c r="E2623" s="3" t="s">
        <v>41</v>
      </c>
      <c r="F2623" s="3" t="s">
        <v>42</v>
      </c>
      <c r="G2623" s="3" t="s">
        <v>41</v>
      </c>
      <c r="H2623" s="3" t="s">
        <v>32</v>
      </c>
      <c r="I2623" s="3">
        <v>2025</v>
      </c>
      <c r="J2623" s="3" t="str">
        <f>CONCATENATE("54820239454")</f>
        <v>54820239454</v>
      </c>
      <c r="K2623" s="3" t="s">
        <v>33</v>
      </c>
      <c r="L2623" s="3"/>
      <c r="M2623" s="3" t="s">
        <v>131</v>
      </c>
      <c r="N2623" s="3" t="str">
        <f>CONCATENATE("TMBVCN02E06H501I")</f>
        <v>TMBVCN02E06H501I</v>
      </c>
      <c r="O2623" s="3" t="s">
        <v>2756</v>
      </c>
      <c r="P2623" s="3" t="s">
        <v>36</v>
      </c>
      <c r="Q2623" s="3"/>
      <c r="R2623" s="4">
        <v>45996</v>
      </c>
      <c r="S2623" s="3" t="s">
        <v>37</v>
      </c>
      <c r="T2623" s="3" t="s">
        <v>38</v>
      </c>
      <c r="U2623" s="3" t="s">
        <v>39</v>
      </c>
      <c r="V2623" s="5">
        <v>1078.57</v>
      </c>
      <c r="W2623" s="3">
        <v>458.39</v>
      </c>
      <c r="X2623" s="3">
        <v>434.12</v>
      </c>
      <c r="Y2623" s="3">
        <v>186.06</v>
      </c>
    </row>
    <row r="2624" spans="1:25" ht="60.75" x14ac:dyDescent="0.25">
      <c r="A2624" s="3" t="s">
        <v>26</v>
      </c>
      <c r="B2624" s="3" t="s">
        <v>27</v>
      </c>
      <c r="C2624" s="3" t="s">
        <v>28</v>
      </c>
      <c r="D2624" s="3" t="s">
        <v>29</v>
      </c>
      <c r="E2624" s="3" t="s">
        <v>72</v>
      </c>
      <c r="F2624" s="3" t="s">
        <v>31</v>
      </c>
      <c r="G2624" s="3" t="s">
        <v>72</v>
      </c>
      <c r="H2624" s="3" t="s">
        <v>45</v>
      </c>
      <c r="I2624" s="3">
        <v>2025</v>
      </c>
      <c r="J2624" s="3" t="str">
        <f>CONCATENATE("54820176037")</f>
        <v>54820176037</v>
      </c>
      <c r="K2624" s="3" t="s">
        <v>33</v>
      </c>
      <c r="L2624" s="3"/>
      <c r="M2624" s="3" t="s">
        <v>131</v>
      </c>
      <c r="N2624" s="3" t="str">
        <f>CONCATENATE("PLLGNN75M45B352C")</f>
        <v>PLLGNN75M45B352C</v>
      </c>
      <c r="O2624" s="3" t="s">
        <v>2757</v>
      </c>
      <c r="P2624" s="3" t="s">
        <v>36</v>
      </c>
      <c r="Q2624" s="3"/>
      <c r="R2624" s="4">
        <v>45996</v>
      </c>
      <c r="S2624" s="3" t="s">
        <v>37</v>
      </c>
      <c r="T2624" s="3" t="s">
        <v>38</v>
      </c>
      <c r="U2624" s="3" t="s">
        <v>39</v>
      </c>
      <c r="V2624" s="3">
        <v>824.15</v>
      </c>
      <c r="W2624" s="3">
        <v>350.26</v>
      </c>
      <c r="X2624" s="3">
        <v>331.72</v>
      </c>
      <c r="Y2624" s="3">
        <v>142.16999999999999</v>
      </c>
    </row>
    <row r="2625" spans="1:25" ht="60.75" x14ac:dyDescent="0.25">
      <c r="A2625" s="3" t="s">
        <v>26</v>
      </c>
      <c r="B2625" s="3" t="s">
        <v>27</v>
      </c>
      <c r="C2625" s="3" t="s">
        <v>28</v>
      </c>
      <c r="D2625" s="3" t="s">
        <v>50</v>
      </c>
      <c r="E2625" s="3" t="s">
        <v>147</v>
      </c>
      <c r="F2625" s="3" t="s">
        <v>52</v>
      </c>
      <c r="G2625" s="3" t="s">
        <v>147</v>
      </c>
      <c r="H2625" s="3" t="s">
        <v>45</v>
      </c>
      <c r="I2625" s="3">
        <v>2025</v>
      </c>
      <c r="J2625" s="3" t="str">
        <f>CONCATENATE("54820191200")</f>
        <v>54820191200</v>
      </c>
      <c r="K2625" s="3" t="s">
        <v>33</v>
      </c>
      <c r="L2625" s="3"/>
      <c r="M2625" s="3" t="s">
        <v>131</v>
      </c>
      <c r="N2625" s="3" t="str">
        <f>CONCATENATE("GNNNTN50R30L500I")</f>
        <v>GNNNTN50R30L500I</v>
      </c>
      <c r="O2625" s="3" t="s">
        <v>2758</v>
      </c>
      <c r="P2625" s="3" t="s">
        <v>36</v>
      </c>
      <c r="Q2625" s="3"/>
      <c r="R2625" s="4">
        <v>45996</v>
      </c>
      <c r="S2625" s="3" t="s">
        <v>37</v>
      </c>
      <c r="T2625" s="3" t="s">
        <v>38</v>
      </c>
      <c r="U2625" s="3" t="s">
        <v>39</v>
      </c>
      <c r="V2625" s="3">
        <v>160.13</v>
      </c>
      <c r="W2625" s="3">
        <v>68.06</v>
      </c>
      <c r="X2625" s="3">
        <v>64.45</v>
      </c>
      <c r="Y2625" s="3">
        <v>27.62</v>
      </c>
    </row>
    <row r="2626" spans="1:25" ht="60.75" x14ac:dyDescent="0.25">
      <c r="A2626" s="3" t="s">
        <v>26</v>
      </c>
      <c r="B2626" s="3" t="s">
        <v>27</v>
      </c>
      <c r="C2626" s="3" t="s">
        <v>28</v>
      </c>
      <c r="D2626" s="3" t="s">
        <v>50</v>
      </c>
      <c r="E2626" s="3" t="s">
        <v>147</v>
      </c>
      <c r="F2626" s="3" t="s">
        <v>52</v>
      </c>
      <c r="G2626" s="3" t="s">
        <v>147</v>
      </c>
      <c r="H2626" s="3" t="s">
        <v>45</v>
      </c>
      <c r="I2626" s="3">
        <v>2025</v>
      </c>
      <c r="J2626" s="3" t="str">
        <f>CONCATENATE("54820181656")</f>
        <v>54820181656</v>
      </c>
      <c r="K2626" s="3" t="s">
        <v>33</v>
      </c>
      <c r="L2626" s="3"/>
      <c r="M2626" s="3" t="s">
        <v>131</v>
      </c>
      <c r="N2626" s="3" t="str">
        <f>CONCATENATE("QDRMNL66T63F715O")</f>
        <v>QDRMNL66T63F715O</v>
      </c>
      <c r="O2626" s="3" t="s">
        <v>2759</v>
      </c>
      <c r="P2626" s="3" t="s">
        <v>36</v>
      </c>
      <c r="Q2626" s="3"/>
      <c r="R2626" s="4">
        <v>45996</v>
      </c>
      <c r="S2626" s="3" t="s">
        <v>37</v>
      </c>
      <c r="T2626" s="3" t="s">
        <v>38</v>
      </c>
      <c r="U2626" s="3" t="s">
        <v>39</v>
      </c>
      <c r="V2626" s="3">
        <v>110.19</v>
      </c>
      <c r="W2626" s="3">
        <v>46.83</v>
      </c>
      <c r="X2626" s="3">
        <v>44.35</v>
      </c>
      <c r="Y2626" s="3">
        <v>19.010000000000002</v>
      </c>
    </row>
    <row r="2627" spans="1:25" ht="60.75" x14ac:dyDescent="0.25">
      <c r="A2627" s="3" t="s">
        <v>26</v>
      </c>
      <c r="B2627" s="3" t="s">
        <v>27</v>
      </c>
      <c r="C2627" s="3" t="s">
        <v>28</v>
      </c>
      <c r="D2627" s="3" t="s">
        <v>29</v>
      </c>
      <c r="E2627" s="3" t="s">
        <v>56</v>
      </c>
      <c r="F2627" s="3" t="s">
        <v>31</v>
      </c>
      <c r="G2627" s="3" t="s">
        <v>56</v>
      </c>
      <c r="H2627" s="3" t="s">
        <v>32</v>
      </c>
      <c r="I2627" s="3">
        <v>2025</v>
      </c>
      <c r="J2627" s="3" t="str">
        <f>CONCATENATE("54820170162")</f>
        <v>54820170162</v>
      </c>
      <c r="K2627" s="3" t="s">
        <v>33</v>
      </c>
      <c r="L2627" s="3"/>
      <c r="M2627" s="3" t="s">
        <v>131</v>
      </c>
      <c r="N2627" s="3" t="str">
        <f>CONCATENATE("CNTFLC31E04D564W")</f>
        <v>CNTFLC31E04D564W</v>
      </c>
      <c r="O2627" s="3" t="s">
        <v>2760</v>
      </c>
      <c r="P2627" s="3" t="s">
        <v>36</v>
      </c>
      <c r="Q2627" s="3"/>
      <c r="R2627" s="4">
        <v>45996</v>
      </c>
      <c r="S2627" s="3" t="s">
        <v>37</v>
      </c>
      <c r="T2627" s="3" t="s">
        <v>38</v>
      </c>
      <c r="U2627" s="3" t="s">
        <v>39</v>
      </c>
      <c r="V2627" s="3">
        <v>90.72</v>
      </c>
      <c r="W2627" s="3">
        <v>38.56</v>
      </c>
      <c r="X2627" s="3">
        <v>36.51</v>
      </c>
      <c r="Y2627" s="3">
        <v>15.65</v>
      </c>
    </row>
    <row r="2628" spans="1:25" ht="36.75" x14ac:dyDescent="0.25">
      <c r="A2628" s="3" t="s">
        <v>26</v>
      </c>
      <c r="B2628" s="3" t="s">
        <v>27</v>
      </c>
      <c r="C2628" s="3" t="s">
        <v>28</v>
      </c>
      <c r="D2628" s="3" t="s">
        <v>91</v>
      </c>
      <c r="E2628" s="3" t="s">
        <v>151</v>
      </c>
      <c r="F2628" s="3" t="s">
        <v>93</v>
      </c>
      <c r="G2628" s="3" t="s">
        <v>151</v>
      </c>
      <c r="H2628" s="3" t="s">
        <v>45</v>
      </c>
      <c r="I2628" s="3">
        <v>2025</v>
      </c>
      <c r="J2628" s="3" t="str">
        <f>CONCATENATE("54820174909")</f>
        <v>54820174909</v>
      </c>
      <c r="K2628" s="3" t="s">
        <v>33</v>
      </c>
      <c r="L2628" s="3"/>
      <c r="M2628" s="3" t="s">
        <v>131</v>
      </c>
      <c r="N2628" s="3" t="str">
        <f>CONCATENATE("00346350416")</f>
        <v>00346350416</v>
      </c>
      <c r="O2628" s="3" t="s">
        <v>2761</v>
      </c>
      <c r="P2628" s="3" t="s">
        <v>36</v>
      </c>
      <c r="Q2628" s="3"/>
      <c r="R2628" s="4">
        <v>45996</v>
      </c>
      <c r="S2628" s="3" t="s">
        <v>37</v>
      </c>
      <c r="T2628" s="3" t="s">
        <v>38</v>
      </c>
      <c r="U2628" s="3" t="s">
        <v>39</v>
      </c>
      <c r="V2628" s="3">
        <v>606.70000000000005</v>
      </c>
      <c r="W2628" s="3">
        <v>257.85000000000002</v>
      </c>
      <c r="X2628" s="3">
        <v>244.2</v>
      </c>
      <c r="Y2628" s="3">
        <v>104.65</v>
      </c>
    </row>
    <row r="2629" spans="1:25" ht="60.75" x14ac:dyDescent="0.25">
      <c r="A2629" s="3" t="s">
        <v>26</v>
      </c>
      <c r="B2629" s="3" t="s">
        <v>27</v>
      </c>
      <c r="C2629" s="3" t="s">
        <v>28</v>
      </c>
      <c r="D2629" s="3" t="s">
        <v>50</v>
      </c>
      <c r="E2629" s="3" t="s">
        <v>60</v>
      </c>
      <c r="F2629" s="3" t="s">
        <v>52</v>
      </c>
      <c r="G2629" s="3" t="s">
        <v>60</v>
      </c>
      <c r="H2629" s="3" t="s">
        <v>45</v>
      </c>
      <c r="I2629" s="3">
        <v>2025</v>
      </c>
      <c r="J2629" s="3" t="str">
        <f>CONCATENATE("54820189360")</f>
        <v>54820189360</v>
      </c>
      <c r="K2629" s="3" t="s">
        <v>33</v>
      </c>
      <c r="L2629" s="3"/>
      <c r="M2629" s="3" t="s">
        <v>131</v>
      </c>
      <c r="N2629" s="3" t="str">
        <f>CONCATENATE("GZZGTR32M70H958F")</f>
        <v>GZZGTR32M70H958F</v>
      </c>
      <c r="O2629" s="3" t="s">
        <v>2762</v>
      </c>
      <c r="P2629" s="3" t="s">
        <v>36</v>
      </c>
      <c r="Q2629" s="3"/>
      <c r="R2629" s="4">
        <v>45996</v>
      </c>
      <c r="S2629" s="3" t="s">
        <v>37</v>
      </c>
      <c r="T2629" s="3" t="s">
        <v>38</v>
      </c>
      <c r="U2629" s="3" t="s">
        <v>39</v>
      </c>
      <c r="V2629" s="3">
        <v>155.97999999999999</v>
      </c>
      <c r="W2629" s="3">
        <v>66.290000000000006</v>
      </c>
      <c r="X2629" s="3">
        <v>62.78</v>
      </c>
      <c r="Y2629" s="3">
        <v>26.91</v>
      </c>
    </row>
    <row r="2630" spans="1:25" ht="60.75" x14ac:dyDescent="0.25">
      <c r="A2630" s="3" t="s">
        <v>26</v>
      </c>
      <c r="B2630" s="3" t="s">
        <v>27</v>
      </c>
      <c r="C2630" s="3" t="s">
        <v>28</v>
      </c>
      <c r="D2630" s="3" t="s">
        <v>50</v>
      </c>
      <c r="E2630" s="3" t="s">
        <v>367</v>
      </c>
      <c r="F2630" s="3" t="s">
        <v>52</v>
      </c>
      <c r="G2630" s="3" t="s">
        <v>367</v>
      </c>
      <c r="H2630" s="3" t="s">
        <v>32</v>
      </c>
      <c r="I2630" s="3">
        <v>2025</v>
      </c>
      <c r="J2630" s="3" t="str">
        <f>CONCATENATE("54820366935")</f>
        <v>54820366935</v>
      </c>
      <c r="K2630" s="3" t="s">
        <v>33</v>
      </c>
      <c r="L2630" s="3"/>
      <c r="M2630" s="3" t="s">
        <v>131</v>
      </c>
      <c r="N2630" s="3" t="str">
        <f>CONCATENATE("ZCCGPP58B63B474K")</f>
        <v>ZCCGPP58B63B474K</v>
      </c>
      <c r="O2630" s="3" t="s">
        <v>2763</v>
      </c>
      <c r="P2630" s="3" t="s">
        <v>36</v>
      </c>
      <c r="Q2630" s="3"/>
      <c r="R2630" s="4">
        <v>45996</v>
      </c>
      <c r="S2630" s="3" t="s">
        <v>37</v>
      </c>
      <c r="T2630" s="3" t="s">
        <v>38</v>
      </c>
      <c r="U2630" s="3" t="s">
        <v>39</v>
      </c>
      <c r="V2630" s="3">
        <v>95.31</v>
      </c>
      <c r="W2630" s="3">
        <v>40.51</v>
      </c>
      <c r="X2630" s="3">
        <v>38.36</v>
      </c>
      <c r="Y2630" s="3">
        <v>16.440000000000001</v>
      </c>
    </row>
    <row r="2631" spans="1:25" ht="36.75" x14ac:dyDescent="0.25">
      <c r="A2631" s="3" t="s">
        <v>26</v>
      </c>
      <c r="B2631" s="3" t="s">
        <v>27</v>
      </c>
      <c r="C2631" s="3" t="s">
        <v>28</v>
      </c>
      <c r="D2631" s="3" t="s">
        <v>29</v>
      </c>
      <c r="E2631" s="3" t="s">
        <v>208</v>
      </c>
      <c r="F2631" s="3" t="s">
        <v>31</v>
      </c>
      <c r="G2631" s="3" t="s">
        <v>208</v>
      </c>
      <c r="H2631" s="3" t="s">
        <v>45</v>
      </c>
      <c r="I2631" s="3">
        <v>2025</v>
      </c>
      <c r="J2631" s="3" t="str">
        <f>CONCATENATE("54820252770")</f>
        <v>54820252770</v>
      </c>
      <c r="K2631" s="3" t="s">
        <v>33</v>
      </c>
      <c r="L2631" s="3"/>
      <c r="M2631" s="3" t="s">
        <v>131</v>
      </c>
      <c r="N2631" s="3" t="str">
        <f>CONCATENATE("02408390413")</f>
        <v>02408390413</v>
      </c>
      <c r="O2631" s="3" t="s">
        <v>2764</v>
      </c>
      <c r="P2631" s="3" t="s">
        <v>36</v>
      </c>
      <c r="Q2631" s="3"/>
      <c r="R2631" s="4">
        <v>45996</v>
      </c>
      <c r="S2631" s="3" t="s">
        <v>37</v>
      </c>
      <c r="T2631" s="3" t="s">
        <v>38</v>
      </c>
      <c r="U2631" s="3" t="s">
        <v>39</v>
      </c>
      <c r="V2631" s="3">
        <v>231.96</v>
      </c>
      <c r="W2631" s="3">
        <v>98.58</v>
      </c>
      <c r="X2631" s="3">
        <v>93.36</v>
      </c>
      <c r="Y2631" s="3">
        <v>40.020000000000003</v>
      </c>
    </row>
    <row r="2632" spans="1:25" ht="60.75" x14ac:dyDescent="0.25">
      <c r="A2632" s="3" t="s">
        <v>26</v>
      </c>
      <c r="B2632" s="3" t="s">
        <v>27</v>
      </c>
      <c r="C2632" s="3" t="s">
        <v>28</v>
      </c>
      <c r="D2632" s="3" t="s">
        <v>50</v>
      </c>
      <c r="E2632" s="3" t="s">
        <v>147</v>
      </c>
      <c r="F2632" s="3" t="s">
        <v>52</v>
      </c>
      <c r="G2632" s="3" t="s">
        <v>147</v>
      </c>
      <c r="H2632" s="3" t="s">
        <v>45</v>
      </c>
      <c r="I2632" s="3">
        <v>2025</v>
      </c>
      <c r="J2632" s="3" t="str">
        <f>CONCATENATE("54820217864")</f>
        <v>54820217864</v>
      </c>
      <c r="K2632" s="3" t="s">
        <v>33</v>
      </c>
      <c r="L2632" s="3"/>
      <c r="M2632" s="3" t="s">
        <v>131</v>
      </c>
      <c r="N2632" s="3" t="str">
        <f>CONCATENATE("STNLRT62C29Z126U")</f>
        <v>STNLRT62C29Z126U</v>
      </c>
      <c r="O2632" s="3" t="s">
        <v>2765</v>
      </c>
      <c r="P2632" s="3" t="s">
        <v>36</v>
      </c>
      <c r="Q2632" s="3"/>
      <c r="R2632" s="4">
        <v>45996</v>
      </c>
      <c r="S2632" s="3" t="s">
        <v>37</v>
      </c>
      <c r="T2632" s="3" t="s">
        <v>38</v>
      </c>
      <c r="U2632" s="3" t="s">
        <v>39</v>
      </c>
      <c r="V2632" s="3">
        <v>94.32</v>
      </c>
      <c r="W2632" s="3">
        <v>40.090000000000003</v>
      </c>
      <c r="X2632" s="3">
        <v>37.96</v>
      </c>
      <c r="Y2632" s="3">
        <v>16.27</v>
      </c>
    </row>
    <row r="2633" spans="1:25" ht="36.75" x14ac:dyDescent="0.25">
      <c r="A2633" s="3" t="s">
        <v>26</v>
      </c>
      <c r="B2633" s="3" t="s">
        <v>27</v>
      </c>
      <c r="C2633" s="3" t="s">
        <v>28</v>
      </c>
      <c r="D2633" s="3" t="s">
        <v>104</v>
      </c>
      <c r="E2633" s="3" t="s">
        <v>141</v>
      </c>
      <c r="F2633" s="3" t="s">
        <v>104</v>
      </c>
      <c r="G2633" s="3" t="s">
        <v>141</v>
      </c>
      <c r="H2633" s="3" t="s">
        <v>96</v>
      </c>
      <c r="I2633" s="3">
        <v>2025</v>
      </c>
      <c r="J2633" s="3" t="str">
        <f>CONCATENATE("54820280631")</f>
        <v>54820280631</v>
      </c>
      <c r="K2633" s="3" t="s">
        <v>33</v>
      </c>
      <c r="L2633" s="3"/>
      <c r="M2633" s="3" t="s">
        <v>131</v>
      </c>
      <c r="N2633" s="3" t="str">
        <f>CONCATENATE("01994610440")</f>
        <v>01994610440</v>
      </c>
      <c r="O2633" s="3" t="s">
        <v>2766</v>
      </c>
      <c r="P2633" s="3" t="s">
        <v>36</v>
      </c>
      <c r="Q2633" s="3"/>
      <c r="R2633" s="4">
        <v>45996</v>
      </c>
      <c r="S2633" s="3" t="s">
        <v>37</v>
      </c>
      <c r="T2633" s="3" t="s">
        <v>38</v>
      </c>
      <c r="U2633" s="3" t="s">
        <v>39</v>
      </c>
      <c r="V2633" s="3">
        <v>65.849999999999994</v>
      </c>
      <c r="W2633" s="3">
        <v>27.99</v>
      </c>
      <c r="X2633" s="3">
        <v>26.5</v>
      </c>
      <c r="Y2633" s="3">
        <v>11.36</v>
      </c>
    </row>
    <row r="2634" spans="1:25" ht="72.75" x14ac:dyDescent="0.25">
      <c r="A2634" s="3" t="s">
        <v>26</v>
      </c>
      <c r="B2634" s="3" t="s">
        <v>27</v>
      </c>
      <c r="C2634" s="3" t="s">
        <v>28</v>
      </c>
      <c r="D2634" s="3" t="s">
        <v>91</v>
      </c>
      <c r="E2634" s="3" t="s">
        <v>151</v>
      </c>
      <c r="F2634" s="3" t="s">
        <v>93</v>
      </c>
      <c r="G2634" s="3" t="s">
        <v>151</v>
      </c>
      <c r="H2634" s="3" t="s">
        <v>45</v>
      </c>
      <c r="I2634" s="3">
        <v>2025</v>
      </c>
      <c r="J2634" s="3" t="str">
        <f>CONCATENATE("54820206719")</f>
        <v>54820206719</v>
      </c>
      <c r="K2634" s="3" t="s">
        <v>33</v>
      </c>
      <c r="L2634" s="3"/>
      <c r="M2634" s="3" t="s">
        <v>131</v>
      </c>
      <c r="N2634" s="3" t="str">
        <f>CONCATENATE("RBRRRT61D15G453V")</f>
        <v>RBRRRT61D15G453V</v>
      </c>
      <c r="O2634" s="3" t="s">
        <v>2767</v>
      </c>
      <c r="P2634" s="3" t="s">
        <v>36</v>
      </c>
      <c r="Q2634" s="3"/>
      <c r="R2634" s="4">
        <v>45996</v>
      </c>
      <c r="S2634" s="3" t="s">
        <v>37</v>
      </c>
      <c r="T2634" s="3" t="s">
        <v>38</v>
      </c>
      <c r="U2634" s="3" t="s">
        <v>39</v>
      </c>
      <c r="V2634" s="3">
        <v>512.38</v>
      </c>
      <c r="W2634" s="3">
        <v>217.76</v>
      </c>
      <c r="X2634" s="3">
        <v>206.23</v>
      </c>
      <c r="Y2634" s="3">
        <v>88.39</v>
      </c>
    </row>
    <row r="2635" spans="1:25" ht="36.75" x14ac:dyDescent="0.25">
      <c r="A2635" s="3" t="s">
        <v>26</v>
      </c>
      <c r="B2635" s="3" t="s">
        <v>27</v>
      </c>
      <c r="C2635" s="3" t="s">
        <v>28</v>
      </c>
      <c r="D2635" s="3" t="s">
        <v>91</v>
      </c>
      <c r="E2635" s="3" t="s">
        <v>151</v>
      </c>
      <c r="F2635" s="3" t="s">
        <v>93</v>
      </c>
      <c r="G2635" s="3" t="s">
        <v>151</v>
      </c>
      <c r="H2635" s="3" t="s">
        <v>45</v>
      </c>
      <c r="I2635" s="3">
        <v>2025</v>
      </c>
      <c r="J2635" s="3" t="str">
        <f>CONCATENATE("54820278429")</f>
        <v>54820278429</v>
      </c>
      <c r="K2635" s="3" t="s">
        <v>33</v>
      </c>
      <c r="L2635" s="3"/>
      <c r="M2635" s="3" t="s">
        <v>131</v>
      </c>
      <c r="N2635" s="3" t="str">
        <f>CONCATENATE("02785880416")</f>
        <v>02785880416</v>
      </c>
      <c r="O2635" s="3" t="s">
        <v>2768</v>
      </c>
      <c r="P2635" s="3" t="s">
        <v>36</v>
      </c>
      <c r="Q2635" s="3"/>
      <c r="R2635" s="4">
        <v>45996</v>
      </c>
      <c r="S2635" s="3" t="s">
        <v>37</v>
      </c>
      <c r="T2635" s="3" t="s">
        <v>38</v>
      </c>
      <c r="U2635" s="3" t="s">
        <v>39</v>
      </c>
      <c r="V2635" s="3">
        <v>575.29</v>
      </c>
      <c r="W2635" s="3">
        <v>244.5</v>
      </c>
      <c r="X2635" s="3">
        <v>231.55</v>
      </c>
      <c r="Y2635" s="3">
        <v>99.24</v>
      </c>
    </row>
    <row r="2636" spans="1:25" ht="60.75" x14ac:dyDescent="0.25">
      <c r="A2636" s="3" t="s">
        <v>26</v>
      </c>
      <c r="B2636" s="3" t="s">
        <v>27</v>
      </c>
      <c r="C2636" s="3" t="s">
        <v>28</v>
      </c>
      <c r="D2636" s="3" t="s">
        <v>104</v>
      </c>
      <c r="E2636" s="3" t="s">
        <v>141</v>
      </c>
      <c r="F2636" s="3" t="s">
        <v>104</v>
      </c>
      <c r="G2636" s="3" t="s">
        <v>141</v>
      </c>
      <c r="H2636" s="3" t="s">
        <v>96</v>
      </c>
      <c r="I2636" s="3">
        <v>2025</v>
      </c>
      <c r="J2636" s="3" t="str">
        <f>CONCATENATE("54820277421")</f>
        <v>54820277421</v>
      </c>
      <c r="K2636" s="3" t="s">
        <v>33</v>
      </c>
      <c r="L2636" s="3"/>
      <c r="M2636" s="3" t="s">
        <v>131</v>
      </c>
      <c r="N2636" s="3" t="str">
        <f>CONCATENATE("VNTTRS52C46D652T")</f>
        <v>VNTTRS52C46D652T</v>
      </c>
      <c r="O2636" s="3" t="s">
        <v>2769</v>
      </c>
      <c r="P2636" s="3" t="s">
        <v>36</v>
      </c>
      <c r="Q2636" s="3"/>
      <c r="R2636" s="4">
        <v>45996</v>
      </c>
      <c r="S2636" s="3" t="s">
        <v>37</v>
      </c>
      <c r="T2636" s="3" t="s">
        <v>38</v>
      </c>
      <c r="U2636" s="3" t="s">
        <v>39</v>
      </c>
      <c r="V2636" s="3">
        <v>98.87</v>
      </c>
      <c r="W2636" s="3">
        <v>42.02</v>
      </c>
      <c r="X2636" s="3">
        <v>39.799999999999997</v>
      </c>
      <c r="Y2636" s="3">
        <v>17.05</v>
      </c>
    </row>
    <row r="2637" spans="1:25" ht="36.75" x14ac:dyDescent="0.25">
      <c r="A2637" s="3" t="s">
        <v>26</v>
      </c>
      <c r="B2637" s="3" t="s">
        <v>27</v>
      </c>
      <c r="C2637" s="3" t="s">
        <v>28</v>
      </c>
      <c r="D2637" s="3" t="s">
        <v>29</v>
      </c>
      <c r="E2637" s="3" t="s">
        <v>208</v>
      </c>
      <c r="F2637" s="3" t="s">
        <v>31</v>
      </c>
      <c r="G2637" s="3" t="s">
        <v>208</v>
      </c>
      <c r="H2637" s="3" t="s">
        <v>45</v>
      </c>
      <c r="I2637" s="3">
        <v>2025</v>
      </c>
      <c r="J2637" s="3" t="str">
        <f>CONCATENATE("54820268263")</f>
        <v>54820268263</v>
      </c>
      <c r="K2637" s="3" t="s">
        <v>33</v>
      </c>
      <c r="L2637" s="3"/>
      <c r="M2637" s="3" t="s">
        <v>131</v>
      </c>
      <c r="N2637" s="3" t="str">
        <f>CONCATENATE("02276370414")</f>
        <v>02276370414</v>
      </c>
      <c r="O2637" s="3" t="s">
        <v>2770</v>
      </c>
      <c r="P2637" s="3" t="s">
        <v>36</v>
      </c>
      <c r="Q2637" s="3"/>
      <c r="R2637" s="4">
        <v>45996</v>
      </c>
      <c r="S2637" s="3" t="s">
        <v>37</v>
      </c>
      <c r="T2637" s="3" t="s">
        <v>38</v>
      </c>
      <c r="U2637" s="3" t="s">
        <v>39</v>
      </c>
      <c r="V2637" s="3">
        <v>835.24</v>
      </c>
      <c r="W2637" s="3">
        <v>354.98</v>
      </c>
      <c r="X2637" s="3">
        <v>336.18</v>
      </c>
      <c r="Y2637" s="3">
        <v>144.08000000000001</v>
      </c>
    </row>
    <row r="2638" spans="1:25" ht="60.75" x14ac:dyDescent="0.25">
      <c r="A2638" s="3" t="s">
        <v>26</v>
      </c>
      <c r="B2638" s="3" t="s">
        <v>27</v>
      </c>
      <c r="C2638" s="3" t="s">
        <v>28</v>
      </c>
      <c r="D2638" s="3" t="s">
        <v>29</v>
      </c>
      <c r="E2638" s="3" t="s">
        <v>72</v>
      </c>
      <c r="F2638" s="3" t="s">
        <v>31</v>
      </c>
      <c r="G2638" s="3" t="s">
        <v>72</v>
      </c>
      <c r="H2638" s="3" t="s">
        <v>45</v>
      </c>
      <c r="I2638" s="3">
        <v>2025</v>
      </c>
      <c r="J2638" s="3" t="str">
        <f>CONCATENATE("54820209424")</f>
        <v>54820209424</v>
      </c>
      <c r="K2638" s="3" t="s">
        <v>33</v>
      </c>
      <c r="L2638" s="3"/>
      <c r="M2638" s="3" t="s">
        <v>131</v>
      </c>
      <c r="N2638" s="3" t="str">
        <f>CONCATENATE("LMBGGR88P21D488V")</f>
        <v>LMBGGR88P21D488V</v>
      </c>
      <c r="O2638" s="3" t="s">
        <v>2771</v>
      </c>
      <c r="P2638" s="3" t="s">
        <v>36</v>
      </c>
      <c r="Q2638" s="3"/>
      <c r="R2638" s="4">
        <v>45996</v>
      </c>
      <c r="S2638" s="3" t="s">
        <v>37</v>
      </c>
      <c r="T2638" s="3" t="s">
        <v>38</v>
      </c>
      <c r="U2638" s="3" t="s">
        <v>39</v>
      </c>
      <c r="V2638" s="3">
        <v>141.53</v>
      </c>
      <c r="W2638" s="3">
        <v>60.15</v>
      </c>
      <c r="X2638" s="3">
        <v>56.97</v>
      </c>
      <c r="Y2638" s="3">
        <v>24.41</v>
      </c>
    </row>
    <row r="2639" spans="1:25" ht="60.75" x14ac:dyDescent="0.25">
      <c r="A2639" s="3" t="s">
        <v>26</v>
      </c>
      <c r="B2639" s="3" t="s">
        <v>27</v>
      </c>
      <c r="C2639" s="3" t="s">
        <v>28</v>
      </c>
      <c r="D2639" s="3" t="s">
        <v>91</v>
      </c>
      <c r="E2639" s="3" t="s">
        <v>151</v>
      </c>
      <c r="F2639" s="3" t="s">
        <v>93</v>
      </c>
      <c r="G2639" s="3" t="s">
        <v>151</v>
      </c>
      <c r="H2639" s="3" t="s">
        <v>45</v>
      </c>
      <c r="I2639" s="3">
        <v>2025</v>
      </c>
      <c r="J2639" s="3" t="str">
        <f>CONCATENATE("54820214333")</f>
        <v>54820214333</v>
      </c>
      <c r="K2639" s="3" t="s">
        <v>33</v>
      </c>
      <c r="L2639" s="3"/>
      <c r="M2639" s="3" t="s">
        <v>131</v>
      </c>
      <c r="N2639" s="3" t="str">
        <f>CONCATENATE("PLNNGL95C07B352J")</f>
        <v>PLNNGL95C07B352J</v>
      </c>
      <c r="O2639" s="3" t="s">
        <v>2772</v>
      </c>
      <c r="P2639" s="3" t="s">
        <v>36</v>
      </c>
      <c r="Q2639" s="3"/>
      <c r="R2639" s="4">
        <v>45996</v>
      </c>
      <c r="S2639" s="3" t="s">
        <v>37</v>
      </c>
      <c r="T2639" s="3" t="s">
        <v>38</v>
      </c>
      <c r="U2639" s="3" t="s">
        <v>39</v>
      </c>
      <c r="V2639" s="3">
        <v>987.85</v>
      </c>
      <c r="W2639" s="3">
        <v>419.84</v>
      </c>
      <c r="X2639" s="3">
        <v>397.61</v>
      </c>
      <c r="Y2639" s="3">
        <v>170.4</v>
      </c>
    </row>
    <row r="2640" spans="1:25" ht="60.75" x14ac:dyDescent="0.25">
      <c r="A2640" s="3" t="s">
        <v>26</v>
      </c>
      <c r="B2640" s="3" t="s">
        <v>27</v>
      </c>
      <c r="C2640" s="3" t="s">
        <v>28</v>
      </c>
      <c r="D2640" s="3" t="s">
        <v>29</v>
      </c>
      <c r="E2640" s="3" t="s">
        <v>182</v>
      </c>
      <c r="F2640" s="3" t="s">
        <v>31</v>
      </c>
      <c r="G2640" s="3" t="s">
        <v>182</v>
      </c>
      <c r="H2640" s="3" t="s">
        <v>45</v>
      </c>
      <c r="I2640" s="3">
        <v>2025</v>
      </c>
      <c r="J2640" s="3" t="str">
        <f>CONCATENATE("54820235932")</f>
        <v>54820235932</v>
      </c>
      <c r="K2640" s="3" t="s">
        <v>33</v>
      </c>
      <c r="L2640" s="3"/>
      <c r="M2640" s="3" t="s">
        <v>131</v>
      </c>
      <c r="N2640" s="3" t="str">
        <f>CONCATENATE("TBRRRT95T07L500T")</f>
        <v>TBRRRT95T07L500T</v>
      </c>
      <c r="O2640" s="3" t="s">
        <v>2773</v>
      </c>
      <c r="P2640" s="3" t="s">
        <v>36</v>
      </c>
      <c r="Q2640" s="3"/>
      <c r="R2640" s="4">
        <v>45996</v>
      </c>
      <c r="S2640" s="3" t="s">
        <v>37</v>
      </c>
      <c r="T2640" s="3" t="s">
        <v>38</v>
      </c>
      <c r="U2640" s="3" t="s">
        <v>39</v>
      </c>
      <c r="V2640" s="3">
        <v>677.8</v>
      </c>
      <c r="W2640" s="3">
        <v>288.07</v>
      </c>
      <c r="X2640" s="3">
        <v>272.81</v>
      </c>
      <c r="Y2640" s="3">
        <v>116.92</v>
      </c>
    </row>
    <row r="2641" spans="1:25" ht="60.75" x14ac:dyDescent="0.25">
      <c r="A2641" s="3" t="s">
        <v>26</v>
      </c>
      <c r="B2641" s="3" t="s">
        <v>27</v>
      </c>
      <c r="C2641" s="3" t="s">
        <v>28</v>
      </c>
      <c r="D2641" s="3" t="s">
        <v>29</v>
      </c>
      <c r="E2641" s="3" t="s">
        <v>56</v>
      </c>
      <c r="F2641" s="3" t="s">
        <v>31</v>
      </c>
      <c r="G2641" s="3" t="s">
        <v>56</v>
      </c>
      <c r="H2641" s="3" t="s">
        <v>32</v>
      </c>
      <c r="I2641" s="3">
        <v>2025</v>
      </c>
      <c r="J2641" s="3" t="str">
        <f>CONCATENATE("54820268594")</f>
        <v>54820268594</v>
      </c>
      <c r="K2641" s="3" t="s">
        <v>33</v>
      </c>
      <c r="L2641" s="3"/>
      <c r="M2641" s="3" t="s">
        <v>131</v>
      </c>
      <c r="N2641" s="3" t="str">
        <f>CONCATENATE("SLVLCU88H23B474S")</f>
        <v>SLVLCU88H23B474S</v>
      </c>
      <c r="O2641" s="3" t="s">
        <v>196</v>
      </c>
      <c r="P2641" s="3" t="s">
        <v>36</v>
      </c>
      <c r="Q2641" s="3"/>
      <c r="R2641" s="4">
        <v>45996</v>
      </c>
      <c r="S2641" s="3" t="s">
        <v>37</v>
      </c>
      <c r="T2641" s="3" t="s">
        <v>38</v>
      </c>
      <c r="U2641" s="3" t="s">
        <v>39</v>
      </c>
      <c r="V2641" s="5">
        <v>1106.81</v>
      </c>
      <c r="W2641" s="3">
        <v>470.39</v>
      </c>
      <c r="X2641" s="3">
        <v>445.49</v>
      </c>
      <c r="Y2641" s="3">
        <v>190.93</v>
      </c>
    </row>
    <row r="2642" spans="1:25" ht="36.75" x14ac:dyDescent="0.25">
      <c r="A2642" s="3" t="s">
        <v>26</v>
      </c>
      <c r="B2642" s="3" t="s">
        <v>27</v>
      </c>
      <c r="C2642" s="3" t="s">
        <v>28</v>
      </c>
      <c r="D2642" s="3" t="s">
        <v>29</v>
      </c>
      <c r="E2642" s="3" t="s">
        <v>30</v>
      </c>
      <c r="F2642" s="3" t="s">
        <v>31</v>
      </c>
      <c r="G2642" s="3" t="s">
        <v>30</v>
      </c>
      <c r="H2642" s="3" t="s">
        <v>32</v>
      </c>
      <c r="I2642" s="3">
        <v>2025</v>
      </c>
      <c r="J2642" s="3" t="str">
        <f>CONCATENATE("54820286075")</f>
        <v>54820286075</v>
      </c>
      <c r="K2642" s="3" t="s">
        <v>33</v>
      </c>
      <c r="L2642" s="3"/>
      <c r="M2642" s="3" t="s">
        <v>131</v>
      </c>
      <c r="N2642" s="3" t="str">
        <f>CONCATENATE("02054690439")</f>
        <v>02054690439</v>
      </c>
      <c r="O2642" s="3" t="s">
        <v>35</v>
      </c>
      <c r="P2642" s="3" t="s">
        <v>36</v>
      </c>
      <c r="Q2642" s="3"/>
      <c r="R2642" s="4">
        <v>45996</v>
      </c>
      <c r="S2642" s="3" t="s">
        <v>37</v>
      </c>
      <c r="T2642" s="3" t="s">
        <v>38</v>
      </c>
      <c r="U2642" s="3" t="s">
        <v>39</v>
      </c>
      <c r="V2642" s="5">
        <v>8437.5</v>
      </c>
      <c r="W2642" s="5">
        <v>3585.94</v>
      </c>
      <c r="X2642" s="5">
        <v>3396.09</v>
      </c>
      <c r="Y2642" s="5">
        <v>1455.47</v>
      </c>
    </row>
    <row r="2643" spans="1:25" ht="60.75" x14ac:dyDescent="0.25">
      <c r="A2643" s="3" t="s">
        <v>26</v>
      </c>
      <c r="B2643" s="3" t="s">
        <v>27</v>
      </c>
      <c r="C2643" s="3" t="s">
        <v>28</v>
      </c>
      <c r="D2643" s="3" t="s">
        <v>40</v>
      </c>
      <c r="E2643" s="3" t="s">
        <v>496</v>
      </c>
      <c r="F2643" s="3" t="s">
        <v>42</v>
      </c>
      <c r="G2643" s="3" t="s">
        <v>496</v>
      </c>
      <c r="H2643" s="3" t="s">
        <v>32</v>
      </c>
      <c r="I2643" s="3">
        <v>2025</v>
      </c>
      <c r="J2643" s="3" t="str">
        <f>CONCATENATE("54820271671")</f>
        <v>54820271671</v>
      </c>
      <c r="K2643" s="3" t="s">
        <v>33</v>
      </c>
      <c r="L2643" s="3"/>
      <c r="M2643" s="3" t="s">
        <v>131</v>
      </c>
      <c r="N2643" s="3" t="str">
        <f>CONCATENATE("RTNFNC83R25I156R")</f>
        <v>RTNFNC83R25I156R</v>
      </c>
      <c r="O2643" s="3" t="s">
        <v>2774</v>
      </c>
      <c r="P2643" s="3" t="s">
        <v>36</v>
      </c>
      <c r="Q2643" s="3"/>
      <c r="R2643" s="4">
        <v>45996</v>
      </c>
      <c r="S2643" s="3" t="s">
        <v>37</v>
      </c>
      <c r="T2643" s="3" t="s">
        <v>38</v>
      </c>
      <c r="U2643" s="3" t="s">
        <v>39</v>
      </c>
      <c r="V2643" s="3">
        <v>463.87</v>
      </c>
      <c r="W2643" s="3">
        <v>197.14</v>
      </c>
      <c r="X2643" s="3">
        <v>186.71</v>
      </c>
      <c r="Y2643" s="3">
        <v>80.02</v>
      </c>
    </row>
    <row r="2644" spans="1:25" ht="60.75" x14ac:dyDescent="0.25">
      <c r="A2644" s="3" t="s">
        <v>26</v>
      </c>
      <c r="B2644" s="3" t="s">
        <v>27</v>
      </c>
      <c r="C2644" s="3" t="s">
        <v>28</v>
      </c>
      <c r="D2644" s="3" t="s">
        <v>29</v>
      </c>
      <c r="E2644" s="3" t="s">
        <v>119</v>
      </c>
      <c r="F2644" s="3" t="s">
        <v>31</v>
      </c>
      <c r="G2644" s="3" t="s">
        <v>119</v>
      </c>
      <c r="H2644" s="3" t="s">
        <v>96</v>
      </c>
      <c r="I2644" s="3">
        <v>2025</v>
      </c>
      <c r="J2644" s="3" t="str">
        <f>CONCATENATE("54820108345")</f>
        <v>54820108345</v>
      </c>
      <c r="K2644" s="3" t="s">
        <v>33</v>
      </c>
      <c r="L2644" s="3"/>
      <c r="M2644" s="3" t="s">
        <v>131</v>
      </c>
      <c r="N2644" s="3" t="str">
        <f>CONCATENATE("BRMDNC67E09A252X")</f>
        <v>BRMDNC67E09A252X</v>
      </c>
      <c r="O2644" s="3" t="s">
        <v>2775</v>
      </c>
      <c r="P2644" s="3" t="s">
        <v>36</v>
      </c>
      <c r="Q2644" s="3"/>
      <c r="R2644" s="4">
        <v>45996</v>
      </c>
      <c r="S2644" s="3" t="s">
        <v>37</v>
      </c>
      <c r="T2644" s="3" t="s">
        <v>38</v>
      </c>
      <c r="U2644" s="3" t="s">
        <v>39</v>
      </c>
      <c r="V2644" s="3">
        <v>70.56</v>
      </c>
      <c r="W2644" s="3">
        <v>29.99</v>
      </c>
      <c r="X2644" s="3">
        <v>28.4</v>
      </c>
      <c r="Y2644" s="3">
        <v>12.17</v>
      </c>
    </row>
    <row r="2645" spans="1:25" ht="60.75" x14ac:dyDescent="0.25">
      <c r="A2645" s="3" t="s">
        <v>26</v>
      </c>
      <c r="B2645" s="3" t="s">
        <v>27</v>
      </c>
      <c r="C2645" s="3" t="s">
        <v>28</v>
      </c>
      <c r="D2645" s="3" t="s">
        <v>29</v>
      </c>
      <c r="E2645" s="3" t="s">
        <v>228</v>
      </c>
      <c r="F2645" s="3" t="s">
        <v>31</v>
      </c>
      <c r="G2645" s="3" t="s">
        <v>228</v>
      </c>
      <c r="H2645" s="3" t="s">
        <v>45</v>
      </c>
      <c r="I2645" s="3">
        <v>2025</v>
      </c>
      <c r="J2645" s="3" t="str">
        <f>CONCATENATE("54820089388")</f>
        <v>54820089388</v>
      </c>
      <c r="K2645" s="3" t="s">
        <v>33</v>
      </c>
      <c r="L2645" s="3"/>
      <c r="M2645" s="3" t="s">
        <v>131</v>
      </c>
      <c r="N2645" s="3" t="str">
        <f>CONCATENATE("RMTJTH95E31D488L")</f>
        <v>RMTJTH95E31D488L</v>
      </c>
      <c r="O2645" s="3" t="s">
        <v>2776</v>
      </c>
      <c r="P2645" s="3" t="s">
        <v>36</v>
      </c>
      <c r="Q2645" s="3"/>
      <c r="R2645" s="4">
        <v>45996</v>
      </c>
      <c r="S2645" s="3" t="s">
        <v>37</v>
      </c>
      <c r="T2645" s="3" t="s">
        <v>38</v>
      </c>
      <c r="U2645" s="3" t="s">
        <v>39</v>
      </c>
      <c r="V2645" s="3">
        <v>370.11</v>
      </c>
      <c r="W2645" s="3">
        <v>157.30000000000001</v>
      </c>
      <c r="X2645" s="3">
        <v>148.97</v>
      </c>
      <c r="Y2645" s="3">
        <v>63.84</v>
      </c>
    </row>
    <row r="2646" spans="1:25" ht="60.75" x14ac:dyDescent="0.25">
      <c r="A2646" s="3" t="s">
        <v>26</v>
      </c>
      <c r="B2646" s="3" t="s">
        <v>27</v>
      </c>
      <c r="C2646" s="3" t="s">
        <v>28</v>
      </c>
      <c r="D2646" s="3" t="s">
        <v>50</v>
      </c>
      <c r="E2646" s="3" t="s">
        <v>147</v>
      </c>
      <c r="F2646" s="3" t="s">
        <v>52</v>
      </c>
      <c r="G2646" s="3" t="s">
        <v>147</v>
      </c>
      <c r="H2646" s="3" t="s">
        <v>45</v>
      </c>
      <c r="I2646" s="3">
        <v>2025</v>
      </c>
      <c r="J2646" s="3" t="str">
        <f>CONCATENATE("54820151618")</f>
        <v>54820151618</v>
      </c>
      <c r="K2646" s="3" t="s">
        <v>33</v>
      </c>
      <c r="L2646" s="3"/>
      <c r="M2646" s="3" t="s">
        <v>131</v>
      </c>
      <c r="N2646" s="3" t="str">
        <f>CONCATENATE("PGGGZL58B49L078S")</f>
        <v>PGGGZL58B49L078S</v>
      </c>
      <c r="O2646" s="3" t="s">
        <v>2777</v>
      </c>
      <c r="P2646" s="3" t="s">
        <v>36</v>
      </c>
      <c r="Q2646" s="3"/>
      <c r="R2646" s="4">
        <v>45996</v>
      </c>
      <c r="S2646" s="3" t="s">
        <v>37</v>
      </c>
      <c r="T2646" s="3" t="s">
        <v>38</v>
      </c>
      <c r="U2646" s="3" t="s">
        <v>39</v>
      </c>
      <c r="V2646" s="3">
        <v>49.02</v>
      </c>
      <c r="W2646" s="3">
        <v>20.83</v>
      </c>
      <c r="X2646" s="3">
        <v>19.73</v>
      </c>
      <c r="Y2646" s="3">
        <v>8.4600000000000009</v>
      </c>
    </row>
    <row r="2647" spans="1:25" ht="60.75" x14ac:dyDescent="0.25">
      <c r="A2647" s="3" t="s">
        <v>26</v>
      </c>
      <c r="B2647" s="3" t="s">
        <v>27</v>
      </c>
      <c r="C2647" s="3" t="s">
        <v>28</v>
      </c>
      <c r="D2647" s="3" t="s">
        <v>29</v>
      </c>
      <c r="E2647" s="3" t="s">
        <v>119</v>
      </c>
      <c r="F2647" s="3" t="s">
        <v>31</v>
      </c>
      <c r="G2647" s="3" t="s">
        <v>119</v>
      </c>
      <c r="H2647" s="3" t="s">
        <v>96</v>
      </c>
      <c r="I2647" s="3">
        <v>2025</v>
      </c>
      <c r="J2647" s="3" t="str">
        <f>CONCATENATE("54820089792")</f>
        <v>54820089792</v>
      </c>
      <c r="K2647" s="3" t="s">
        <v>33</v>
      </c>
      <c r="L2647" s="3"/>
      <c r="M2647" s="3" t="s">
        <v>131</v>
      </c>
      <c r="N2647" s="3" t="str">
        <f>CONCATENATE("FCCFNC47B18D691G")</f>
        <v>FCCFNC47B18D691G</v>
      </c>
      <c r="O2647" s="3" t="s">
        <v>2778</v>
      </c>
      <c r="P2647" s="3" t="s">
        <v>36</v>
      </c>
      <c r="Q2647" s="3"/>
      <c r="R2647" s="4">
        <v>45996</v>
      </c>
      <c r="S2647" s="3" t="s">
        <v>37</v>
      </c>
      <c r="T2647" s="3" t="s">
        <v>38</v>
      </c>
      <c r="U2647" s="3" t="s">
        <v>39</v>
      </c>
      <c r="V2647" s="3">
        <v>300.45999999999998</v>
      </c>
      <c r="W2647" s="3">
        <v>127.7</v>
      </c>
      <c r="X2647" s="3">
        <v>120.94</v>
      </c>
      <c r="Y2647" s="3">
        <v>51.82</v>
      </c>
    </row>
    <row r="2648" spans="1:25" ht="60.75" x14ac:dyDescent="0.25">
      <c r="A2648" s="3" t="s">
        <v>26</v>
      </c>
      <c r="B2648" s="3" t="s">
        <v>27</v>
      </c>
      <c r="C2648" s="3" t="s">
        <v>28</v>
      </c>
      <c r="D2648" s="3" t="s">
        <v>29</v>
      </c>
      <c r="E2648" s="3" t="s">
        <v>182</v>
      </c>
      <c r="F2648" s="3" t="s">
        <v>31</v>
      </c>
      <c r="G2648" s="3" t="s">
        <v>182</v>
      </c>
      <c r="H2648" s="3" t="s">
        <v>45</v>
      </c>
      <c r="I2648" s="3">
        <v>2025</v>
      </c>
      <c r="J2648" s="3" t="str">
        <f>CONCATENATE("54820073184")</f>
        <v>54820073184</v>
      </c>
      <c r="K2648" s="3" t="s">
        <v>33</v>
      </c>
      <c r="L2648" s="3"/>
      <c r="M2648" s="3" t="s">
        <v>131</v>
      </c>
      <c r="N2648" s="3" t="str">
        <f>CONCATENATE("BNDMNL54S25L500C")</f>
        <v>BNDMNL54S25L500C</v>
      </c>
      <c r="O2648" s="3" t="s">
        <v>2779</v>
      </c>
      <c r="P2648" s="3" t="s">
        <v>36</v>
      </c>
      <c r="Q2648" s="3"/>
      <c r="R2648" s="4">
        <v>45996</v>
      </c>
      <c r="S2648" s="3" t="s">
        <v>37</v>
      </c>
      <c r="T2648" s="3" t="s">
        <v>38</v>
      </c>
      <c r="U2648" s="3" t="s">
        <v>39</v>
      </c>
      <c r="V2648" s="3">
        <v>176.29</v>
      </c>
      <c r="W2648" s="3">
        <v>74.92</v>
      </c>
      <c r="X2648" s="3">
        <v>70.959999999999994</v>
      </c>
      <c r="Y2648" s="3">
        <v>30.41</v>
      </c>
    </row>
    <row r="2649" spans="1:25" ht="60.75" x14ac:dyDescent="0.25">
      <c r="A2649" s="3" t="s">
        <v>26</v>
      </c>
      <c r="B2649" s="3" t="s">
        <v>27</v>
      </c>
      <c r="C2649" s="3" t="s">
        <v>28</v>
      </c>
      <c r="D2649" s="3" t="s">
        <v>91</v>
      </c>
      <c r="E2649" s="3" t="s">
        <v>151</v>
      </c>
      <c r="F2649" s="3" t="s">
        <v>93</v>
      </c>
      <c r="G2649" s="3" t="s">
        <v>151</v>
      </c>
      <c r="H2649" s="3" t="s">
        <v>45</v>
      </c>
      <c r="I2649" s="3">
        <v>2025</v>
      </c>
      <c r="J2649" s="3" t="str">
        <f>CONCATENATE("54820103064")</f>
        <v>54820103064</v>
      </c>
      <c r="K2649" s="3" t="s">
        <v>33</v>
      </c>
      <c r="L2649" s="3"/>
      <c r="M2649" s="3" t="s">
        <v>131</v>
      </c>
      <c r="N2649" s="3" t="str">
        <f>CONCATENATE("GRLMRP57C66E743T")</f>
        <v>GRLMRP57C66E743T</v>
      </c>
      <c r="O2649" s="3" t="s">
        <v>2780</v>
      </c>
      <c r="P2649" s="3" t="s">
        <v>36</v>
      </c>
      <c r="Q2649" s="3"/>
      <c r="R2649" s="4">
        <v>45996</v>
      </c>
      <c r="S2649" s="3" t="s">
        <v>37</v>
      </c>
      <c r="T2649" s="3" t="s">
        <v>38</v>
      </c>
      <c r="U2649" s="3" t="s">
        <v>39</v>
      </c>
      <c r="V2649" s="3">
        <v>790.5</v>
      </c>
      <c r="W2649" s="3">
        <v>335.96</v>
      </c>
      <c r="X2649" s="3">
        <v>318.18</v>
      </c>
      <c r="Y2649" s="3">
        <v>136.36000000000001</v>
      </c>
    </row>
    <row r="2650" spans="1:25" ht="60.75" x14ac:dyDescent="0.25">
      <c r="A2650" s="3" t="s">
        <v>26</v>
      </c>
      <c r="B2650" s="3" t="s">
        <v>27</v>
      </c>
      <c r="C2650" s="3" t="s">
        <v>28</v>
      </c>
      <c r="D2650" s="3" t="s">
        <v>50</v>
      </c>
      <c r="E2650" s="3" t="s">
        <v>173</v>
      </c>
      <c r="F2650" s="3" t="s">
        <v>52</v>
      </c>
      <c r="G2650" s="3" t="s">
        <v>173</v>
      </c>
      <c r="H2650" s="3" t="s">
        <v>45</v>
      </c>
      <c r="I2650" s="3">
        <v>2025</v>
      </c>
      <c r="J2650" s="3" t="str">
        <f>CONCATENATE("54820101803")</f>
        <v>54820101803</v>
      </c>
      <c r="K2650" s="3" t="s">
        <v>33</v>
      </c>
      <c r="L2650" s="3"/>
      <c r="M2650" s="3" t="s">
        <v>131</v>
      </c>
      <c r="N2650" s="3" t="str">
        <f>CONCATENATE("CCCGNN55S28I459P")</f>
        <v>CCCGNN55S28I459P</v>
      </c>
      <c r="O2650" s="3" t="s">
        <v>2781</v>
      </c>
      <c r="P2650" s="3" t="s">
        <v>36</v>
      </c>
      <c r="Q2650" s="3"/>
      <c r="R2650" s="4">
        <v>45996</v>
      </c>
      <c r="S2650" s="3" t="s">
        <v>37</v>
      </c>
      <c r="T2650" s="3" t="s">
        <v>38</v>
      </c>
      <c r="U2650" s="3" t="s">
        <v>39</v>
      </c>
      <c r="V2650" s="3">
        <v>157.5</v>
      </c>
      <c r="W2650" s="3">
        <v>66.94</v>
      </c>
      <c r="X2650" s="3">
        <v>63.39</v>
      </c>
      <c r="Y2650" s="3">
        <v>27.17</v>
      </c>
    </row>
    <row r="2651" spans="1:25" ht="36.75" x14ac:dyDescent="0.25">
      <c r="A2651" s="3" t="s">
        <v>26</v>
      </c>
      <c r="B2651" s="3" t="s">
        <v>27</v>
      </c>
      <c r="C2651" s="3" t="s">
        <v>28</v>
      </c>
      <c r="D2651" s="3" t="s">
        <v>40</v>
      </c>
      <c r="E2651" s="3" t="s">
        <v>99</v>
      </c>
      <c r="F2651" s="3" t="s">
        <v>42</v>
      </c>
      <c r="G2651" s="3" t="s">
        <v>99</v>
      </c>
      <c r="H2651" s="3" t="s">
        <v>32</v>
      </c>
      <c r="I2651" s="3">
        <v>2025</v>
      </c>
      <c r="J2651" s="3" t="str">
        <f>CONCATENATE("54820166376")</f>
        <v>54820166376</v>
      </c>
      <c r="K2651" s="3" t="s">
        <v>33</v>
      </c>
      <c r="L2651" s="3"/>
      <c r="M2651" s="3" t="s">
        <v>131</v>
      </c>
      <c r="N2651" s="3" t="str">
        <f>CONCATENATE("02126960430")</f>
        <v>02126960430</v>
      </c>
      <c r="O2651" s="3" t="s">
        <v>2782</v>
      </c>
      <c r="P2651" s="3" t="s">
        <v>36</v>
      </c>
      <c r="Q2651" s="3"/>
      <c r="R2651" s="4">
        <v>45996</v>
      </c>
      <c r="S2651" s="3" t="s">
        <v>37</v>
      </c>
      <c r="T2651" s="3" t="s">
        <v>38</v>
      </c>
      <c r="U2651" s="3" t="s">
        <v>39</v>
      </c>
      <c r="V2651" s="3">
        <v>599.52</v>
      </c>
      <c r="W2651" s="3">
        <v>254.8</v>
      </c>
      <c r="X2651" s="3">
        <v>241.31</v>
      </c>
      <c r="Y2651" s="3">
        <v>103.41</v>
      </c>
    </row>
    <row r="2652" spans="1:25" ht="36.75" x14ac:dyDescent="0.25">
      <c r="A2652" s="3" t="s">
        <v>26</v>
      </c>
      <c r="B2652" s="3" t="s">
        <v>27</v>
      </c>
      <c r="C2652" s="3" t="s">
        <v>28</v>
      </c>
      <c r="D2652" s="3" t="s">
        <v>29</v>
      </c>
      <c r="E2652" s="3" t="s">
        <v>80</v>
      </c>
      <c r="F2652" s="3" t="s">
        <v>31</v>
      </c>
      <c r="G2652" s="3" t="s">
        <v>80</v>
      </c>
      <c r="H2652" s="3" t="s">
        <v>45</v>
      </c>
      <c r="I2652" s="3">
        <v>2025</v>
      </c>
      <c r="J2652" s="3" t="str">
        <f>CONCATENATE("54820107693")</f>
        <v>54820107693</v>
      </c>
      <c r="K2652" s="3" t="s">
        <v>33</v>
      </c>
      <c r="L2652" s="3"/>
      <c r="M2652" s="3" t="s">
        <v>131</v>
      </c>
      <c r="N2652" s="3" t="str">
        <f>CONCATENATE("01394890410")</f>
        <v>01394890410</v>
      </c>
      <c r="O2652" s="3" t="s">
        <v>2783</v>
      </c>
      <c r="P2652" s="3" t="s">
        <v>36</v>
      </c>
      <c r="Q2652" s="3"/>
      <c r="R2652" s="4">
        <v>45996</v>
      </c>
      <c r="S2652" s="3" t="s">
        <v>37</v>
      </c>
      <c r="T2652" s="3" t="s">
        <v>38</v>
      </c>
      <c r="U2652" s="3" t="s">
        <v>39</v>
      </c>
      <c r="V2652" s="3">
        <v>942.7</v>
      </c>
      <c r="W2652" s="3">
        <v>400.65</v>
      </c>
      <c r="X2652" s="3">
        <v>379.44</v>
      </c>
      <c r="Y2652" s="3">
        <v>162.61000000000001</v>
      </c>
    </row>
    <row r="2653" spans="1:25" ht="60.75" x14ac:dyDescent="0.25">
      <c r="A2653" s="3" t="s">
        <v>26</v>
      </c>
      <c r="B2653" s="3" t="s">
        <v>27</v>
      </c>
      <c r="C2653" s="3" t="s">
        <v>28</v>
      </c>
      <c r="D2653" s="3" t="s">
        <v>29</v>
      </c>
      <c r="E2653" s="3" t="s">
        <v>136</v>
      </c>
      <c r="F2653" s="3" t="s">
        <v>31</v>
      </c>
      <c r="G2653" s="3" t="s">
        <v>136</v>
      </c>
      <c r="H2653" s="3" t="s">
        <v>48</v>
      </c>
      <c r="I2653" s="3">
        <v>2025</v>
      </c>
      <c r="J2653" s="3" t="str">
        <f>CONCATENATE("54820141239")</f>
        <v>54820141239</v>
      </c>
      <c r="K2653" s="3" t="s">
        <v>33</v>
      </c>
      <c r="L2653" s="3"/>
      <c r="M2653" s="3" t="s">
        <v>131</v>
      </c>
      <c r="N2653" s="3" t="str">
        <f>CONCATENATE("PSSGNE60R09I461A")</f>
        <v>PSSGNE60R09I461A</v>
      </c>
      <c r="O2653" s="3" t="s">
        <v>2784</v>
      </c>
      <c r="P2653" s="3" t="s">
        <v>36</v>
      </c>
      <c r="Q2653" s="3"/>
      <c r="R2653" s="4">
        <v>45996</v>
      </c>
      <c r="S2653" s="3" t="s">
        <v>37</v>
      </c>
      <c r="T2653" s="3" t="s">
        <v>38</v>
      </c>
      <c r="U2653" s="3" t="s">
        <v>39</v>
      </c>
      <c r="V2653" s="3">
        <v>699.24</v>
      </c>
      <c r="W2653" s="3">
        <v>297.18</v>
      </c>
      <c r="X2653" s="3">
        <v>281.44</v>
      </c>
      <c r="Y2653" s="3">
        <v>120.62</v>
      </c>
    </row>
    <row r="2654" spans="1:25" ht="60.75" x14ac:dyDescent="0.25">
      <c r="A2654" s="3" t="s">
        <v>26</v>
      </c>
      <c r="B2654" s="3" t="s">
        <v>27</v>
      </c>
      <c r="C2654" s="3" t="s">
        <v>28</v>
      </c>
      <c r="D2654" s="3" t="s">
        <v>29</v>
      </c>
      <c r="E2654" s="3" t="s">
        <v>233</v>
      </c>
      <c r="F2654" s="3" t="s">
        <v>31</v>
      </c>
      <c r="G2654" s="3" t="s">
        <v>233</v>
      </c>
      <c r="H2654" s="3" t="s">
        <v>96</v>
      </c>
      <c r="I2654" s="3">
        <v>2025</v>
      </c>
      <c r="J2654" s="3" t="str">
        <f>CONCATENATE("54820068150")</f>
        <v>54820068150</v>
      </c>
      <c r="K2654" s="3" t="s">
        <v>33</v>
      </c>
      <c r="L2654" s="3"/>
      <c r="M2654" s="3" t="s">
        <v>131</v>
      </c>
      <c r="N2654" s="3" t="str">
        <f>CONCATENATE("PLCLRA50T12A044H")</f>
        <v>PLCLRA50T12A044H</v>
      </c>
      <c r="O2654" s="3" t="s">
        <v>2785</v>
      </c>
      <c r="P2654" s="3" t="s">
        <v>36</v>
      </c>
      <c r="Q2654" s="3"/>
      <c r="R2654" s="4">
        <v>45996</v>
      </c>
      <c r="S2654" s="3" t="s">
        <v>37</v>
      </c>
      <c r="T2654" s="3" t="s">
        <v>38</v>
      </c>
      <c r="U2654" s="3" t="s">
        <v>39</v>
      </c>
      <c r="V2654" s="3">
        <v>253.43</v>
      </c>
      <c r="W2654" s="3">
        <v>107.71</v>
      </c>
      <c r="X2654" s="3">
        <v>102.01</v>
      </c>
      <c r="Y2654" s="3">
        <v>43.71</v>
      </c>
    </row>
    <row r="2655" spans="1:25" ht="60.75" x14ac:dyDescent="0.25">
      <c r="A2655" s="3" t="s">
        <v>26</v>
      </c>
      <c r="B2655" s="3" t="s">
        <v>27</v>
      </c>
      <c r="C2655" s="3" t="s">
        <v>28</v>
      </c>
      <c r="D2655" s="3" t="s">
        <v>29</v>
      </c>
      <c r="E2655" s="3" t="s">
        <v>136</v>
      </c>
      <c r="F2655" s="3" t="s">
        <v>31</v>
      </c>
      <c r="G2655" s="3" t="s">
        <v>136</v>
      </c>
      <c r="H2655" s="3" t="s">
        <v>48</v>
      </c>
      <c r="I2655" s="3">
        <v>2025</v>
      </c>
      <c r="J2655" s="3" t="str">
        <f>CONCATENATE("54820116538")</f>
        <v>54820116538</v>
      </c>
      <c r="K2655" s="3" t="s">
        <v>33</v>
      </c>
      <c r="L2655" s="3"/>
      <c r="M2655" s="3" t="s">
        <v>131</v>
      </c>
      <c r="N2655" s="3" t="str">
        <f>CONCATENATE("MSCMRC81C10I608C")</f>
        <v>MSCMRC81C10I608C</v>
      </c>
      <c r="O2655" s="3" t="s">
        <v>2786</v>
      </c>
      <c r="P2655" s="3" t="s">
        <v>36</v>
      </c>
      <c r="Q2655" s="3"/>
      <c r="R2655" s="4">
        <v>45996</v>
      </c>
      <c r="S2655" s="3" t="s">
        <v>37</v>
      </c>
      <c r="T2655" s="3" t="s">
        <v>38</v>
      </c>
      <c r="U2655" s="3" t="s">
        <v>39</v>
      </c>
      <c r="V2655" s="3">
        <v>342.18</v>
      </c>
      <c r="W2655" s="3">
        <v>145.43</v>
      </c>
      <c r="X2655" s="3">
        <v>137.72999999999999</v>
      </c>
      <c r="Y2655" s="3">
        <v>59.02</v>
      </c>
    </row>
    <row r="2656" spans="1:25" ht="72.75" x14ac:dyDescent="0.25">
      <c r="A2656" s="3" t="s">
        <v>26</v>
      </c>
      <c r="B2656" s="3" t="s">
        <v>27</v>
      </c>
      <c r="C2656" s="3" t="s">
        <v>28</v>
      </c>
      <c r="D2656" s="3" t="s">
        <v>29</v>
      </c>
      <c r="E2656" s="3" t="s">
        <v>119</v>
      </c>
      <c r="F2656" s="3" t="s">
        <v>31</v>
      </c>
      <c r="G2656" s="3" t="s">
        <v>119</v>
      </c>
      <c r="H2656" s="3" t="s">
        <v>96</v>
      </c>
      <c r="I2656" s="3">
        <v>2025</v>
      </c>
      <c r="J2656" s="3" t="str">
        <f>CONCATENATE("54820075171")</f>
        <v>54820075171</v>
      </c>
      <c r="K2656" s="3" t="s">
        <v>33</v>
      </c>
      <c r="L2656" s="3"/>
      <c r="M2656" s="3" t="s">
        <v>131</v>
      </c>
      <c r="N2656" s="3" t="str">
        <f>CONCATENATE("GMPSMN76D10A252W")</f>
        <v>GMPSMN76D10A252W</v>
      </c>
      <c r="O2656" s="3" t="s">
        <v>2787</v>
      </c>
      <c r="P2656" s="3" t="s">
        <v>36</v>
      </c>
      <c r="Q2656" s="3"/>
      <c r="R2656" s="4">
        <v>45996</v>
      </c>
      <c r="S2656" s="3" t="s">
        <v>37</v>
      </c>
      <c r="T2656" s="3" t="s">
        <v>38</v>
      </c>
      <c r="U2656" s="3" t="s">
        <v>39</v>
      </c>
      <c r="V2656" s="3">
        <v>78.58</v>
      </c>
      <c r="W2656" s="3">
        <v>33.4</v>
      </c>
      <c r="X2656" s="3">
        <v>31.63</v>
      </c>
      <c r="Y2656" s="3">
        <v>13.55</v>
      </c>
    </row>
    <row r="2657" spans="1:25" ht="36.75" x14ac:dyDescent="0.25">
      <c r="A2657" s="3" t="s">
        <v>26</v>
      </c>
      <c r="B2657" s="3" t="s">
        <v>27</v>
      </c>
      <c r="C2657" s="3" t="s">
        <v>28</v>
      </c>
      <c r="D2657" s="3" t="s">
        <v>50</v>
      </c>
      <c r="E2657" s="3" t="s">
        <v>173</v>
      </c>
      <c r="F2657" s="3" t="s">
        <v>52</v>
      </c>
      <c r="G2657" s="3" t="s">
        <v>173</v>
      </c>
      <c r="H2657" s="3" t="s">
        <v>45</v>
      </c>
      <c r="I2657" s="3">
        <v>2025</v>
      </c>
      <c r="J2657" s="3" t="str">
        <f>CONCATENATE("54820109996")</f>
        <v>54820109996</v>
      </c>
      <c r="K2657" s="3" t="s">
        <v>33</v>
      </c>
      <c r="L2657" s="3"/>
      <c r="M2657" s="3" t="s">
        <v>131</v>
      </c>
      <c r="N2657" s="3" t="str">
        <f>CONCATENATE("01103310411")</f>
        <v>01103310411</v>
      </c>
      <c r="O2657" s="3" t="s">
        <v>2788</v>
      </c>
      <c r="P2657" s="3" t="s">
        <v>36</v>
      </c>
      <c r="Q2657" s="3"/>
      <c r="R2657" s="4">
        <v>45996</v>
      </c>
      <c r="S2657" s="3" t="s">
        <v>37</v>
      </c>
      <c r="T2657" s="3" t="s">
        <v>38</v>
      </c>
      <c r="U2657" s="3" t="s">
        <v>39</v>
      </c>
      <c r="V2657" s="3">
        <v>563.29</v>
      </c>
      <c r="W2657" s="3">
        <v>239.4</v>
      </c>
      <c r="X2657" s="3">
        <v>226.72</v>
      </c>
      <c r="Y2657" s="3">
        <v>97.17</v>
      </c>
    </row>
    <row r="2658" spans="1:25" ht="60.75" x14ac:dyDescent="0.25">
      <c r="A2658" s="3" t="s">
        <v>26</v>
      </c>
      <c r="B2658" s="3" t="s">
        <v>27</v>
      </c>
      <c r="C2658" s="3" t="s">
        <v>28</v>
      </c>
      <c r="D2658" s="3" t="s">
        <v>50</v>
      </c>
      <c r="E2658" s="3" t="s">
        <v>60</v>
      </c>
      <c r="F2658" s="3" t="s">
        <v>52</v>
      </c>
      <c r="G2658" s="3" t="s">
        <v>60</v>
      </c>
      <c r="H2658" s="3" t="s">
        <v>45</v>
      </c>
      <c r="I2658" s="3">
        <v>2025</v>
      </c>
      <c r="J2658" s="3" t="str">
        <f>CONCATENATE("54820091277")</f>
        <v>54820091277</v>
      </c>
      <c r="K2658" s="3" t="s">
        <v>33</v>
      </c>
      <c r="L2658" s="3"/>
      <c r="M2658" s="3" t="s">
        <v>131</v>
      </c>
      <c r="N2658" s="3" t="str">
        <f>CONCATENATE("PCRFMN46P54B352V")</f>
        <v>PCRFMN46P54B352V</v>
      </c>
      <c r="O2658" s="3" t="s">
        <v>2789</v>
      </c>
      <c r="P2658" s="3" t="s">
        <v>36</v>
      </c>
      <c r="Q2658" s="3"/>
      <c r="R2658" s="4">
        <v>45996</v>
      </c>
      <c r="S2658" s="3" t="s">
        <v>37</v>
      </c>
      <c r="T2658" s="3" t="s">
        <v>38</v>
      </c>
      <c r="U2658" s="3" t="s">
        <v>39</v>
      </c>
      <c r="V2658" s="3">
        <v>169.32</v>
      </c>
      <c r="W2658" s="3">
        <v>71.959999999999994</v>
      </c>
      <c r="X2658" s="3">
        <v>68.150000000000006</v>
      </c>
      <c r="Y2658" s="3">
        <v>29.21</v>
      </c>
    </row>
    <row r="2659" spans="1:25" ht="60.75" x14ac:dyDescent="0.25">
      <c r="A2659" s="3" t="s">
        <v>26</v>
      </c>
      <c r="B2659" s="3" t="s">
        <v>27</v>
      </c>
      <c r="C2659" s="3" t="s">
        <v>28</v>
      </c>
      <c r="D2659" s="3" t="s">
        <v>40</v>
      </c>
      <c r="E2659" s="3" t="s">
        <v>41</v>
      </c>
      <c r="F2659" s="3" t="s">
        <v>42</v>
      </c>
      <c r="G2659" s="3" t="s">
        <v>41</v>
      </c>
      <c r="H2659" s="3" t="s">
        <v>32</v>
      </c>
      <c r="I2659" s="3">
        <v>2025</v>
      </c>
      <c r="J2659" s="3" t="str">
        <f>CONCATENATE("54820088349")</f>
        <v>54820088349</v>
      </c>
      <c r="K2659" s="3" t="s">
        <v>33</v>
      </c>
      <c r="L2659" s="3"/>
      <c r="M2659" s="3" t="s">
        <v>131</v>
      </c>
      <c r="N2659" s="3" t="str">
        <f>CONCATENATE("PGLTZN69E53D653N")</f>
        <v>PGLTZN69E53D653N</v>
      </c>
      <c r="O2659" s="3" t="s">
        <v>2790</v>
      </c>
      <c r="P2659" s="3" t="s">
        <v>36</v>
      </c>
      <c r="Q2659" s="3"/>
      <c r="R2659" s="4">
        <v>45996</v>
      </c>
      <c r="S2659" s="3" t="s">
        <v>37</v>
      </c>
      <c r="T2659" s="3" t="s">
        <v>38</v>
      </c>
      <c r="U2659" s="3" t="s">
        <v>39</v>
      </c>
      <c r="V2659" s="3">
        <v>638.15</v>
      </c>
      <c r="W2659" s="3">
        <v>271.20999999999998</v>
      </c>
      <c r="X2659" s="3">
        <v>256.86</v>
      </c>
      <c r="Y2659" s="3">
        <v>110.08</v>
      </c>
    </row>
    <row r="2660" spans="1:25" ht="60.75" x14ac:dyDescent="0.25">
      <c r="A2660" s="3" t="s">
        <v>26</v>
      </c>
      <c r="B2660" s="3" t="s">
        <v>27</v>
      </c>
      <c r="C2660" s="3" t="s">
        <v>28</v>
      </c>
      <c r="D2660" s="3" t="s">
        <v>50</v>
      </c>
      <c r="E2660" s="3" t="s">
        <v>60</v>
      </c>
      <c r="F2660" s="3" t="s">
        <v>52</v>
      </c>
      <c r="G2660" s="3" t="s">
        <v>60</v>
      </c>
      <c r="H2660" s="3" t="s">
        <v>45</v>
      </c>
      <c r="I2660" s="3">
        <v>2025</v>
      </c>
      <c r="J2660" s="3" t="str">
        <f>CONCATENATE("54820111539")</f>
        <v>54820111539</v>
      </c>
      <c r="K2660" s="3" t="s">
        <v>33</v>
      </c>
      <c r="L2660" s="3"/>
      <c r="M2660" s="3" t="s">
        <v>131</v>
      </c>
      <c r="N2660" s="3" t="str">
        <f>CONCATENATE("FRTLCN48P20G453T")</f>
        <v>FRTLCN48P20G453T</v>
      </c>
      <c r="O2660" s="3" t="s">
        <v>2791</v>
      </c>
      <c r="P2660" s="3" t="s">
        <v>36</v>
      </c>
      <c r="Q2660" s="3"/>
      <c r="R2660" s="4">
        <v>45996</v>
      </c>
      <c r="S2660" s="3" t="s">
        <v>37</v>
      </c>
      <c r="T2660" s="3" t="s">
        <v>38</v>
      </c>
      <c r="U2660" s="3" t="s">
        <v>39</v>
      </c>
      <c r="V2660" s="3">
        <v>57.17</v>
      </c>
      <c r="W2660" s="3">
        <v>24.3</v>
      </c>
      <c r="X2660" s="3">
        <v>23.01</v>
      </c>
      <c r="Y2660" s="3">
        <v>9.86</v>
      </c>
    </row>
    <row r="2661" spans="1:25" ht="60.75" x14ac:dyDescent="0.25">
      <c r="A2661" s="3" t="s">
        <v>26</v>
      </c>
      <c r="B2661" s="3" t="s">
        <v>27</v>
      </c>
      <c r="C2661" s="3" t="s">
        <v>28</v>
      </c>
      <c r="D2661" s="3" t="s">
        <v>29</v>
      </c>
      <c r="E2661" s="3" t="s">
        <v>119</v>
      </c>
      <c r="F2661" s="3" t="s">
        <v>31</v>
      </c>
      <c r="G2661" s="3" t="s">
        <v>119</v>
      </c>
      <c r="H2661" s="3" t="s">
        <v>96</v>
      </c>
      <c r="I2661" s="3">
        <v>2025</v>
      </c>
      <c r="J2661" s="3" t="str">
        <f>CONCATENATE("54820053848")</f>
        <v>54820053848</v>
      </c>
      <c r="K2661" s="3" t="s">
        <v>33</v>
      </c>
      <c r="L2661" s="3"/>
      <c r="M2661" s="3" t="s">
        <v>131</v>
      </c>
      <c r="N2661" s="3" t="str">
        <f>CONCATENATE("MRNRND70T23F509S")</f>
        <v>MRNRND70T23F509S</v>
      </c>
      <c r="O2661" s="3" t="s">
        <v>2792</v>
      </c>
      <c r="P2661" s="3" t="s">
        <v>36</v>
      </c>
      <c r="Q2661" s="3"/>
      <c r="R2661" s="4">
        <v>45996</v>
      </c>
      <c r="S2661" s="3" t="s">
        <v>37</v>
      </c>
      <c r="T2661" s="3" t="s">
        <v>38</v>
      </c>
      <c r="U2661" s="3" t="s">
        <v>39</v>
      </c>
      <c r="V2661" s="3">
        <v>53.79</v>
      </c>
      <c r="W2661" s="3">
        <v>22.86</v>
      </c>
      <c r="X2661" s="3">
        <v>21.65</v>
      </c>
      <c r="Y2661" s="3">
        <v>9.2799999999999994</v>
      </c>
    </row>
    <row r="2662" spans="1:25" ht="60.75" x14ac:dyDescent="0.25">
      <c r="A2662" s="3" t="s">
        <v>26</v>
      </c>
      <c r="B2662" s="3" t="s">
        <v>27</v>
      </c>
      <c r="C2662" s="3" t="s">
        <v>28</v>
      </c>
      <c r="D2662" s="3" t="s">
        <v>29</v>
      </c>
      <c r="E2662" s="3" t="s">
        <v>228</v>
      </c>
      <c r="F2662" s="3" t="s">
        <v>31</v>
      </c>
      <c r="G2662" s="3" t="s">
        <v>228</v>
      </c>
      <c r="H2662" s="3" t="s">
        <v>45</v>
      </c>
      <c r="I2662" s="3">
        <v>2025</v>
      </c>
      <c r="J2662" s="3" t="str">
        <f>CONCATENATE("54820083134")</f>
        <v>54820083134</v>
      </c>
      <c r="K2662" s="3" t="s">
        <v>33</v>
      </c>
      <c r="L2662" s="3"/>
      <c r="M2662" s="3" t="s">
        <v>131</v>
      </c>
      <c r="N2662" s="3" t="str">
        <f>CONCATENATE("DAICVN51L16E351X")</f>
        <v>DAICVN51L16E351X</v>
      </c>
      <c r="O2662" s="3" t="s">
        <v>2793</v>
      </c>
      <c r="P2662" s="3" t="s">
        <v>36</v>
      </c>
      <c r="Q2662" s="3"/>
      <c r="R2662" s="4">
        <v>45996</v>
      </c>
      <c r="S2662" s="3" t="s">
        <v>37</v>
      </c>
      <c r="T2662" s="3" t="s">
        <v>38</v>
      </c>
      <c r="U2662" s="3" t="s">
        <v>39</v>
      </c>
      <c r="V2662" s="3">
        <v>215.55</v>
      </c>
      <c r="W2662" s="3">
        <v>91.61</v>
      </c>
      <c r="X2662" s="3">
        <v>86.76</v>
      </c>
      <c r="Y2662" s="3">
        <v>37.18</v>
      </c>
    </row>
    <row r="2663" spans="1:25" ht="60.75" x14ac:dyDescent="0.25">
      <c r="A2663" s="3" t="s">
        <v>26</v>
      </c>
      <c r="B2663" s="3" t="s">
        <v>27</v>
      </c>
      <c r="C2663" s="3" t="s">
        <v>28</v>
      </c>
      <c r="D2663" s="3" t="s">
        <v>50</v>
      </c>
      <c r="E2663" s="3" t="s">
        <v>60</v>
      </c>
      <c r="F2663" s="3" t="s">
        <v>52</v>
      </c>
      <c r="G2663" s="3" t="s">
        <v>60</v>
      </c>
      <c r="H2663" s="3" t="s">
        <v>45</v>
      </c>
      <c r="I2663" s="3">
        <v>2025</v>
      </c>
      <c r="J2663" s="3" t="str">
        <f>CONCATENATE("54820083258")</f>
        <v>54820083258</v>
      </c>
      <c r="K2663" s="3" t="s">
        <v>33</v>
      </c>
      <c r="L2663" s="3"/>
      <c r="M2663" s="3" t="s">
        <v>131</v>
      </c>
      <c r="N2663" s="3" t="str">
        <f>CONCATENATE("VNNVSN44L01D809T")</f>
        <v>VNNVSN44L01D809T</v>
      </c>
      <c r="O2663" s="3" t="s">
        <v>2794</v>
      </c>
      <c r="P2663" s="3" t="s">
        <v>36</v>
      </c>
      <c r="Q2663" s="3"/>
      <c r="R2663" s="4">
        <v>45996</v>
      </c>
      <c r="S2663" s="3" t="s">
        <v>37</v>
      </c>
      <c r="T2663" s="3" t="s">
        <v>38</v>
      </c>
      <c r="U2663" s="3" t="s">
        <v>39</v>
      </c>
      <c r="V2663" s="3">
        <v>445.04</v>
      </c>
      <c r="W2663" s="3">
        <v>189.14</v>
      </c>
      <c r="X2663" s="3">
        <v>179.13</v>
      </c>
      <c r="Y2663" s="3">
        <v>76.77</v>
      </c>
    </row>
    <row r="2664" spans="1:25" ht="36.75" x14ac:dyDescent="0.25">
      <c r="A2664" s="3" t="s">
        <v>26</v>
      </c>
      <c r="B2664" s="3" t="s">
        <v>27</v>
      </c>
      <c r="C2664" s="3" t="s">
        <v>28</v>
      </c>
      <c r="D2664" s="3" t="s">
        <v>29</v>
      </c>
      <c r="E2664" s="3" t="s">
        <v>233</v>
      </c>
      <c r="F2664" s="3" t="s">
        <v>31</v>
      </c>
      <c r="G2664" s="3" t="s">
        <v>233</v>
      </c>
      <c r="H2664" s="3" t="s">
        <v>96</v>
      </c>
      <c r="I2664" s="3">
        <v>2025</v>
      </c>
      <c r="J2664" s="3" t="str">
        <f>CONCATENATE("54820060454")</f>
        <v>54820060454</v>
      </c>
      <c r="K2664" s="3" t="s">
        <v>33</v>
      </c>
      <c r="L2664" s="3"/>
      <c r="M2664" s="3" t="s">
        <v>131</v>
      </c>
      <c r="N2664" s="3" t="str">
        <f>CONCATENATE("01532860440")</f>
        <v>01532860440</v>
      </c>
      <c r="O2664" s="3" t="s">
        <v>2795</v>
      </c>
      <c r="P2664" s="3" t="s">
        <v>36</v>
      </c>
      <c r="Q2664" s="3"/>
      <c r="R2664" s="4">
        <v>45996</v>
      </c>
      <c r="S2664" s="3" t="s">
        <v>37</v>
      </c>
      <c r="T2664" s="3" t="s">
        <v>38</v>
      </c>
      <c r="U2664" s="3" t="s">
        <v>39</v>
      </c>
      <c r="V2664" s="3">
        <v>456.74</v>
      </c>
      <c r="W2664" s="3">
        <v>194.11</v>
      </c>
      <c r="X2664" s="3">
        <v>183.84</v>
      </c>
      <c r="Y2664" s="3">
        <v>78.790000000000006</v>
      </c>
    </row>
    <row r="2665" spans="1:25" ht="60.75" x14ac:dyDescent="0.25">
      <c r="A2665" s="3" t="s">
        <v>26</v>
      </c>
      <c r="B2665" s="3" t="s">
        <v>27</v>
      </c>
      <c r="C2665" s="3" t="s">
        <v>28</v>
      </c>
      <c r="D2665" s="3" t="s">
        <v>29</v>
      </c>
      <c r="E2665" s="3" t="s">
        <v>56</v>
      </c>
      <c r="F2665" s="3" t="s">
        <v>31</v>
      </c>
      <c r="G2665" s="3" t="s">
        <v>56</v>
      </c>
      <c r="H2665" s="3" t="s">
        <v>32</v>
      </c>
      <c r="I2665" s="3">
        <v>2025</v>
      </c>
      <c r="J2665" s="3" t="str">
        <f>CONCATENATE("54820271515")</f>
        <v>54820271515</v>
      </c>
      <c r="K2665" s="3" t="s">
        <v>33</v>
      </c>
      <c r="L2665" s="3"/>
      <c r="M2665" s="3" t="s">
        <v>131</v>
      </c>
      <c r="N2665" s="3" t="str">
        <f>CONCATENATE("DGRRRT71T45B474K")</f>
        <v>DGRRRT71T45B474K</v>
      </c>
      <c r="O2665" s="3" t="s">
        <v>2796</v>
      </c>
      <c r="P2665" s="3" t="s">
        <v>36</v>
      </c>
      <c r="Q2665" s="3"/>
      <c r="R2665" s="4">
        <v>45996</v>
      </c>
      <c r="S2665" s="3" t="s">
        <v>37</v>
      </c>
      <c r="T2665" s="3" t="s">
        <v>38</v>
      </c>
      <c r="U2665" s="3" t="s">
        <v>39</v>
      </c>
      <c r="V2665" s="5">
        <v>1348.78</v>
      </c>
      <c r="W2665" s="3">
        <v>573.23</v>
      </c>
      <c r="X2665" s="3">
        <v>542.88</v>
      </c>
      <c r="Y2665" s="3">
        <v>232.67</v>
      </c>
    </row>
    <row r="2666" spans="1:25" ht="60.75" x14ac:dyDescent="0.25">
      <c r="A2666" s="3" t="s">
        <v>26</v>
      </c>
      <c r="B2666" s="3" t="s">
        <v>27</v>
      </c>
      <c r="C2666" s="3" t="s">
        <v>28</v>
      </c>
      <c r="D2666" s="3" t="s">
        <v>29</v>
      </c>
      <c r="E2666" s="3" t="s">
        <v>56</v>
      </c>
      <c r="F2666" s="3" t="s">
        <v>31</v>
      </c>
      <c r="G2666" s="3" t="s">
        <v>56</v>
      </c>
      <c r="H2666" s="3" t="s">
        <v>32</v>
      </c>
      <c r="I2666" s="3">
        <v>2025</v>
      </c>
      <c r="J2666" s="3" t="str">
        <f>CONCATENATE("54820122502")</f>
        <v>54820122502</v>
      </c>
      <c r="K2666" s="3" t="s">
        <v>33</v>
      </c>
      <c r="L2666" s="3"/>
      <c r="M2666" s="3" t="s">
        <v>131</v>
      </c>
      <c r="N2666" s="3" t="str">
        <f>CONCATENATE("PRCGPP56T17D564B")</f>
        <v>PRCGPP56T17D564B</v>
      </c>
      <c r="O2666" s="3" t="s">
        <v>2797</v>
      </c>
      <c r="P2666" s="3" t="s">
        <v>36</v>
      </c>
      <c r="Q2666" s="3"/>
      <c r="R2666" s="4">
        <v>45996</v>
      </c>
      <c r="S2666" s="3" t="s">
        <v>37</v>
      </c>
      <c r="T2666" s="3" t="s">
        <v>38</v>
      </c>
      <c r="U2666" s="3" t="s">
        <v>39</v>
      </c>
      <c r="V2666" s="3">
        <v>234.73</v>
      </c>
      <c r="W2666" s="3">
        <v>99.76</v>
      </c>
      <c r="X2666" s="3">
        <v>94.48</v>
      </c>
      <c r="Y2666" s="3">
        <v>40.49</v>
      </c>
    </row>
    <row r="2667" spans="1:25" ht="36.75" x14ac:dyDescent="0.25">
      <c r="A2667" s="3" t="s">
        <v>26</v>
      </c>
      <c r="B2667" s="3" t="s">
        <v>27</v>
      </c>
      <c r="C2667" s="3" t="s">
        <v>28</v>
      </c>
      <c r="D2667" s="3" t="s">
        <v>40</v>
      </c>
      <c r="E2667" s="3" t="s">
        <v>54</v>
      </c>
      <c r="F2667" s="3" t="s">
        <v>42</v>
      </c>
      <c r="G2667" s="3" t="s">
        <v>54</v>
      </c>
      <c r="H2667" s="3" t="s">
        <v>45</v>
      </c>
      <c r="I2667" s="3">
        <v>2025</v>
      </c>
      <c r="J2667" s="3" t="str">
        <f>CONCATENATE("54820072509")</f>
        <v>54820072509</v>
      </c>
      <c r="K2667" s="3" t="s">
        <v>33</v>
      </c>
      <c r="L2667" s="3"/>
      <c r="M2667" s="3" t="s">
        <v>131</v>
      </c>
      <c r="N2667" s="3" t="str">
        <f>CONCATENATE("02288450410")</f>
        <v>02288450410</v>
      </c>
      <c r="O2667" s="3" t="s">
        <v>2798</v>
      </c>
      <c r="P2667" s="3" t="s">
        <v>36</v>
      </c>
      <c r="Q2667" s="3"/>
      <c r="R2667" s="4">
        <v>45996</v>
      </c>
      <c r="S2667" s="3" t="s">
        <v>37</v>
      </c>
      <c r="T2667" s="3" t="s">
        <v>38</v>
      </c>
      <c r="U2667" s="3" t="s">
        <v>39</v>
      </c>
      <c r="V2667" s="3">
        <v>792.57</v>
      </c>
      <c r="W2667" s="3">
        <v>336.84</v>
      </c>
      <c r="X2667" s="3">
        <v>319.01</v>
      </c>
      <c r="Y2667" s="3">
        <v>136.72</v>
      </c>
    </row>
    <row r="2668" spans="1:25" ht="60.75" x14ac:dyDescent="0.25">
      <c r="A2668" s="3" t="s">
        <v>26</v>
      </c>
      <c r="B2668" s="3" t="s">
        <v>27</v>
      </c>
      <c r="C2668" s="3" t="s">
        <v>28</v>
      </c>
      <c r="D2668" s="3" t="s">
        <v>29</v>
      </c>
      <c r="E2668" s="3" t="s">
        <v>47</v>
      </c>
      <c r="F2668" s="3" t="s">
        <v>31</v>
      </c>
      <c r="G2668" s="3" t="s">
        <v>47</v>
      </c>
      <c r="H2668" s="3" t="s">
        <v>48</v>
      </c>
      <c r="I2668" s="3">
        <v>2025</v>
      </c>
      <c r="J2668" s="3" t="str">
        <f>CONCATENATE("54820203344")</f>
        <v>54820203344</v>
      </c>
      <c r="K2668" s="3" t="s">
        <v>33</v>
      </c>
      <c r="L2668" s="3"/>
      <c r="M2668" s="3" t="s">
        <v>131</v>
      </c>
      <c r="N2668" s="3" t="str">
        <f>CONCATENATE("RLNVRE55A18I653Q")</f>
        <v>RLNVRE55A18I653Q</v>
      </c>
      <c r="O2668" s="3" t="s">
        <v>2799</v>
      </c>
      <c r="P2668" s="3" t="s">
        <v>36</v>
      </c>
      <c r="Q2668" s="3"/>
      <c r="R2668" s="4">
        <v>45996</v>
      </c>
      <c r="S2668" s="3" t="s">
        <v>37</v>
      </c>
      <c r="T2668" s="3" t="s">
        <v>38</v>
      </c>
      <c r="U2668" s="3" t="s">
        <v>39</v>
      </c>
      <c r="V2668" s="3">
        <v>58.34</v>
      </c>
      <c r="W2668" s="3">
        <v>24.79</v>
      </c>
      <c r="X2668" s="3">
        <v>23.48</v>
      </c>
      <c r="Y2668" s="3">
        <v>10.07</v>
      </c>
    </row>
    <row r="2669" spans="1:25" ht="60.75" x14ac:dyDescent="0.25">
      <c r="A2669" s="3" t="s">
        <v>26</v>
      </c>
      <c r="B2669" s="3" t="s">
        <v>27</v>
      </c>
      <c r="C2669" s="3" t="s">
        <v>28</v>
      </c>
      <c r="D2669" s="3" t="s">
        <v>50</v>
      </c>
      <c r="E2669" s="3" t="s">
        <v>252</v>
      </c>
      <c r="F2669" s="3" t="s">
        <v>52</v>
      </c>
      <c r="G2669" s="3" t="s">
        <v>252</v>
      </c>
      <c r="H2669" s="3" t="s">
        <v>45</v>
      </c>
      <c r="I2669" s="3">
        <v>2025</v>
      </c>
      <c r="J2669" s="3" t="str">
        <f>CONCATENATE("54820189402")</f>
        <v>54820189402</v>
      </c>
      <c r="K2669" s="3" t="s">
        <v>33</v>
      </c>
      <c r="L2669" s="3"/>
      <c r="M2669" s="3" t="s">
        <v>131</v>
      </c>
      <c r="N2669" s="3" t="str">
        <f>CONCATENATE("DMNLDI36S55F497S")</f>
        <v>DMNLDI36S55F497S</v>
      </c>
      <c r="O2669" s="3" t="s">
        <v>2800</v>
      </c>
      <c r="P2669" s="3" t="s">
        <v>36</v>
      </c>
      <c r="Q2669" s="3"/>
      <c r="R2669" s="4">
        <v>45996</v>
      </c>
      <c r="S2669" s="3" t="s">
        <v>37</v>
      </c>
      <c r="T2669" s="3" t="s">
        <v>38</v>
      </c>
      <c r="U2669" s="3" t="s">
        <v>39</v>
      </c>
      <c r="V2669" s="3">
        <v>47</v>
      </c>
      <c r="W2669" s="3">
        <v>19.98</v>
      </c>
      <c r="X2669" s="3">
        <v>18.920000000000002</v>
      </c>
      <c r="Y2669" s="3">
        <v>8.1</v>
      </c>
    </row>
    <row r="2670" spans="1:25" ht="60.75" x14ac:dyDescent="0.25">
      <c r="A2670" s="3" t="s">
        <v>26</v>
      </c>
      <c r="B2670" s="3" t="s">
        <v>27</v>
      </c>
      <c r="C2670" s="3" t="s">
        <v>28</v>
      </c>
      <c r="D2670" s="3" t="s">
        <v>29</v>
      </c>
      <c r="E2670" s="3" t="s">
        <v>119</v>
      </c>
      <c r="F2670" s="3" t="s">
        <v>31</v>
      </c>
      <c r="G2670" s="3" t="s">
        <v>119</v>
      </c>
      <c r="H2670" s="3" t="s">
        <v>96</v>
      </c>
      <c r="I2670" s="3">
        <v>2025</v>
      </c>
      <c r="J2670" s="3" t="str">
        <f>CONCATENATE("54820179163")</f>
        <v>54820179163</v>
      </c>
      <c r="K2670" s="3" t="s">
        <v>33</v>
      </c>
      <c r="L2670" s="3"/>
      <c r="M2670" s="3" t="s">
        <v>131</v>
      </c>
      <c r="N2670" s="3" t="str">
        <f>CONCATENATE("BRTSVN46D50F516E")</f>
        <v>BRTSVN46D50F516E</v>
      </c>
      <c r="O2670" s="3" t="s">
        <v>2801</v>
      </c>
      <c r="P2670" s="3" t="s">
        <v>36</v>
      </c>
      <c r="Q2670" s="3"/>
      <c r="R2670" s="4">
        <v>45996</v>
      </c>
      <c r="S2670" s="3" t="s">
        <v>37</v>
      </c>
      <c r="T2670" s="3" t="s">
        <v>38</v>
      </c>
      <c r="U2670" s="3" t="s">
        <v>39</v>
      </c>
      <c r="V2670" s="3">
        <v>139.51</v>
      </c>
      <c r="W2670" s="3">
        <v>59.29</v>
      </c>
      <c r="X2670" s="3">
        <v>56.15</v>
      </c>
      <c r="Y2670" s="3">
        <v>24.07</v>
      </c>
    </row>
    <row r="2671" spans="1:25" ht="60.75" x14ac:dyDescent="0.25">
      <c r="A2671" s="3" t="s">
        <v>26</v>
      </c>
      <c r="B2671" s="3" t="s">
        <v>27</v>
      </c>
      <c r="C2671" s="3" t="s">
        <v>28</v>
      </c>
      <c r="D2671" s="3" t="s">
        <v>50</v>
      </c>
      <c r="E2671" s="3" t="s">
        <v>252</v>
      </c>
      <c r="F2671" s="3" t="s">
        <v>52</v>
      </c>
      <c r="G2671" s="3" t="s">
        <v>252</v>
      </c>
      <c r="H2671" s="3" t="s">
        <v>45</v>
      </c>
      <c r="I2671" s="3">
        <v>2025</v>
      </c>
      <c r="J2671" s="3" t="str">
        <f>CONCATENATE("54820272828")</f>
        <v>54820272828</v>
      </c>
      <c r="K2671" s="3" t="s">
        <v>33</v>
      </c>
      <c r="L2671" s="3"/>
      <c r="M2671" s="3" t="s">
        <v>131</v>
      </c>
      <c r="N2671" s="3" t="str">
        <f>CONCATENATE("VLNVRN58A23F497Y")</f>
        <v>VLNVRN58A23F497Y</v>
      </c>
      <c r="O2671" s="3" t="s">
        <v>2802</v>
      </c>
      <c r="P2671" s="3" t="s">
        <v>36</v>
      </c>
      <c r="Q2671" s="3"/>
      <c r="R2671" s="4">
        <v>45996</v>
      </c>
      <c r="S2671" s="3" t="s">
        <v>37</v>
      </c>
      <c r="T2671" s="3" t="s">
        <v>38</v>
      </c>
      <c r="U2671" s="3" t="s">
        <v>39</v>
      </c>
      <c r="V2671" s="3">
        <v>81.96</v>
      </c>
      <c r="W2671" s="3">
        <v>34.83</v>
      </c>
      <c r="X2671" s="3">
        <v>32.99</v>
      </c>
      <c r="Y2671" s="3">
        <v>14.14</v>
      </c>
    </row>
    <row r="2672" spans="1:25" ht="60.75" x14ac:dyDescent="0.25">
      <c r="A2672" s="3" t="s">
        <v>26</v>
      </c>
      <c r="B2672" s="3" t="s">
        <v>27</v>
      </c>
      <c r="C2672" s="3" t="s">
        <v>28</v>
      </c>
      <c r="D2672" s="3" t="s">
        <v>464</v>
      </c>
      <c r="E2672" s="3" t="s">
        <v>465</v>
      </c>
      <c r="F2672" s="3" t="s">
        <v>466</v>
      </c>
      <c r="G2672" s="3" t="s">
        <v>465</v>
      </c>
      <c r="H2672" s="3" t="s">
        <v>96</v>
      </c>
      <c r="I2672" s="3">
        <v>2025</v>
      </c>
      <c r="J2672" s="3" t="str">
        <f>CONCATENATE("54820376967")</f>
        <v>54820376967</v>
      </c>
      <c r="K2672" s="3" t="s">
        <v>33</v>
      </c>
      <c r="L2672" s="3"/>
      <c r="M2672" s="3" t="s">
        <v>131</v>
      </c>
      <c r="N2672" s="3" t="str">
        <f>CONCATENATE("BNDFLC70S05A462P")</f>
        <v>BNDFLC70S05A462P</v>
      </c>
      <c r="O2672" s="3" t="s">
        <v>2803</v>
      </c>
      <c r="P2672" s="3" t="s">
        <v>36</v>
      </c>
      <c r="Q2672" s="3"/>
      <c r="R2672" s="4">
        <v>45996</v>
      </c>
      <c r="S2672" s="3" t="s">
        <v>37</v>
      </c>
      <c r="T2672" s="3" t="s">
        <v>38</v>
      </c>
      <c r="U2672" s="3" t="s">
        <v>39</v>
      </c>
      <c r="V2672" s="3">
        <v>185.69</v>
      </c>
      <c r="W2672" s="3">
        <v>78.92</v>
      </c>
      <c r="X2672" s="3">
        <v>74.739999999999995</v>
      </c>
      <c r="Y2672" s="3">
        <v>32.03</v>
      </c>
    </row>
    <row r="2673" spans="1:25" ht="60.75" x14ac:dyDescent="0.25">
      <c r="A2673" s="3" t="s">
        <v>26</v>
      </c>
      <c r="B2673" s="3" t="s">
        <v>27</v>
      </c>
      <c r="C2673" s="3" t="s">
        <v>28</v>
      </c>
      <c r="D2673" s="3" t="s">
        <v>29</v>
      </c>
      <c r="E2673" s="3" t="s">
        <v>56</v>
      </c>
      <c r="F2673" s="3" t="s">
        <v>31</v>
      </c>
      <c r="G2673" s="3" t="s">
        <v>56</v>
      </c>
      <c r="H2673" s="3" t="s">
        <v>32</v>
      </c>
      <c r="I2673" s="3">
        <v>2025</v>
      </c>
      <c r="J2673" s="3" t="str">
        <f>CONCATENATE("54820292800")</f>
        <v>54820292800</v>
      </c>
      <c r="K2673" s="3" t="s">
        <v>33</v>
      </c>
      <c r="L2673" s="3"/>
      <c r="M2673" s="3" t="s">
        <v>131</v>
      </c>
      <c r="N2673" s="3" t="str">
        <f>CONCATENATE("SCRGRL42P61D451G")</f>
        <v>SCRGRL42P61D451G</v>
      </c>
      <c r="O2673" s="3" t="s">
        <v>2804</v>
      </c>
      <c r="P2673" s="3" t="s">
        <v>36</v>
      </c>
      <c r="Q2673" s="3"/>
      <c r="R2673" s="4">
        <v>45996</v>
      </c>
      <c r="S2673" s="3" t="s">
        <v>37</v>
      </c>
      <c r="T2673" s="3" t="s">
        <v>38</v>
      </c>
      <c r="U2673" s="3" t="s">
        <v>39</v>
      </c>
      <c r="V2673" s="3">
        <v>170.91</v>
      </c>
      <c r="W2673" s="3">
        <v>72.64</v>
      </c>
      <c r="X2673" s="3">
        <v>68.790000000000006</v>
      </c>
      <c r="Y2673" s="3">
        <v>29.48</v>
      </c>
    </row>
    <row r="2674" spans="1:25" ht="60.75" x14ac:dyDescent="0.25">
      <c r="A2674" s="3" t="s">
        <v>26</v>
      </c>
      <c r="B2674" s="3" t="s">
        <v>27</v>
      </c>
      <c r="C2674" s="3" t="s">
        <v>28</v>
      </c>
      <c r="D2674" s="3" t="s">
        <v>50</v>
      </c>
      <c r="E2674" s="3" t="s">
        <v>51</v>
      </c>
      <c r="F2674" s="3" t="s">
        <v>52</v>
      </c>
      <c r="G2674" s="3" t="s">
        <v>51</v>
      </c>
      <c r="H2674" s="3" t="s">
        <v>48</v>
      </c>
      <c r="I2674" s="3">
        <v>2025</v>
      </c>
      <c r="J2674" s="3" t="str">
        <f>CONCATENATE("54820364278")</f>
        <v>54820364278</v>
      </c>
      <c r="K2674" s="3" t="s">
        <v>33</v>
      </c>
      <c r="L2674" s="3"/>
      <c r="M2674" s="3" t="s">
        <v>131</v>
      </c>
      <c r="N2674" s="3" t="str">
        <f>CONCATENATE("RDNBNR46M25A366P")</f>
        <v>RDNBNR46M25A366P</v>
      </c>
      <c r="O2674" s="3" t="s">
        <v>2805</v>
      </c>
      <c r="P2674" s="3" t="s">
        <v>36</v>
      </c>
      <c r="Q2674" s="3"/>
      <c r="R2674" s="4">
        <v>45996</v>
      </c>
      <c r="S2674" s="3" t="s">
        <v>37</v>
      </c>
      <c r="T2674" s="3" t="s">
        <v>38</v>
      </c>
      <c r="U2674" s="3" t="s">
        <v>39</v>
      </c>
      <c r="V2674" s="3">
        <v>122.88</v>
      </c>
      <c r="W2674" s="3">
        <v>52.22</v>
      </c>
      <c r="X2674" s="3">
        <v>49.46</v>
      </c>
      <c r="Y2674" s="3">
        <v>21.2</v>
      </c>
    </row>
    <row r="2675" spans="1:25" ht="60.75" x14ac:dyDescent="0.25">
      <c r="A2675" s="3" t="s">
        <v>26</v>
      </c>
      <c r="B2675" s="3" t="s">
        <v>27</v>
      </c>
      <c r="C2675" s="3" t="s">
        <v>28</v>
      </c>
      <c r="D2675" s="3" t="s">
        <v>29</v>
      </c>
      <c r="E2675" s="3" t="s">
        <v>47</v>
      </c>
      <c r="F2675" s="3" t="s">
        <v>31</v>
      </c>
      <c r="G2675" s="3" t="s">
        <v>47</v>
      </c>
      <c r="H2675" s="3" t="s">
        <v>48</v>
      </c>
      <c r="I2675" s="3">
        <v>2025</v>
      </c>
      <c r="J2675" s="3" t="str">
        <f>CONCATENATE("54820179825")</f>
        <v>54820179825</v>
      </c>
      <c r="K2675" s="3" t="s">
        <v>33</v>
      </c>
      <c r="L2675" s="3"/>
      <c r="M2675" s="3" t="s">
        <v>131</v>
      </c>
      <c r="N2675" s="3" t="str">
        <f>CONCATENATE("RGGGPP60L67D451I")</f>
        <v>RGGGPP60L67D451I</v>
      </c>
      <c r="O2675" s="3" t="s">
        <v>2806</v>
      </c>
      <c r="P2675" s="3" t="s">
        <v>36</v>
      </c>
      <c r="Q2675" s="3"/>
      <c r="R2675" s="4">
        <v>45996</v>
      </c>
      <c r="S2675" s="3" t="s">
        <v>37</v>
      </c>
      <c r="T2675" s="3" t="s">
        <v>38</v>
      </c>
      <c r="U2675" s="3" t="s">
        <v>39</v>
      </c>
      <c r="V2675" s="3">
        <v>489.06</v>
      </c>
      <c r="W2675" s="3">
        <v>207.85</v>
      </c>
      <c r="X2675" s="3">
        <v>196.85</v>
      </c>
      <c r="Y2675" s="3">
        <v>84.36</v>
      </c>
    </row>
    <row r="2676" spans="1:25" ht="60.75" x14ac:dyDescent="0.25">
      <c r="A2676" s="3" t="s">
        <v>26</v>
      </c>
      <c r="B2676" s="3" t="s">
        <v>27</v>
      </c>
      <c r="C2676" s="3" t="s">
        <v>28</v>
      </c>
      <c r="D2676" s="3" t="s">
        <v>29</v>
      </c>
      <c r="E2676" s="3" t="s">
        <v>68</v>
      </c>
      <c r="F2676" s="3" t="s">
        <v>31</v>
      </c>
      <c r="G2676" s="3" t="s">
        <v>68</v>
      </c>
      <c r="H2676" s="3" t="s">
        <v>32</v>
      </c>
      <c r="I2676" s="3">
        <v>2025</v>
      </c>
      <c r="J2676" s="3" t="str">
        <f>CONCATENATE("54820180708")</f>
        <v>54820180708</v>
      </c>
      <c r="K2676" s="3" t="s">
        <v>33</v>
      </c>
      <c r="L2676" s="3"/>
      <c r="M2676" s="3" t="s">
        <v>131</v>
      </c>
      <c r="N2676" s="3" t="str">
        <f>CONCATENATE("CMPMLN68R23E783V")</f>
        <v>CMPMLN68R23E783V</v>
      </c>
      <c r="O2676" s="3" t="s">
        <v>2807</v>
      </c>
      <c r="P2676" s="3" t="s">
        <v>36</v>
      </c>
      <c r="Q2676" s="3"/>
      <c r="R2676" s="4">
        <v>45996</v>
      </c>
      <c r="S2676" s="3" t="s">
        <v>37</v>
      </c>
      <c r="T2676" s="3" t="s">
        <v>38</v>
      </c>
      <c r="U2676" s="3" t="s">
        <v>39</v>
      </c>
      <c r="V2676" s="3">
        <v>271.62</v>
      </c>
      <c r="W2676" s="3">
        <v>115.44</v>
      </c>
      <c r="X2676" s="3">
        <v>109.33</v>
      </c>
      <c r="Y2676" s="3">
        <v>46.85</v>
      </c>
    </row>
    <row r="2677" spans="1:25" ht="36.75" x14ac:dyDescent="0.25">
      <c r="A2677" s="3" t="s">
        <v>26</v>
      </c>
      <c r="B2677" s="3" t="s">
        <v>27</v>
      </c>
      <c r="C2677" s="3" t="s">
        <v>28</v>
      </c>
      <c r="D2677" s="3" t="s">
        <v>91</v>
      </c>
      <c r="E2677" s="3" t="s">
        <v>151</v>
      </c>
      <c r="F2677" s="3" t="s">
        <v>93</v>
      </c>
      <c r="G2677" s="3" t="s">
        <v>151</v>
      </c>
      <c r="H2677" s="3" t="s">
        <v>45</v>
      </c>
      <c r="I2677" s="3">
        <v>2025</v>
      </c>
      <c r="J2677" s="3" t="str">
        <f>CONCATENATE("54820290994")</f>
        <v>54820290994</v>
      </c>
      <c r="K2677" s="3" t="s">
        <v>33</v>
      </c>
      <c r="L2677" s="3"/>
      <c r="M2677" s="3" t="s">
        <v>131</v>
      </c>
      <c r="N2677" s="3" t="str">
        <f>CONCATENATE("02680540412")</f>
        <v>02680540412</v>
      </c>
      <c r="O2677" s="3" t="s">
        <v>2808</v>
      </c>
      <c r="P2677" s="3" t="s">
        <v>36</v>
      </c>
      <c r="Q2677" s="3"/>
      <c r="R2677" s="4">
        <v>45996</v>
      </c>
      <c r="S2677" s="3" t="s">
        <v>37</v>
      </c>
      <c r="T2677" s="3" t="s">
        <v>38</v>
      </c>
      <c r="U2677" s="3" t="s">
        <v>39</v>
      </c>
      <c r="V2677" s="3">
        <v>277.27999999999997</v>
      </c>
      <c r="W2677" s="3">
        <v>117.84</v>
      </c>
      <c r="X2677" s="3">
        <v>111.61</v>
      </c>
      <c r="Y2677" s="3">
        <v>47.83</v>
      </c>
    </row>
    <row r="2678" spans="1:25" ht="60.75" x14ac:dyDescent="0.25">
      <c r="A2678" s="3" t="s">
        <v>26</v>
      </c>
      <c r="B2678" s="3" t="s">
        <v>27</v>
      </c>
      <c r="C2678" s="3" t="s">
        <v>28</v>
      </c>
      <c r="D2678" s="3" t="s">
        <v>29</v>
      </c>
      <c r="E2678" s="3" t="s">
        <v>47</v>
      </c>
      <c r="F2678" s="3" t="s">
        <v>31</v>
      </c>
      <c r="G2678" s="3" t="s">
        <v>47</v>
      </c>
      <c r="H2678" s="3" t="s">
        <v>48</v>
      </c>
      <c r="I2678" s="3">
        <v>2025</v>
      </c>
      <c r="J2678" s="3" t="str">
        <f>CONCATENATE("54820199203")</f>
        <v>54820199203</v>
      </c>
      <c r="K2678" s="3" t="s">
        <v>33</v>
      </c>
      <c r="L2678" s="3"/>
      <c r="M2678" s="3" t="s">
        <v>131</v>
      </c>
      <c r="N2678" s="3" t="str">
        <f>CONCATENATE("LNCRNZ48R21D965Y")</f>
        <v>LNCRNZ48R21D965Y</v>
      </c>
      <c r="O2678" s="3" t="s">
        <v>2809</v>
      </c>
      <c r="P2678" s="3" t="s">
        <v>36</v>
      </c>
      <c r="Q2678" s="3"/>
      <c r="R2678" s="4">
        <v>45996</v>
      </c>
      <c r="S2678" s="3" t="s">
        <v>37</v>
      </c>
      <c r="T2678" s="3" t="s">
        <v>38</v>
      </c>
      <c r="U2678" s="3" t="s">
        <v>39</v>
      </c>
      <c r="V2678" s="3">
        <v>78.61</v>
      </c>
      <c r="W2678" s="3">
        <v>33.409999999999997</v>
      </c>
      <c r="X2678" s="3">
        <v>31.64</v>
      </c>
      <c r="Y2678" s="3">
        <v>13.56</v>
      </c>
    </row>
    <row r="2679" spans="1:25" ht="60.75" x14ac:dyDescent="0.25">
      <c r="A2679" s="3" t="s">
        <v>26</v>
      </c>
      <c r="B2679" s="3" t="s">
        <v>27</v>
      </c>
      <c r="C2679" s="3" t="s">
        <v>28</v>
      </c>
      <c r="D2679" s="3" t="s">
        <v>29</v>
      </c>
      <c r="E2679" s="3" t="s">
        <v>101</v>
      </c>
      <c r="F2679" s="3" t="s">
        <v>31</v>
      </c>
      <c r="G2679" s="3" t="s">
        <v>101</v>
      </c>
      <c r="H2679" s="3" t="s">
        <v>32</v>
      </c>
      <c r="I2679" s="3">
        <v>2025</v>
      </c>
      <c r="J2679" s="3" t="str">
        <f>CONCATENATE("54820167861")</f>
        <v>54820167861</v>
      </c>
      <c r="K2679" s="3" t="s">
        <v>33</v>
      </c>
      <c r="L2679" s="3"/>
      <c r="M2679" s="3" t="s">
        <v>131</v>
      </c>
      <c r="N2679" s="3" t="str">
        <f>CONCATENATE("CPRSMN87M59L191L")</f>
        <v>CPRSMN87M59L191L</v>
      </c>
      <c r="O2679" s="3" t="s">
        <v>2810</v>
      </c>
      <c r="P2679" s="3" t="s">
        <v>36</v>
      </c>
      <c r="Q2679" s="3"/>
      <c r="R2679" s="4">
        <v>45996</v>
      </c>
      <c r="S2679" s="3" t="s">
        <v>37</v>
      </c>
      <c r="T2679" s="3" t="s">
        <v>38</v>
      </c>
      <c r="U2679" s="3" t="s">
        <v>39</v>
      </c>
      <c r="V2679" s="3">
        <v>238.44</v>
      </c>
      <c r="W2679" s="3">
        <v>101.34</v>
      </c>
      <c r="X2679" s="3">
        <v>95.97</v>
      </c>
      <c r="Y2679" s="3">
        <v>41.13</v>
      </c>
    </row>
    <row r="2680" spans="1:25" ht="60.75" x14ac:dyDescent="0.25">
      <c r="A2680" s="3" t="s">
        <v>26</v>
      </c>
      <c r="B2680" s="3" t="s">
        <v>27</v>
      </c>
      <c r="C2680" s="3" t="s">
        <v>28</v>
      </c>
      <c r="D2680" s="3" t="s">
        <v>29</v>
      </c>
      <c r="E2680" s="3" t="s">
        <v>47</v>
      </c>
      <c r="F2680" s="3" t="s">
        <v>31</v>
      </c>
      <c r="G2680" s="3" t="s">
        <v>47</v>
      </c>
      <c r="H2680" s="3" t="s">
        <v>48</v>
      </c>
      <c r="I2680" s="3">
        <v>2025</v>
      </c>
      <c r="J2680" s="3" t="str">
        <f>CONCATENATE("54820054705")</f>
        <v>54820054705</v>
      </c>
      <c r="K2680" s="3" t="s">
        <v>33</v>
      </c>
      <c r="L2680" s="3"/>
      <c r="M2680" s="3" t="s">
        <v>131</v>
      </c>
      <c r="N2680" s="3" t="str">
        <f>CONCATENATE("BRGGLI64C05I653S")</f>
        <v>BRGGLI64C05I653S</v>
      </c>
      <c r="O2680" s="3" t="s">
        <v>2811</v>
      </c>
      <c r="P2680" s="3" t="s">
        <v>36</v>
      </c>
      <c r="Q2680" s="3"/>
      <c r="R2680" s="4">
        <v>45996</v>
      </c>
      <c r="S2680" s="3" t="s">
        <v>37</v>
      </c>
      <c r="T2680" s="3" t="s">
        <v>38</v>
      </c>
      <c r="U2680" s="3" t="s">
        <v>39</v>
      </c>
      <c r="V2680" s="3">
        <v>65.63</v>
      </c>
      <c r="W2680" s="3">
        <v>27.89</v>
      </c>
      <c r="X2680" s="3">
        <v>26.42</v>
      </c>
      <c r="Y2680" s="3">
        <v>11.32</v>
      </c>
    </row>
    <row r="2681" spans="1:25" ht="60.75" x14ac:dyDescent="0.25">
      <c r="A2681" s="3" t="s">
        <v>26</v>
      </c>
      <c r="B2681" s="3" t="s">
        <v>27</v>
      </c>
      <c r="C2681" s="3" t="s">
        <v>28</v>
      </c>
      <c r="D2681" s="3" t="s">
        <v>29</v>
      </c>
      <c r="E2681" s="3" t="s">
        <v>182</v>
      </c>
      <c r="F2681" s="3" t="s">
        <v>31</v>
      </c>
      <c r="G2681" s="3" t="s">
        <v>182</v>
      </c>
      <c r="H2681" s="3" t="s">
        <v>45</v>
      </c>
      <c r="I2681" s="3">
        <v>2025</v>
      </c>
      <c r="J2681" s="3" t="str">
        <f>CONCATENATE("54820114376")</f>
        <v>54820114376</v>
      </c>
      <c r="K2681" s="3" t="s">
        <v>33</v>
      </c>
      <c r="L2681" s="3"/>
      <c r="M2681" s="3" t="s">
        <v>131</v>
      </c>
      <c r="N2681" s="3" t="str">
        <f>CONCATENATE("FRTGRL68S22F715R")</f>
        <v>FRTGRL68S22F715R</v>
      </c>
      <c r="O2681" s="3" t="s">
        <v>2812</v>
      </c>
      <c r="P2681" s="3" t="s">
        <v>36</v>
      </c>
      <c r="Q2681" s="3"/>
      <c r="R2681" s="4">
        <v>45996</v>
      </c>
      <c r="S2681" s="3" t="s">
        <v>37</v>
      </c>
      <c r="T2681" s="3" t="s">
        <v>38</v>
      </c>
      <c r="U2681" s="3" t="s">
        <v>39</v>
      </c>
      <c r="V2681" s="3">
        <v>112.21</v>
      </c>
      <c r="W2681" s="3">
        <v>47.69</v>
      </c>
      <c r="X2681" s="3">
        <v>45.16</v>
      </c>
      <c r="Y2681" s="3">
        <v>19.36</v>
      </c>
    </row>
    <row r="2682" spans="1:25" ht="60.75" x14ac:dyDescent="0.25">
      <c r="A2682" s="3" t="s">
        <v>26</v>
      </c>
      <c r="B2682" s="3" t="s">
        <v>27</v>
      </c>
      <c r="C2682" s="3" t="s">
        <v>28</v>
      </c>
      <c r="D2682" s="3" t="s">
        <v>50</v>
      </c>
      <c r="E2682" s="3" t="s">
        <v>147</v>
      </c>
      <c r="F2682" s="3" t="s">
        <v>52</v>
      </c>
      <c r="G2682" s="3" t="s">
        <v>147</v>
      </c>
      <c r="H2682" s="3" t="s">
        <v>45</v>
      </c>
      <c r="I2682" s="3">
        <v>2025</v>
      </c>
      <c r="J2682" s="3" t="str">
        <f>CONCATENATE("54820171954")</f>
        <v>54820171954</v>
      </c>
      <c r="K2682" s="3" t="s">
        <v>33</v>
      </c>
      <c r="L2682" s="3"/>
      <c r="M2682" s="3" t="s">
        <v>131</v>
      </c>
      <c r="N2682" s="3" t="str">
        <f>CONCATENATE("SPRSFN80H07L500B")</f>
        <v>SPRSFN80H07L500B</v>
      </c>
      <c r="O2682" s="3" t="s">
        <v>2813</v>
      </c>
      <c r="P2682" s="3" t="s">
        <v>36</v>
      </c>
      <c r="Q2682" s="3"/>
      <c r="R2682" s="4">
        <v>45996</v>
      </c>
      <c r="S2682" s="3" t="s">
        <v>37</v>
      </c>
      <c r="T2682" s="3" t="s">
        <v>38</v>
      </c>
      <c r="U2682" s="3" t="s">
        <v>39</v>
      </c>
      <c r="V2682" s="3">
        <v>312.14999999999998</v>
      </c>
      <c r="W2682" s="3">
        <v>132.66</v>
      </c>
      <c r="X2682" s="3">
        <v>125.64</v>
      </c>
      <c r="Y2682" s="3">
        <v>53.85</v>
      </c>
    </row>
    <row r="2683" spans="1:25" ht="36.75" x14ac:dyDescent="0.25">
      <c r="A2683" s="3" t="s">
        <v>26</v>
      </c>
      <c r="B2683" s="3" t="s">
        <v>27</v>
      </c>
      <c r="C2683" s="3" t="s">
        <v>28</v>
      </c>
      <c r="D2683" s="3" t="s">
        <v>29</v>
      </c>
      <c r="E2683" s="3" t="s">
        <v>136</v>
      </c>
      <c r="F2683" s="3" t="s">
        <v>31</v>
      </c>
      <c r="G2683" s="3" t="s">
        <v>136</v>
      </c>
      <c r="H2683" s="3" t="s">
        <v>48</v>
      </c>
      <c r="I2683" s="3">
        <v>2025</v>
      </c>
      <c r="J2683" s="3" t="str">
        <f>CONCATENATE("54820171905")</f>
        <v>54820171905</v>
      </c>
      <c r="K2683" s="3" t="s">
        <v>33</v>
      </c>
      <c r="L2683" s="3"/>
      <c r="M2683" s="3" t="s">
        <v>131</v>
      </c>
      <c r="N2683" s="3" t="str">
        <f>CONCATENATE("03003220427")</f>
        <v>03003220427</v>
      </c>
      <c r="O2683" s="3" t="s">
        <v>2814</v>
      </c>
      <c r="P2683" s="3" t="s">
        <v>36</v>
      </c>
      <c r="Q2683" s="3"/>
      <c r="R2683" s="4">
        <v>45996</v>
      </c>
      <c r="S2683" s="3" t="s">
        <v>37</v>
      </c>
      <c r="T2683" s="3" t="s">
        <v>38</v>
      </c>
      <c r="U2683" s="3" t="s">
        <v>39</v>
      </c>
      <c r="V2683" s="3">
        <v>567.45000000000005</v>
      </c>
      <c r="W2683" s="3">
        <v>241.17</v>
      </c>
      <c r="X2683" s="3">
        <v>228.4</v>
      </c>
      <c r="Y2683" s="3">
        <v>97.88</v>
      </c>
    </row>
    <row r="2684" spans="1:25" ht="60.75" x14ac:dyDescent="0.25">
      <c r="A2684" s="3" t="s">
        <v>26</v>
      </c>
      <c r="B2684" s="3" t="s">
        <v>27</v>
      </c>
      <c r="C2684" s="3" t="s">
        <v>28</v>
      </c>
      <c r="D2684" s="3" t="s">
        <v>29</v>
      </c>
      <c r="E2684" s="3" t="s">
        <v>47</v>
      </c>
      <c r="F2684" s="3" t="s">
        <v>31</v>
      </c>
      <c r="G2684" s="3" t="s">
        <v>47</v>
      </c>
      <c r="H2684" s="3" t="s">
        <v>48</v>
      </c>
      <c r="I2684" s="3">
        <v>2025</v>
      </c>
      <c r="J2684" s="3" t="str">
        <f>CONCATENATE("54820211685")</f>
        <v>54820211685</v>
      </c>
      <c r="K2684" s="3" t="s">
        <v>33</v>
      </c>
      <c r="L2684" s="3"/>
      <c r="M2684" s="3" t="s">
        <v>131</v>
      </c>
      <c r="N2684" s="3" t="str">
        <f>CONCATENATE("RGNFNC77P23D451K")</f>
        <v>RGNFNC77P23D451K</v>
      </c>
      <c r="O2684" s="3" t="s">
        <v>2815</v>
      </c>
      <c r="P2684" s="3" t="s">
        <v>36</v>
      </c>
      <c r="Q2684" s="3"/>
      <c r="R2684" s="4">
        <v>45996</v>
      </c>
      <c r="S2684" s="3" t="s">
        <v>37</v>
      </c>
      <c r="T2684" s="3" t="s">
        <v>38</v>
      </c>
      <c r="U2684" s="3" t="s">
        <v>39</v>
      </c>
      <c r="V2684" s="3">
        <v>192.47</v>
      </c>
      <c r="W2684" s="3">
        <v>81.8</v>
      </c>
      <c r="X2684" s="3">
        <v>77.47</v>
      </c>
      <c r="Y2684" s="3">
        <v>33.200000000000003</v>
      </c>
    </row>
    <row r="2685" spans="1:25" ht="72.75" x14ac:dyDescent="0.25">
      <c r="A2685" s="3" t="s">
        <v>26</v>
      </c>
      <c r="B2685" s="3" t="s">
        <v>27</v>
      </c>
      <c r="C2685" s="3" t="s">
        <v>28</v>
      </c>
      <c r="D2685" s="3" t="s">
        <v>40</v>
      </c>
      <c r="E2685" s="3" t="s">
        <v>496</v>
      </c>
      <c r="F2685" s="3" t="s">
        <v>42</v>
      </c>
      <c r="G2685" s="3" t="s">
        <v>496</v>
      </c>
      <c r="H2685" s="3" t="s">
        <v>32</v>
      </c>
      <c r="I2685" s="3">
        <v>2025</v>
      </c>
      <c r="J2685" s="3" t="str">
        <f>CONCATENATE("54820117866")</f>
        <v>54820117866</v>
      </c>
      <c r="K2685" s="3" t="s">
        <v>33</v>
      </c>
      <c r="L2685" s="3"/>
      <c r="M2685" s="3" t="s">
        <v>131</v>
      </c>
      <c r="N2685" s="3" t="str">
        <f>CONCATENATE("MGRMRN54H27B398Y")</f>
        <v>MGRMRN54H27B398Y</v>
      </c>
      <c r="O2685" s="3" t="s">
        <v>2816</v>
      </c>
      <c r="P2685" s="3" t="s">
        <v>36</v>
      </c>
      <c r="Q2685" s="3"/>
      <c r="R2685" s="4">
        <v>45996</v>
      </c>
      <c r="S2685" s="3" t="s">
        <v>37</v>
      </c>
      <c r="T2685" s="3" t="s">
        <v>38</v>
      </c>
      <c r="U2685" s="3" t="s">
        <v>39</v>
      </c>
      <c r="V2685" s="3">
        <v>99.16</v>
      </c>
      <c r="W2685" s="3">
        <v>42.14</v>
      </c>
      <c r="X2685" s="3">
        <v>39.909999999999997</v>
      </c>
      <c r="Y2685" s="3">
        <v>17.11</v>
      </c>
    </row>
    <row r="2686" spans="1:25" ht="60.75" x14ac:dyDescent="0.25">
      <c r="A2686" s="3" t="s">
        <v>26</v>
      </c>
      <c r="B2686" s="3" t="s">
        <v>27</v>
      </c>
      <c r="C2686" s="3" t="s">
        <v>28</v>
      </c>
      <c r="D2686" s="3" t="s">
        <v>104</v>
      </c>
      <c r="E2686" s="3" t="s">
        <v>141</v>
      </c>
      <c r="F2686" s="3" t="s">
        <v>104</v>
      </c>
      <c r="G2686" s="3" t="s">
        <v>141</v>
      </c>
      <c r="H2686" s="3" t="s">
        <v>96</v>
      </c>
      <c r="I2686" s="3">
        <v>2025</v>
      </c>
      <c r="J2686" s="3" t="str">
        <f>CONCATENATE("54820137401")</f>
        <v>54820137401</v>
      </c>
      <c r="K2686" s="3" t="s">
        <v>33</v>
      </c>
      <c r="L2686" s="3"/>
      <c r="M2686" s="3" t="s">
        <v>131</v>
      </c>
      <c r="N2686" s="3" t="str">
        <f>CONCATENATE("FNRGNS56D09I774K")</f>
        <v>FNRGNS56D09I774K</v>
      </c>
      <c r="O2686" s="3" t="s">
        <v>2817</v>
      </c>
      <c r="P2686" s="3" t="s">
        <v>36</v>
      </c>
      <c r="Q2686" s="3"/>
      <c r="R2686" s="4">
        <v>45996</v>
      </c>
      <c r="S2686" s="3" t="s">
        <v>37</v>
      </c>
      <c r="T2686" s="3" t="s">
        <v>38</v>
      </c>
      <c r="U2686" s="3" t="s">
        <v>39</v>
      </c>
      <c r="V2686" s="3">
        <v>166.03</v>
      </c>
      <c r="W2686" s="3">
        <v>70.56</v>
      </c>
      <c r="X2686" s="3">
        <v>66.83</v>
      </c>
      <c r="Y2686" s="3">
        <v>28.64</v>
      </c>
    </row>
    <row r="2687" spans="1:25" ht="60.75" x14ac:dyDescent="0.25">
      <c r="A2687" s="3" t="s">
        <v>26</v>
      </c>
      <c r="B2687" s="3" t="s">
        <v>27</v>
      </c>
      <c r="C2687" s="3" t="s">
        <v>28</v>
      </c>
      <c r="D2687" s="3" t="s">
        <v>104</v>
      </c>
      <c r="E2687" s="3" t="s">
        <v>141</v>
      </c>
      <c r="F2687" s="3" t="s">
        <v>104</v>
      </c>
      <c r="G2687" s="3" t="s">
        <v>141</v>
      </c>
      <c r="H2687" s="3" t="s">
        <v>96</v>
      </c>
      <c r="I2687" s="3">
        <v>2025</v>
      </c>
      <c r="J2687" s="3" t="str">
        <f>CONCATENATE("54820137443")</f>
        <v>54820137443</v>
      </c>
      <c r="K2687" s="3" t="s">
        <v>33</v>
      </c>
      <c r="L2687" s="3"/>
      <c r="M2687" s="3" t="s">
        <v>131</v>
      </c>
      <c r="N2687" s="3" t="str">
        <f>CONCATENATE("TFFNNL60P63F509Q")</f>
        <v>TFFNNL60P63F509Q</v>
      </c>
      <c r="O2687" s="3" t="s">
        <v>2818</v>
      </c>
      <c r="P2687" s="3" t="s">
        <v>36</v>
      </c>
      <c r="Q2687" s="3"/>
      <c r="R2687" s="4">
        <v>45996</v>
      </c>
      <c r="S2687" s="3" t="s">
        <v>37</v>
      </c>
      <c r="T2687" s="3" t="s">
        <v>38</v>
      </c>
      <c r="U2687" s="3" t="s">
        <v>39</v>
      </c>
      <c r="V2687" s="3">
        <v>190.5</v>
      </c>
      <c r="W2687" s="3">
        <v>80.959999999999994</v>
      </c>
      <c r="X2687" s="3">
        <v>76.680000000000007</v>
      </c>
      <c r="Y2687" s="3">
        <v>32.86</v>
      </c>
    </row>
    <row r="2688" spans="1:25" ht="60.75" x14ac:dyDescent="0.25">
      <c r="A2688" s="3" t="s">
        <v>26</v>
      </c>
      <c r="B2688" s="3" t="s">
        <v>27</v>
      </c>
      <c r="C2688" s="3" t="s">
        <v>28</v>
      </c>
      <c r="D2688" s="3" t="s">
        <v>50</v>
      </c>
      <c r="E2688" s="3" t="s">
        <v>252</v>
      </c>
      <c r="F2688" s="3" t="s">
        <v>52</v>
      </c>
      <c r="G2688" s="3" t="s">
        <v>252</v>
      </c>
      <c r="H2688" s="3" t="s">
        <v>45</v>
      </c>
      <c r="I2688" s="3">
        <v>2025</v>
      </c>
      <c r="J2688" s="3" t="str">
        <f>CONCATENATE("54820202965")</f>
        <v>54820202965</v>
      </c>
      <c r="K2688" s="3" t="s">
        <v>33</v>
      </c>
      <c r="L2688" s="3"/>
      <c r="M2688" s="3" t="s">
        <v>131</v>
      </c>
      <c r="N2688" s="3" t="str">
        <f>CONCATENATE("PTRLIO39B61H721S")</f>
        <v>PTRLIO39B61H721S</v>
      </c>
      <c r="O2688" s="3" t="s">
        <v>2819</v>
      </c>
      <c r="P2688" s="3" t="s">
        <v>36</v>
      </c>
      <c r="Q2688" s="3"/>
      <c r="R2688" s="4">
        <v>45996</v>
      </c>
      <c r="S2688" s="3" t="s">
        <v>37</v>
      </c>
      <c r="T2688" s="3" t="s">
        <v>38</v>
      </c>
      <c r="U2688" s="3" t="s">
        <v>39</v>
      </c>
      <c r="V2688" s="3">
        <v>147.22999999999999</v>
      </c>
      <c r="W2688" s="3">
        <v>62.57</v>
      </c>
      <c r="X2688" s="3">
        <v>59.26</v>
      </c>
      <c r="Y2688" s="3">
        <v>25.4</v>
      </c>
    </row>
    <row r="2689" spans="1:25" ht="60.75" x14ac:dyDescent="0.25">
      <c r="A2689" s="3" t="s">
        <v>26</v>
      </c>
      <c r="B2689" s="3" t="s">
        <v>27</v>
      </c>
      <c r="C2689" s="3" t="s">
        <v>28</v>
      </c>
      <c r="D2689" s="3" t="s">
        <v>29</v>
      </c>
      <c r="E2689" s="3" t="s">
        <v>56</v>
      </c>
      <c r="F2689" s="3" t="s">
        <v>31</v>
      </c>
      <c r="G2689" s="3" t="s">
        <v>56</v>
      </c>
      <c r="H2689" s="3" t="s">
        <v>48</v>
      </c>
      <c r="I2689" s="3">
        <v>2025</v>
      </c>
      <c r="J2689" s="3" t="str">
        <f>CONCATENATE("54820212402")</f>
        <v>54820212402</v>
      </c>
      <c r="K2689" s="3" t="s">
        <v>33</v>
      </c>
      <c r="L2689" s="3"/>
      <c r="M2689" s="3" t="s">
        <v>131</v>
      </c>
      <c r="N2689" s="3" t="str">
        <f>CONCATENATE("CPPNVE52B29B474K")</f>
        <v>CPPNVE52B29B474K</v>
      </c>
      <c r="O2689" s="3" t="s">
        <v>2820</v>
      </c>
      <c r="P2689" s="3" t="s">
        <v>36</v>
      </c>
      <c r="Q2689" s="3"/>
      <c r="R2689" s="4">
        <v>45996</v>
      </c>
      <c r="S2689" s="3" t="s">
        <v>37</v>
      </c>
      <c r="T2689" s="3" t="s">
        <v>38</v>
      </c>
      <c r="U2689" s="3" t="s">
        <v>39</v>
      </c>
      <c r="V2689" s="3">
        <v>95.97</v>
      </c>
      <c r="W2689" s="3">
        <v>40.79</v>
      </c>
      <c r="X2689" s="3">
        <v>38.630000000000003</v>
      </c>
      <c r="Y2689" s="3">
        <v>16.55</v>
      </c>
    </row>
    <row r="2690" spans="1:25" ht="36.75" x14ac:dyDescent="0.25">
      <c r="A2690" s="3" t="s">
        <v>26</v>
      </c>
      <c r="B2690" s="3" t="s">
        <v>27</v>
      </c>
      <c r="C2690" s="3" t="s">
        <v>28</v>
      </c>
      <c r="D2690" s="3" t="s">
        <v>29</v>
      </c>
      <c r="E2690" s="3" t="s">
        <v>136</v>
      </c>
      <c r="F2690" s="3" t="s">
        <v>31</v>
      </c>
      <c r="G2690" s="3" t="s">
        <v>136</v>
      </c>
      <c r="H2690" s="3" t="s">
        <v>48</v>
      </c>
      <c r="I2690" s="3">
        <v>2025</v>
      </c>
      <c r="J2690" s="3" t="str">
        <f>CONCATENATE("54820171848")</f>
        <v>54820171848</v>
      </c>
      <c r="K2690" s="3" t="s">
        <v>33</v>
      </c>
      <c r="L2690" s="3"/>
      <c r="M2690" s="3" t="s">
        <v>131</v>
      </c>
      <c r="N2690" s="3" t="str">
        <f>CONCATENATE("02999940428")</f>
        <v>02999940428</v>
      </c>
      <c r="O2690" s="3" t="s">
        <v>2821</v>
      </c>
      <c r="P2690" s="3" t="s">
        <v>36</v>
      </c>
      <c r="Q2690" s="3"/>
      <c r="R2690" s="4">
        <v>45996</v>
      </c>
      <c r="S2690" s="3" t="s">
        <v>37</v>
      </c>
      <c r="T2690" s="3" t="s">
        <v>38</v>
      </c>
      <c r="U2690" s="3" t="s">
        <v>39</v>
      </c>
      <c r="V2690" s="5">
        <v>1074.9100000000001</v>
      </c>
      <c r="W2690" s="3">
        <v>456.84</v>
      </c>
      <c r="X2690" s="3">
        <v>432.65</v>
      </c>
      <c r="Y2690" s="3">
        <v>185.42</v>
      </c>
    </row>
    <row r="2691" spans="1:25" ht="60.75" x14ac:dyDescent="0.25">
      <c r="A2691" s="3" t="s">
        <v>26</v>
      </c>
      <c r="B2691" s="3" t="s">
        <v>27</v>
      </c>
      <c r="C2691" s="3" t="s">
        <v>28</v>
      </c>
      <c r="D2691" s="3" t="s">
        <v>29</v>
      </c>
      <c r="E2691" s="3" t="s">
        <v>56</v>
      </c>
      <c r="F2691" s="3" t="s">
        <v>31</v>
      </c>
      <c r="G2691" s="3" t="s">
        <v>56</v>
      </c>
      <c r="H2691" s="3" t="s">
        <v>32</v>
      </c>
      <c r="I2691" s="3">
        <v>2025</v>
      </c>
      <c r="J2691" s="3" t="str">
        <f>CONCATENATE("54820149539")</f>
        <v>54820149539</v>
      </c>
      <c r="K2691" s="3" t="s">
        <v>33</v>
      </c>
      <c r="L2691" s="3"/>
      <c r="M2691" s="3" t="s">
        <v>131</v>
      </c>
      <c r="N2691" s="3" t="str">
        <f>CONCATENATE("STFNCL55C28B474N")</f>
        <v>STFNCL55C28B474N</v>
      </c>
      <c r="O2691" s="3" t="s">
        <v>2822</v>
      </c>
      <c r="P2691" s="3" t="s">
        <v>36</v>
      </c>
      <c r="Q2691" s="3"/>
      <c r="R2691" s="4">
        <v>45996</v>
      </c>
      <c r="S2691" s="3" t="s">
        <v>37</v>
      </c>
      <c r="T2691" s="3" t="s">
        <v>38</v>
      </c>
      <c r="U2691" s="3" t="s">
        <v>39</v>
      </c>
      <c r="V2691" s="3">
        <v>843.28</v>
      </c>
      <c r="W2691" s="3">
        <v>358.39</v>
      </c>
      <c r="X2691" s="3">
        <v>339.42</v>
      </c>
      <c r="Y2691" s="3">
        <v>145.47</v>
      </c>
    </row>
    <row r="2692" spans="1:25" ht="60.75" x14ac:dyDescent="0.25">
      <c r="A2692" s="3" t="s">
        <v>26</v>
      </c>
      <c r="B2692" s="3" t="s">
        <v>27</v>
      </c>
      <c r="C2692" s="3" t="s">
        <v>28</v>
      </c>
      <c r="D2692" s="3" t="s">
        <v>50</v>
      </c>
      <c r="E2692" s="3" t="s">
        <v>147</v>
      </c>
      <c r="F2692" s="3" t="s">
        <v>52</v>
      </c>
      <c r="G2692" s="3" t="s">
        <v>147</v>
      </c>
      <c r="H2692" s="3" t="s">
        <v>45</v>
      </c>
      <c r="I2692" s="3">
        <v>2025</v>
      </c>
      <c r="J2692" s="3" t="str">
        <f>CONCATENATE("54820182183")</f>
        <v>54820182183</v>
      </c>
      <c r="K2692" s="3" t="s">
        <v>33</v>
      </c>
      <c r="L2692" s="3"/>
      <c r="M2692" s="3" t="s">
        <v>131</v>
      </c>
      <c r="N2692" s="3" t="str">
        <f>CONCATENATE("LCRMRZ72H15L500E")</f>
        <v>LCRMRZ72H15L500E</v>
      </c>
      <c r="O2692" s="3" t="s">
        <v>2823</v>
      </c>
      <c r="P2692" s="3" t="s">
        <v>36</v>
      </c>
      <c r="Q2692" s="3"/>
      <c r="R2692" s="4">
        <v>45996</v>
      </c>
      <c r="S2692" s="3" t="s">
        <v>37</v>
      </c>
      <c r="T2692" s="3" t="s">
        <v>38</v>
      </c>
      <c r="U2692" s="3" t="s">
        <v>39</v>
      </c>
      <c r="V2692" s="5">
        <v>1071.19</v>
      </c>
      <c r="W2692" s="3">
        <v>455.26</v>
      </c>
      <c r="X2692" s="3">
        <v>431.15</v>
      </c>
      <c r="Y2692" s="3">
        <v>184.78</v>
      </c>
    </row>
    <row r="2693" spans="1:25" ht="72.75" x14ac:dyDescent="0.25">
      <c r="A2693" s="3" t="s">
        <v>26</v>
      </c>
      <c r="B2693" s="3" t="s">
        <v>27</v>
      </c>
      <c r="C2693" s="3" t="s">
        <v>28</v>
      </c>
      <c r="D2693" s="3" t="s">
        <v>50</v>
      </c>
      <c r="E2693" s="3" t="s">
        <v>51</v>
      </c>
      <c r="F2693" s="3" t="s">
        <v>52</v>
      </c>
      <c r="G2693" s="3" t="s">
        <v>51</v>
      </c>
      <c r="H2693" s="3" t="s">
        <v>48</v>
      </c>
      <c r="I2693" s="3">
        <v>2025</v>
      </c>
      <c r="J2693" s="3" t="str">
        <f>CONCATENATE("54820200597")</f>
        <v>54820200597</v>
      </c>
      <c r="K2693" s="3" t="s">
        <v>33</v>
      </c>
      <c r="L2693" s="3"/>
      <c r="M2693" s="3" t="s">
        <v>131</v>
      </c>
      <c r="N2693" s="3" t="str">
        <f>CONCATENATE("SNTMRP58H45D451Q")</f>
        <v>SNTMRP58H45D451Q</v>
      </c>
      <c r="O2693" s="3" t="s">
        <v>2824</v>
      </c>
      <c r="P2693" s="3" t="s">
        <v>36</v>
      </c>
      <c r="Q2693" s="3"/>
      <c r="R2693" s="4">
        <v>45996</v>
      </c>
      <c r="S2693" s="3" t="s">
        <v>37</v>
      </c>
      <c r="T2693" s="3" t="s">
        <v>38</v>
      </c>
      <c r="U2693" s="3" t="s">
        <v>39</v>
      </c>
      <c r="V2693" s="3">
        <v>261.22000000000003</v>
      </c>
      <c r="W2693" s="3">
        <v>111.02</v>
      </c>
      <c r="X2693" s="3">
        <v>105.14</v>
      </c>
      <c r="Y2693" s="3">
        <v>45.06</v>
      </c>
    </row>
    <row r="2694" spans="1:25" ht="60.75" x14ac:dyDescent="0.25">
      <c r="A2694" s="3" t="s">
        <v>26</v>
      </c>
      <c r="B2694" s="3" t="s">
        <v>27</v>
      </c>
      <c r="C2694" s="3" t="s">
        <v>28</v>
      </c>
      <c r="D2694" s="3" t="s">
        <v>29</v>
      </c>
      <c r="E2694" s="3" t="s">
        <v>56</v>
      </c>
      <c r="F2694" s="3" t="s">
        <v>31</v>
      </c>
      <c r="G2694" s="3" t="s">
        <v>56</v>
      </c>
      <c r="H2694" s="3" t="s">
        <v>32</v>
      </c>
      <c r="I2694" s="3">
        <v>2025</v>
      </c>
      <c r="J2694" s="3" t="str">
        <f>CONCATENATE("54820149927")</f>
        <v>54820149927</v>
      </c>
      <c r="K2694" s="3" t="s">
        <v>33</v>
      </c>
      <c r="L2694" s="3"/>
      <c r="M2694" s="3" t="s">
        <v>131</v>
      </c>
      <c r="N2694" s="3" t="str">
        <f>CONCATENATE("TDNPTR48H29D429T")</f>
        <v>TDNPTR48H29D429T</v>
      </c>
      <c r="O2694" s="3" t="s">
        <v>2825</v>
      </c>
      <c r="P2694" s="3" t="s">
        <v>36</v>
      </c>
      <c r="Q2694" s="3"/>
      <c r="R2694" s="4">
        <v>45996</v>
      </c>
      <c r="S2694" s="3" t="s">
        <v>37</v>
      </c>
      <c r="T2694" s="3" t="s">
        <v>38</v>
      </c>
      <c r="U2694" s="3" t="s">
        <v>39</v>
      </c>
      <c r="V2694" s="3">
        <v>80.31</v>
      </c>
      <c r="W2694" s="3">
        <v>34.130000000000003</v>
      </c>
      <c r="X2694" s="3">
        <v>32.32</v>
      </c>
      <c r="Y2694" s="3">
        <v>13.86</v>
      </c>
    </row>
    <row r="2695" spans="1:25" ht="60.75" x14ac:dyDescent="0.25">
      <c r="A2695" s="3" t="s">
        <v>26</v>
      </c>
      <c r="B2695" s="3" t="s">
        <v>27</v>
      </c>
      <c r="C2695" s="3" t="s">
        <v>28</v>
      </c>
      <c r="D2695" s="3" t="s">
        <v>29</v>
      </c>
      <c r="E2695" s="3" t="s">
        <v>68</v>
      </c>
      <c r="F2695" s="3" t="s">
        <v>31</v>
      </c>
      <c r="G2695" s="3" t="s">
        <v>68</v>
      </c>
      <c r="H2695" s="3" t="s">
        <v>32</v>
      </c>
      <c r="I2695" s="3">
        <v>2025</v>
      </c>
      <c r="J2695" s="3" t="str">
        <f>CONCATENATE("54820113923")</f>
        <v>54820113923</v>
      </c>
      <c r="K2695" s="3" t="s">
        <v>33</v>
      </c>
      <c r="L2695" s="3"/>
      <c r="M2695" s="3" t="s">
        <v>131</v>
      </c>
      <c r="N2695" s="3" t="str">
        <f>CONCATENATE("RLNBRN60T62I436G")</f>
        <v>RLNBRN60T62I436G</v>
      </c>
      <c r="O2695" s="3" t="s">
        <v>2826</v>
      </c>
      <c r="P2695" s="3" t="s">
        <v>36</v>
      </c>
      <c r="Q2695" s="3"/>
      <c r="R2695" s="4">
        <v>45996</v>
      </c>
      <c r="S2695" s="3" t="s">
        <v>37</v>
      </c>
      <c r="T2695" s="3" t="s">
        <v>38</v>
      </c>
      <c r="U2695" s="3" t="s">
        <v>39</v>
      </c>
      <c r="V2695" s="3">
        <v>210.89</v>
      </c>
      <c r="W2695" s="3">
        <v>89.63</v>
      </c>
      <c r="X2695" s="3">
        <v>84.88</v>
      </c>
      <c r="Y2695" s="3">
        <v>36.380000000000003</v>
      </c>
    </row>
    <row r="2696" spans="1:25" ht="72.75" x14ac:dyDescent="0.25">
      <c r="A2696" s="3" t="s">
        <v>26</v>
      </c>
      <c r="B2696" s="3" t="s">
        <v>27</v>
      </c>
      <c r="C2696" s="3" t="s">
        <v>28</v>
      </c>
      <c r="D2696" s="3" t="s">
        <v>50</v>
      </c>
      <c r="E2696" s="3" t="s">
        <v>147</v>
      </c>
      <c r="F2696" s="3" t="s">
        <v>52</v>
      </c>
      <c r="G2696" s="3" t="s">
        <v>147</v>
      </c>
      <c r="H2696" s="3" t="s">
        <v>45</v>
      </c>
      <c r="I2696" s="3">
        <v>2025</v>
      </c>
      <c r="J2696" s="3" t="str">
        <f>CONCATENATE("54820208558")</f>
        <v>54820208558</v>
      </c>
      <c r="K2696" s="3" t="s">
        <v>33</v>
      </c>
      <c r="L2696" s="3"/>
      <c r="M2696" s="3" t="s">
        <v>131</v>
      </c>
      <c r="N2696" s="3" t="str">
        <f>CONCATENATE("BRFMNC72R53G479Q")</f>
        <v>BRFMNC72R53G479Q</v>
      </c>
      <c r="O2696" s="3" t="s">
        <v>2827</v>
      </c>
      <c r="P2696" s="3" t="s">
        <v>36</v>
      </c>
      <c r="Q2696" s="3"/>
      <c r="R2696" s="4">
        <v>45996</v>
      </c>
      <c r="S2696" s="3" t="s">
        <v>37</v>
      </c>
      <c r="T2696" s="3" t="s">
        <v>38</v>
      </c>
      <c r="U2696" s="3" t="s">
        <v>39</v>
      </c>
      <c r="V2696" s="3">
        <v>206.52</v>
      </c>
      <c r="W2696" s="3">
        <v>87.77</v>
      </c>
      <c r="X2696" s="3">
        <v>83.12</v>
      </c>
      <c r="Y2696" s="3">
        <v>35.630000000000003</v>
      </c>
    </row>
    <row r="2697" spans="1:25" ht="60.75" x14ac:dyDescent="0.25">
      <c r="A2697" s="3" t="s">
        <v>26</v>
      </c>
      <c r="B2697" s="3" t="s">
        <v>27</v>
      </c>
      <c r="C2697" s="3" t="s">
        <v>28</v>
      </c>
      <c r="D2697" s="3" t="s">
        <v>50</v>
      </c>
      <c r="E2697" s="3" t="s">
        <v>147</v>
      </c>
      <c r="F2697" s="3" t="s">
        <v>52</v>
      </c>
      <c r="G2697" s="3" t="s">
        <v>147</v>
      </c>
      <c r="H2697" s="3" t="s">
        <v>45</v>
      </c>
      <c r="I2697" s="3">
        <v>2025</v>
      </c>
      <c r="J2697" s="3" t="str">
        <f>CONCATENATE("54820102389")</f>
        <v>54820102389</v>
      </c>
      <c r="K2697" s="3" t="s">
        <v>33</v>
      </c>
      <c r="L2697" s="3"/>
      <c r="M2697" s="3" t="s">
        <v>131</v>
      </c>
      <c r="N2697" s="3" t="str">
        <f>CONCATENATE("TNTGRG52E27L500Z")</f>
        <v>TNTGRG52E27L500Z</v>
      </c>
      <c r="O2697" s="3" t="s">
        <v>2828</v>
      </c>
      <c r="P2697" s="3" t="s">
        <v>36</v>
      </c>
      <c r="Q2697" s="3"/>
      <c r="R2697" s="4">
        <v>45996</v>
      </c>
      <c r="S2697" s="3" t="s">
        <v>37</v>
      </c>
      <c r="T2697" s="3" t="s">
        <v>38</v>
      </c>
      <c r="U2697" s="3" t="s">
        <v>39</v>
      </c>
      <c r="V2697" s="3">
        <v>287.27999999999997</v>
      </c>
      <c r="W2697" s="3">
        <v>122.09</v>
      </c>
      <c r="X2697" s="3">
        <v>115.63</v>
      </c>
      <c r="Y2697" s="3">
        <v>49.56</v>
      </c>
    </row>
    <row r="2698" spans="1:25" ht="60.75" x14ac:dyDescent="0.25">
      <c r="A2698" s="3" t="s">
        <v>26</v>
      </c>
      <c r="B2698" s="3" t="s">
        <v>27</v>
      </c>
      <c r="C2698" s="3" t="s">
        <v>28</v>
      </c>
      <c r="D2698" s="3" t="s">
        <v>104</v>
      </c>
      <c r="E2698" s="3" t="s">
        <v>141</v>
      </c>
      <c r="F2698" s="3" t="s">
        <v>104</v>
      </c>
      <c r="G2698" s="3" t="s">
        <v>141</v>
      </c>
      <c r="H2698" s="3" t="s">
        <v>96</v>
      </c>
      <c r="I2698" s="3">
        <v>2025</v>
      </c>
      <c r="J2698" s="3" t="str">
        <f>CONCATENATE("54820136346")</f>
        <v>54820136346</v>
      </c>
      <c r="K2698" s="3" t="s">
        <v>33</v>
      </c>
      <c r="L2698" s="3"/>
      <c r="M2698" s="3" t="s">
        <v>131</v>
      </c>
      <c r="N2698" s="3" t="str">
        <f>CONCATENATE("BRTFNC41E06F570O")</f>
        <v>BRTFNC41E06F570O</v>
      </c>
      <c r="O2698" s="3" t="s">
        <v>2829</v>
      </c>
      <c r="P2698" s="3" t="s">
        <v>36</v>
      </c>
      <c r="Q2698" s="3"/>
      <c r="R2698" s="4">
        <v>45996</v>
      </c>
      <c r="S2698" s="3" t="s">
        <v>37</v>
      </c>
      <c r="T2698" s="3" t="s">
        <v>38</v>
      </c>
      <c r="U2698" s="3" t="s">
        <v>39</v>
      </c>
      <c r="V2698" s="3">
        <v>277.98</v>
      </c>
      <c r="W2698" s="3">
        <v>118.14</v>
      </c>
      <c r="X2698" s="3">
        <v>111.89</v>
      </c>
      <c r="Y2698" s="3">
        <v>47.95</v>
      </c>
    </row>
    <row r="2699" spans="1:25" ht="60.75" x14ac:dyDescent="0.25">
      <c r="A2699" s="3" t="s">
        <v>26</v>
      </c>
      <c r="B2699" s="3" t="s">
        <v>27</v>
      </c>
      <c r="C2699" s="3" t="s">
        <v>28</v>
      </c>
      <c r="D2699" s="3" t="s">
        <v>50</v>
      </c>
      <c r="E2699" s="3" t="s">
        <v>252</v>
      </c>
      <c r="F2699" s="3" t="s">
        <v>52</v>
      </c>
      <c r="G2699" s="3" t="s">
        <v>252</v>
      </c>
      <c r="H2699" s="3" t="s">
        <v>45</v>
      </c>
      <c r="I2699" s="3">
        <v>2025</v>
      </c>
      <c r="J2699" s="3" t="str">
        <f>CONCATENATE("54820216460")</f>
        <v>54820216460</v>
      </c>
      <c r="K2699" s="3" t="s">
        <v>33</v>
      </c>
      <c r="L2699" s="3"/>
      <c r="M2699" s="3" t="s">
        <v>131</v>
      </c>
      <c r="N2699" s="3" t="str">
        <f>CONCATENATE("BSLVCN40R17L500R")</f>
        <v>BSLVCN40R17L500R</v>
      </c>
      <c r="O2699" s="3" t="s">
        <v>2830</v>
      </c>
      <c r="P2699" s="3" t="s">
        <v>36</v>
      </c>
      <c r="Q2699" s="3"/>
      <c r="R2699" s="4">
        <v>45996</v>
      </c>
      <c r="S2699" s="3" t="s">
        <v>37</v>
      </c>
      <c r="T2699" s="3" t="s">
        <v>38</v>
      </c>
      <c r="U2699" s="3" t="s">
        <v>39</v>
      </c>
      <c r="V2699" s="3">
        <v>142.47</v>
      </c>
      <c r="W2699" s="3">
        <v>60.55</v>
      </c>
      <c r="X2699" s="3">
        <v>57.34</v>
      </c>
      <c r="Y2699" s="3">
        <v>24.58</v>
      </c>
    </row>
    <row r="2700" spans="1:25" ht="60.75" x14ac:dyDescent="0.25">
      <c r="A2700" s="3" t="s">
        <v>26</v>
      </c>
      <c r="B2700" s="3" t="s">
        <v>27</v>
      </c>
      <c r="C2700" s="3" t="s">
        <v>28</v>
      </c>
      <c r="D2700" s="3" t="s">
        <v>91</v>
      </c>
      <c r="E2700" s="3" t="s">
        <v>151</v>
      </c>
      <c r="F2700" s="3" t="s">
        <v>93</v>
      </c>
      <c r="G2700" s="3" t="s">
        <v>151</v>
      </c>
      <c r="H2700" s="3" t="s">
        <v>45</v>
      </c>
      <c r="I2700" s="3">
        <v>2025</v>
      </c>
      <c r="J2700" s="3" t="str">
        <f>CONCATENATE("54820259452")</f>
        <v>54820259452</v>
      </c>
      <c r="K2700" s="3" t="s">
        <v>33</v>
      </c>
      <c r="L2700" s="3"/>
      <c r="M2700" s="3" t="s">
        <v>131</v>
      </c>
      <c r="N2700" s="3" t="str">
        <f>CONCATENATE("KZMJNT50P56Z127R")</f>
        <v>KZMJNT50P56Z127R</v>
      </c>
      <c r="O2700" s="3" t="s">
        <v>2831</v>
      </c>
      <c r="P2700" s="3" t="s">
        <v>36</v>
      </c>
      <c r="Q2700" s="3"/>
      <c r="R2700" s="4">
        <v>45996</v>
      </c>
      <c r="S2700" s="3" t="s">
        <v>37</v>
      </c>
      <c r="T2700" s="3" t="s">
        <v>38</v>
      </c>
      <c r="U2700" s="3" t="s">
        <v>39</v>
      </c>
      <c r="V2700" s="3">
        <v>673.38</v>
      </c>
      <c r="W2700" s="3">
        <v>286.19</v>
      </c>
      <c r="X2700" s="3">
        <v>271.04000000000002</v>
      </c>
      <c r="Y2700" s="3">
        <v>116.15</v>
      </c>
    </row>
    <row r="2701" spans="1:25" ht="72.75" x14ac:dyDescent="0.25">
      <c r="A2701" s="3" t="s">
        <v>26</v>
      </c>
      <c r="B2701" s="3" t="s">
        <v>27</v>
      </c>
      <c r="C2701" s="3" t="s">
        <v>28</v>
      </c>
      <c r="D2701" s="3" t="s">
        <v>50</v>
      </c>
      <c r="E2701" s="3" t="s">
        <v>60</v>
      </c>
      <c r="F2701" s="3" t="s">
        <v>52</v>
      </c>
      <c r="G2701" s="3" t="s">
        <v>60</v>
      </c>
      <c r="H2701" s="3" t="s">
        <v>45</v>
      </c>
      <c r="I2701" s="3">
        <v>2025</v>
      </c>
      <c r="J2701" s="3" t="str">
        <f>CONCATENATE("54820214242")</f>
        <v>54820214242</v>
      </c>
      <c r="K2701" s="3" t="s">
        <v>33</v>
      </c>
      <c r="L2701" s="3"/>
      <c r="M2701" s="3" t="s">
        <v>131</v>
      </c>
      <c r="N2701" s="3" t="str">
        <f>CONCATENATE("VNNMSM88R08B352V")</f>
        <v>VNNMSM88R08B352V</v>
      </c>
      <c r="O2701" s="3" t="s">
        <v>2832</v>
      </c>
      <c r="P2701" s="3" t="s">
        <v>36</v>
      </c>
      <c r="Q2701" s="3"/>
      <c r="R2701" s="4">
        <v>45996</v>
      </c>
      <c r="S2701" s="3" t="s">
        <v>37</v>
      </c>
      <c r="T2701" s="3" t="s">
        <v>38</v>
      </c>
      <c r="U2701" s="3" t="s">
        <v>39</v>
      </c>
      <c r="V2701" s="3">
        <v>231.89</v>
      </c>
      <c r="W2701" s="3">
        <v>98.55</v>
      </c>
      <c r="X2701" s="3">
        <v>93.34</v>
      </c>
      <c r="Y2701" s="3">
        <v>40</v>
      </c>
    </row>
    <row r="2702" spans="1:25" ht="72.75" x14ac:dyDescent="0.25">
      <c r="A2702" s="3" t="s">
        <v>26</v>
      </c>
      <c r="B2702" s="3" t="s">
        <v>27</v>
      </c>
      <c r="C2702" s="3" t="s">
        <v>28</v>
      </c>
      <c r="D2702" s="3" t="s">
        <v>91</v>
      </c>
      <c r="E2702" s="3" t="s">
        <v>151</v>
      </c>
      <c r="F2702" s="3" t="s">
        <v>93</v>
      </c>
      <c r="G2702" s="3" t="s">
        <v>151</v>
      </c>
      <c r="H2702" s="3" t="s">
        <v>45</v>
      </c>
      <c r="I2702" s="3">
        <v>2025</v>
      </c>
      <c r="J2702" s="3" t="str">
        <f>CONCATENATE("54820266028")</f>
        <v>54820266028</v>
      </c>
      <c r="K2702" s="3" t="s">
        <v>33</v>
      </c>
      <c r="L2702" s="3"/>
      <c r="M2702" s="3" t="s">
        <v>131</v>
      </c>
      <c r="N2702" s="3" t="str">
        <f>CONCATENATE("SMNFRC64H20D488H")</f>
        <v>SMNFRC64H20D488H</v>
      </c>
      <c r="O2702" s="3" t="s">
        <v>2833</v>
      </c>
      <c r="P2702" s="3" t="s">
        <v>36</v>
      </c>
      <c r="Q2702" s="3"/>
      <c r="R2702" s="4">
        <v>45996</v>
      </c>
      <c r="S2702" s="3" t="s">
        <v>37</v>
      </c>
      <c r="T2702" s="3" t="s">
        <v>38</v>
      </c>
      <c r="U2702" s="3" t="s">
        <v>39</v>
      </c>
      <c r="V2702" s="3">
        <v>93.75</v>
      </c>
      <c r="W2702" s="3">
        <v>39.840000000000003</v>
      </c>
      <c r="X2702" s="3">
        <v>37.729999999999997</v>
      </c>
      <c r="Y2702" s="3">
        <v>16.18</v>
      </c>
    </row>
    <row r="2703" spans="1:25" ht="60.75" x14ac:dyDescent="0.25">
      <c r="A2703" s="3" t="s">
        <v>26</v>
      </c>
      <c r="B2703" s="3" t="s">
        <v>27</v>
      </c>
      <c r="C2703" s="3" t="s">
        <v>28</v>
      </c>
      <c r="D2703" s="3" t="s">
        <v>50</v>
      </c>
      <c r="E2703" s="3" t="s">
        <v>252</v>
      </c>
      <c r="F2703" s="3" t="s">
        <v>52</v>
      </c>
      <c r="G2703" s="3" t="s">
        <v>252</v>
      </c>
      <c r="H2703" s="3" t="s">
        <v>45</v>
      </c>
      <c r="I2703" s="3">
        <v>2025</v>
      </c>
      <c r="J2703" s="3" t="str">
        <f>CONCATENATE("54820213160")</f>
        <v>54820213160</v>
      </c>
      <c r="K2703" s="3" t="s">
        <v>33</v>
      </c>
      <c r="L2703" s="3"/>
      <c r="M2703" s="3" t="s">
        <v>131</v>
      </c>
      <c r="N2703" s="3" t="str">
        <f>CONCATENATE("STRCST69S44Z112W")</f>
        <v>STRCST69S44Z112W</v>
      </c>
      <c r="O2703" s="3" t="s">
        <v>2834</v>
      </c>
      <c r="P2703" s="3" t="s">
        <v>36</v>
      </c>
      <c r="Q2703" s="3"/>
      <c r="R2703" s="4">
        <v>45996</v>
      </c>
      <c r="S2703" s="3" t="s">
        <v>37</v>
      </c>
      <c r="T2703" s="3" t="s">
        <v>38</v>
      </c>
      <c r="U2703" s="3" t="s">
        <v>39</v>
      </c>
      <c r="V2703" s="3">
        <v>59.28</v>
      </c>
      <c r="W2703" s="3">
        <v>25.19</v>
      </c>
      <c r="X2703" s="3">
        <v>23.86</v>
      </c>
      <c r="Y2703" s="3">
        <v>10.23</v>
      </c>
    </row>
    <row r="2704" spans="1:25" ht="36.75" x14ac:dyDescent="0.25">
      <c r="A2704" s="3" t="s">
        <v>26</v>
      </c>
      <c r="B2704" s="3" t="s">
        <v>27</v>
      </c>
      <c r="C2704" s="3" t="s">
        <v>28</v>
      </c>
      <c r="D2704" s="3" t="s">
        <v>29</v>
      </c>
      <c r="E2704" s="3" t="s">
        <v>208</v>
      </c>
      <c r="F2704" s="3" t="s">
        <v>31</v>
      </c>
      <c r="G2704" s="3" t="s">
        <v>208</v>
      </c>
      <c r="H2704" s="3" t="s">
        <v>45</v>
      </c>
      <c r="I2704" s="3">
        <v>2025</v>
      </c>
      <c r="J2704" s="3" t="str">
        <f>CONCATENATE("54820258637")</f>
        <v>54820258637</v>
      </c>
      <c r="K2704" s="3" t="s">
        <v>33</v>
      </c>
      <c r="L2704" s="3"/>
      <c r="M2704" s="3" t="s">
        <v>131</v>
      </c>
      <c r="N2704" s="3" t="str">
        <f>CONCATENATE("01068070414")</f>
        <v>01068070414</v>
      </c>
      <c r="O2704" s="3" t="s">
        <v>2835</v>
      </c>
      <c r="P2704" s="3" t="s">
        <v>36</v>
      </c>
      <c r="Q2704" s="3"/>
      <c r="R2704" s="4">
        <v>45996</v>
      </c>
      <c r="S2704" s="3" t="s">
        <v>37</v>
      </c>
      <c r="T2704" s="3" t="s">
        <v>38</v>
      </c>
      <c r="U2704" s="3" t="s">
        <v>39</v>
      </c>
      <c r="V2704" s="3">
        <v>148.22</v>
      </c>
      <c r="W2704" s="3">
        <v>62.99</v>
      </c>
      <c r="X2704" s="3">
        <v>59.66</v>
      </c>
      <c r="Y2704" s="3">
        <v>25.57</v>
      </c>
    </row>
    <row r="2705" spans="1:25" ht="36.75" x14ac:dyDescent="0.25">
      <c r="A2705" s="3" t="s">
        <v>26</v>
      </c>
      <c r="B2705" s="3" t="s">
        <v>27</v>
      </c>
      <c r="C2705" s="3" t="s">
        <v>28</v>
      </c>
      <c r="D2705" s="3" t="s">
        <v>29</v>
      </c>
      <c r="E2705" s="3" t="s">
        <v>47</v>
      </c>
      <c r="F2705" s="3" t="s">
        <v>31</v>
      </c>
      <c r="G2705" s="3" t="s">
        <v>47</v>
      </c>
      <c r="H2705" s="3" t="s">
        <v>48</v>
      </c>
      <c r="I2705" s="3">
        <v>2025</v>
      </c>
      <c r="J2705" s="3" t="str">
        <f>CONCATENATE("54820236278")</f>
        <v>54820236278</v>
      </c>
      <c r="K2705" s="3" t="s">
        <v>33</v>
      </c>
      <c r="L2705" s="3"/>
      <c r="M2705" s="3" t="s">
        <v>131</v>
      </c>
      <c r="N2705" s="3" t="str">
        <f>CONCATENATE("02795480421")</f>
        <v>02795480421</v>
      </c>
      <c r="O2705" s="3" t="s">
        <v>2836</v>
      </c>
      <c r="P2705" s="3" t="s">
        <v>36</v>
      </c>
      <c r="Q2705" s="3"/>
      <c r="R2705" s="4">
        <v>45996</v>
      </c>
      <c r="S2705" s="3" t="s">
        <v>37</v>
      </c>
      <c r="T2705" s="3" t="s">
        <v>38</v>
      </c>
      <c r="U2705" s="3" t="s">
        <v>39</v>
      </c>
      <c r="V2705" s="3">
        <v>132.96</v>
      </c>
      <c r="W2705" s="3">
        <v>56.51</v>
      </c>
      <c r="X2705" s="3">
        <v>53.52</v>
      </c>
      <c r="Y2705" s="3">
        <v>22.93</v>
      </c>
    </row>
    <row r="2706" spans="1:25" ht="60.75" x14ac:dyDescent="0.25">
      <c r="A2706" s="3" t="s">
        <v>26</v>
      </c>
      <c r="B2706" s="3" t="s">
        <v>27</v>
      </c>
      <c r="C2706" s="3" t="s">
        <v>28</v>
      </c>
      <c r="D2706" s="3" t="s">
        <v>91</v>
      </c>
      <c r="E2706" s="3" t="s">
        <v>95</v>
      </c>
      <c r="F2706" s="3" t="s">
        <v>93</v>
      </c>
      <c r="G2706" s="3" t="s">
        <v>95</v>
      </c>
      <c r="H2706" s="3" t="s">
        <v>96</v>
      </c>
      <c r="I2706" s="3">
        <v>2025</v>
      </c>
      <c r="J2706" s="3" t="str">
        <f>CONCATENATE("54820362561")</f>
        <v>54820362561</v>
      </c>
      <c r="K2706" s="3" t="s">
        <v>33</v>
      </c>
      <c r="L2706" s="3"/>
      <c r="M2706" s="3" t="s">
        <v>131</v>
      </c>
      <c r="N2706" s="3" t="str">
        <f>CONCATENATE("ZZIGPP68M14I774B")</f>
        <v>ZZIGPP68M14I774B</v>
      </c>
      <c r="O2706" s="3" t="s">
        <v>2837</v>
      </c>
      <c r="P2706" s="3" t="s">
        <v>36</v>
      </c>
      <c r="Q2706" s="3"/>
      <c r="R2706" s="4">
        <v>45996</v>
      </c>
      <c r="S2706" s="3" t="s">
        <v>37</v>
      </c>
      <c r="T2706" s="3" t="s">
        <v>38</v>
      </c>
      <c r="U2706" s="3" t="s">
        <v>39</v>
      </c>
      <c r="V2706" s="3">
        <v>315.20999999999998</v>
      </c>
      <c r="W2706" s="3">
        <v>133.96</v>
      </c>
      <c r="X2706" s="3">
        <v>126.87</v>
      </c>
      <c r="Y2706" s="3">
        <v>54.38</v>
      </c>
    </row>
    <row r="2707" spans="1:25" ht="36.75" x14ac:dyDescent="0.25">
      <c r="A2707" s="3" t="s">
        <v>26</v>
      </c>
      <c r="B2707" s="3" t="s">
        <v>27</v>
      </c>
      <c r="C2707" s="3" t="s">
        <v>28</v>
      </c>
      <c r="D2707" s="3" t="s">
        <v>29</v>
      </c>
      <c r="E2707" s="3" t="s">
        <v>208</v>
      </c>
      <c r="F2707" s="3" t="s">
        <v>31</v>
      </c>
      <c r="G2707" s="3" t="s">
        <v>208</v>
      </c>
      <c r="H2707" s="3" t="s">
        <v>45</v>
      </c>
      <c r="I2707" s="3">
        <v>2025</v>
      </c>
      <c r="J2707" s="3" t="str">
        <f>CONCATENATE("54820274931")</f>
        <v>54820274931</v>
      </c>
      <c r="K2707" s="3" t="s">
        <v>33</v>
      </c>
      <c r="L2707" s="3"/>
      <c r="M2707" s="3" t="s">
        <v>131</v>
      </c>
      <c r="N2707" s="3" t="str">
        <f>CONCATENATE("01382630414")</f>
        <v>01382630414</v>
      </c>
      <c r="O2707" s="3" t="s">
        <v>2838</v>
      </c>
      <c r="P2707" s="3" t="s">
        <v>36</v>
      </c>
      <c r="Q2707" s="3"/>
      <c r="R2707" s="4">
        <v>45996</v>
      </c>
      <c r="S2707" s="3" t="s">
        <v>37</v>
      </c>
      <c r="T2707" s="3" t="s">
        <v>38</v>
      </c>
      <c r="U2707" s="3" t="s">
        <v>39</v>
      </c>
      <c r="V2707" s="3">
        <v>145.86000000000001</v>
      </c>
      <c r="W2707" s="3">
        <v>61.99</v>
      </c>
      <c r="X2707" s="3">
        <v>58.71</v>
      </c>
      <c r="Y2707" s="3">
        <v>25.16</v>
      </c>
    </row>
    <row r="2708" spans="1:25" ht="72.75" x14ac:dyDescent="0.25">
      <c r="A2708" s="3" t="s">
        <v>26</v>
      </c>
      <c r="B2708" s="3" t="s">
        <v>27</v>
      </c>
      <c r="C2708" s="3" t="s">
        <v>28</v>
      </c>
      <c r="D2708" s="3" t="s">
        <v>91</v>
      </c>
      <c r="E2708" s="3" t="s">
        <v>151</v>
      </c>
      <c r="F2708" s="3" t="s">
        <v>93</v>
      </c>
      <c r="G2708" s="3" t="s">
        <v>151</v>
      </c>
      <c r="H2708" s="3" t="s">
        <v>45</v>
      </c>
      <c r="I2708" s="3">
        <v>2025</v>
      </c>
      <c r="J2708" s="3" t="str">
        <f>CONCATENATE("54820236708")</f>
        <v>54820236708</v>
      </c>
      <c r="K2708" s="3" t="s">
        <v>33</v>
      </c>
      <c r="L2708" s="3"/>
      <c r="M2708" s="3" t="s">
        <v>131</v>
      </c>
      <c r="N2708" s="3" t="str">
        <f>CONCATENATE("MNTNGL63R15H958U")</f>
        <v>MNTNGL63R15H958U</v>
      </c>
      <c r="O2708" s="3" t="s">
        <v>2839</v>
      </c>
      <c r="P2708" s="3" t="s">
        <v>36</v>
      </c>
      <c r="Q2708" s="3"/>
      <c r="R2708" s="4">
        <v>45996</v>
      </c>
      <c r="S2708" s="3" t="s">
        <v>37</v>
      </c>
      <c r="T2708" s="3" t="s">
        <v>38</v>
      </c>
      <c r="U2708" s="3" t="s">
        <v>39</v>
      </c>
      <c r="V2708" s="3">
        <v>170.47</v>
      </c>
      <c r="W2708" s="3">
        <v>72.45</v>
      </c>
      <c r="X2708" s="3">
        <v>68.61</v>
      </c>
      <c r="Y2708" s="3">
        <v>29.41</v>
      </c>
    </row>
    <row r="2709" spans="1:25" ht="72.75" x14ac:dyDescent="0.25">
      <c r="A2709" s="3" t="s">
        <v>26</v>
      </c>
      <c r="B2709" s="3" t="s">
        <v>27</v>
      </c>
      <c r="C2709" s="3" t="s">
        <v>28</v>
      </c>
      <c r="D2709" s="3" t="s">
        <v>104</v>
      </c>
      <c r="E2709" s="3" t="s">
        <v>141</v>
      </c>
      <c r="F2709" s="3" t="s">
        <v>104</v>
      </c>
      <c r="G2709" s="3" t="s">
        <v>141</v>
      </c>
      <c r="H2709" s="3" t="s">
        <v>96</v>
      </c>
      <c r="I2709" s="3">
        <v>2025</v>
      </c>
      <c r="J2709" s="3" t="str">
        <f>CONCATENATE("54820282165")</f>
        <v>54820282165</v>
      </c>
      <c r="K2709" s="3" t="s">
        <v>33</v>
      </c>
      <c r="L2709" s="3"/>
      <c r="M2709" s="3" t="s">
        <v>131</v>
      </c>
      <c r="N2709" s="3" t="str">
        <f>CONCATENATE("RRGVCN62M16D691B")</f>
        <v>RRGVCN62M16D691B</v>
      </c>
      <c r="O2709" s="3" t="s">
        <v>2840</v>
      </c>
      <c r="P2709" s="3" t="s">
        <v>36</v>
      </c>
      <c r="Q2709" s="3"/>
      <c r="R2709" s="4">
        <v>45996</v>
      </c>
      <c r="S2709" s="3" t="s">
        <v>37</v>
      </c>
      <c r="T2709" s="3" t="s">
        <v>38</v>
      </c>
      <c r="U2709" s="3" t="s">
        <v>39</v>
      </c>
      <c r="V2709" s="3">
        <v>388.39</v>
      </c>
      <c r="W2709" s="3">
        <v>165.07</v>
      </c>
      <c r="X2709" s="3">
        <v>156.33000000000001</v>
      </c>
      <c r="Y2709" s="3">
        <v>66.989999999999995</v>
      </c>
    </row>
    <row r="2710" spans="1:25" ht="60.75" x14ac:dyDescent="0.25">
      <c r="A2710" s="3" t="s">
        <v>26</v>
      </c>
      <c r="B2710" s="3" t="s">
        <v>27</v>
      </c>
      <c r="C2710" s="3" t="s">
        <v>28</v>
      </c>
      <c r="D2710" s="3" t="s">
        <v>104</v>
      </c>
      <c r="E2710" s="3" t="s">
        <v>691</v>
      </c>
      <c r="F2710" s="3" t="s">
        <v>104</v>
      </c>
      <c r="G2710" s="3" t="s">
        <v>691</v>
      </c>
      <c r="H2710" s="3" t="s">
        <v>48</v>
      </c>
      <c r="I2710" s="3">
        <v>2025</v>
      </c>
      <c r="J2710" s="3" t="str">
        <f>CONCATENATE("54820367768")</f>
        <v>54820367768</v>
      </c>
      <c r="K2710" s="3" t="s">
        <v>33</v>
      </c>
      <c r="L2710" s="3"/>
      <c r="M2710" s="3" t="s">
        <v>131</v>
      </c>
      <c r="N2710" s="3" t="str">
        <f>CONCATENATE("CMPSRA52B27I653L")</f>
        <v>CMPSRA52B27I653L</v>
      </c>
      <c r="O2710" s="3" t="s">
        <v>2841</v>
      </c>
      <c r="P2710" s="3" t="s">
        <v>36</v>
      </c>
      <c r="Q2710" s="3"/>
      <c r="R2710" s="4">
        <v>45996</v>
      </c>
      <c r="S2710" s="3" t="s">
        <v>37</v>
      </c>
      <c r="T2710" s="3" t="s">
        <v>38</v>
      </c>
      <c r="U2710" s="3" t="s">
        <v>39</v>
      </c>
      <c r="V2710" s="3">
        <v>53.1</v>
      </c>
      <c r="W2710" s="3">
        <v>22.57</v>
      </c>
      <c r="X2710" s="3">
        <v>21.37</v>
      </c>
      <c r="Y2710" s="3">
        <v>9.16</v>
      </c>
    </row>
    <row r="2711" spans="1:25" ht="60.75" x14ac:dyDescent="0.25">
      <c r="A2711" s="3" t="s">
        <v>26</v>
      </c>
      <c r="B2711" s="3" t="s">
        <v>27</v>
      </c>
      <c r="C2711" s="3" t="s">
        <v>28</v>
      </c>
      <c r="D2711" s="3" t="s">
        <v>29</v>
      </c>
      <c r="E2711" s="3" t="s">
        <v>136</v>
      </c>
      <c r="F2711" s="3" t="s">
        <v>31</v>
      </c>
      <c r="G2711" s="3" t="s">
        <v>136</v>
      </c>
      <c r="H2711" s="3" t="s">
        <v>48</v>
      </c>
      <c r="I2711" s="3">
        <v>2025</v>
      </c>
      <c r="J2711" s="3" t="str">
        <f>CONCATENATE("54820220710")</f>
        <v>54820220710</v>
      </c>
      <c r="K2711" s="3" t="s">
        <v>33</v>
      </c>
      <c r="L2711" s="3"/>
      <c r="M2711" s="3" t="s">
        <v>131</v>
      </c>
      <c r="N2711" s="3" t="str">
        <f>CONCATENATE("CRSGNI52C18I461B")</f>
        <v>CRSGNI52C18I461B</v>
      </c>
      <c r="O2711" s="3" t="s">
        <v>2842</v>
      </c>
      <c r="P2711" s="3" t="s">
        <v>36</v>
      </c>
      <c r="Q2711" s="3"/>
      <c r="R2711" s="4">
        <v>45996</v>
      </c>
      <c r="S2711" s="3" t="s">
        <v>37</v>
      </c>
      <c r="T2711" s="3" t="s">
        <v>38</v>
      </c>
      <c r="U2711" s="3" t="s">
        <v>39</v>
      </c>
      <c r="V2711" s="3">
        <v>51.31</v>
      </c>
      <c r="W2711" s="3">
        <v>21.81</v>
      </c>
      <c r="X2711" s="3">
        <v>20.65</v>
      </c>
      <c r="Y2711" s="3">
        <v>8.85</v>
      </c>
    </row>
    <row r="2712" spans="1:25" ht="60.75" x14ac:dyDescent="0.25">
      <c r="A2712" s="3" t="s">
        <v>26</v>
      </c>
      <c r="B2712" s="3" t="s">
        <v>27</v>
      </c>
      <c r="C2712" s="3" t="s">
        <v>28</v>
      </c>
      <c r="D2712" s="3" t="s">
        <v>29</v>
      </c>
      <c r="E2712" s="3" t="s">
        <v>56</v>
      </c>
      <c r="F2712" s="3" t="s">
        <v>31</v>
      </c>
      <c r="G2712" s="3" t="s">
        <v>56</v>
      </c>
      <c r="H2712" s="3" t="s">
        <v>32</v>
      </c>
      <c r="I2712" s="3">
        <v>2025</v>
      </c>
      <c r="J2712" s="3" t="str">
        <f>CONCATENATE("54820290291")</f>
        <v>54820290291</v>
      </c>
      <c r="K2712" s="3" t="s">
        <v>33</v>
      </c>
      <c r="L2712" s="3"/>
      <c r="M2712" s="3" t="s">
        <v>131</v>
      </c>
      <c r="N2712" s="3" t="str">
        <f>CONCATENATE("CRSSFN76S26B474A")</f>
        <v>CRSSFN76S26B474A</v>
      </c>
      <c r="O2712" s="3" t="s">
        <v>2843</v>
      </c>
      <c r="P2712" s="3" t="s">
        <v>36</v>
      </c>
      <c r="Q2712" s="3"/>
      <c r="R2712" s="4">
        <v>45996</v>
      </c>
      <c r="S2712" s="3" t="s">
        <v>37</v>
      </c>
      <c r="T2712" s="3" t="s">
        <v>38</v>
      </c>
      <c r="U2712" s="3" t="s">
        <v>39</v>
      </c>
      <c r="V2712" s="3">
        <v>845.92</v>
      </c>
      <c r="W2712" s="3">
        <v>359.52</v>
      </c>
      <c r="X2712" s="3">
        <v>340.48</v>
      </c>
      <c r="Y2712" s="3">
        <v>145.91999999999999</v>
      </c>
    </row>
    <row r="2713" spans="1:25" ht="60.75" x14ac:dyDescent="0.25">
      <c r="A2713" s="3" t="s">
        <v>26</v>
      </c>
      <c r="B2713" s="3" t="s">
        <v>27</v>
      </c>
      <c r="C2713" s="3" t="s">
        <v>28</v>
      </c>
      <c r="D2713" s="3" t="s">
        <v>29</v>
      </c>
      <c r="E2713" s="3" t="s">
        <v>56</v>
      </c>
      <c r="F2713" s="3" t="s">
        <v>31</v>
      </c>
      <c r="G2713" s="3" t="s">
        <v>56</v>
      </c>
      <c r="H2713" s="3" t="s">
        <v>32</v>
      </c>
      <c r="I2713" s="3">
        <v>2025</v>
      </c>
      <c r="J2713" s="3" t="str">
        <f>CONCATENATE("54820291190")</f>
        <v>54820291190</v>
      </c>
      <c r="K2713" s="3" t="s">
        <v>33</v>
      </c>
      <c r="L2713" s="3"/>
      <c r="M2713" s="3" t="s">
        <v>131</v>
      </c>
      <c r="N2713" s="3" t="str">
        <f>CONCATENATE("TMBGNN63P13C267U")</f>
        <v>TMBGNN63P13C267U</v>
      </c>
      <c r="O2713" s="3" t="s">
        <v>2844</v>
      </c>
      <c r="P2713" s="3" t="s">
        <v>36</v>
      </c>
      <c r="Q2713" s="3"/>
      <c r="R2713" s="4">
        <v>45996</v>
      </c>
      <c r="S2713" s="3" t="s">
        <v>37</v>
      </c>
      <c r="T2713" s="3" t="s">
        <v>38</v>
      </c>
      <c r="U2713" s="3" t="s">
        <v>39</v>
      </c>
      <c r="V2713" s="5">
        <v>1053.0999999999999</v>
      </c>
      <c r="W2713" s="3">
        <v>447.57</v>
      </c>
      <c r="X2713" s="3">
        <v>423.87</v>
      </c>
      <c r="Y2713" s="3">
        <v>181.66</v>
      </c>
    </row>
    <row r="2714" spans="1:25" ht="60.75" x14ac:dyDescent="0.25">
      <c r="A2714" s="3" t="s">
        <v>26</v>
      </c>
      <c r="B2714" s="3" t="s">
        <v>27</v>
      </c>
      <c r="C2714" s="3" t="s">
        <v>28</v>
      </c>
      <c r="D2714" s="3" t="s">
        <v>29</v>
      </c>
      <c r="E2714" s="3" t="s">
        <v>119</v>
      </c>
      <c r="F2714" s="3" t="s">
        <v>31</v>
      </c>
      <c r="G2714" s="3" t="s">
        <v>119</v>
      </c>
      <c r="H2714" s="3" t="s">
        <v>96</v>
      </c>
      <c r="I2714" s="3">
        <v>2025</v>
      </c>
      <c r="J2714" s="3" t="str">
        <f>CONCATENATE("54820007927")</f>
        <v>54820007927</v>
      </c>
      <c r="K2714" s="3" t="s">
        <v>33</v>
      </c>
      <c r="L2714" s="3"/>
      <c r="M2714" s="3" t="s">
        <v>131</v>
      </c>
      <c r="N2714" s="3" t="str">
        <f>CONCATENATE("MLNRTI50B50F493H")</f>
        <v>MLNRTI50B50F493H</v>
      </c>
      <c r="O2714" s="3" t="s">
        <v>2845</v>
      </c>
      <c r="P2714" s="3" t="s">
        <v>36</v>
      </c>
      <c r="Q2714" s="3"/>
      <c r="R2714" s="4">
        <v>45996</v>
      </c>
      <c r="S2714" s="3" t="s">
        <v>37</v>
      </c>
      <c r="T2714" s="3" t="s">
        <v>38</v>
      </c>
      <c r="U2714" s="3" t="s">
        <v>39</v>
      </c>
      <c r="V2714" s="3">
        <v>82.4</v>
      </c>
      <c r="W2714" s="3">
        <v>35.020000000000003</v>
      </c>
      <c r="X2714" s="3">
        <v>33.17</v>
      </c>
      <c r="Y2714" s="3">
        <v>14.21</v>
      </c>
    </row>
    <row r="2715" spans="1:25" ht="60.75" x14ac:dyDescent="0.25">
      <c r="A2715" s="3" t="s">
        <v>26</v>
      </c>
      <c r="B2715" s="3" t="s">
        <v>27</v>
      </c>
      <c r="C2715" s="3" t="s">
        <v>28</v>
      </c>
      <c r="D2715" s="3" t="s">
        <v>50</v>
      </c>
      <c r="E2715" s="3" t="s">
        <v>51</v>
      </c>
      <c r="F2715" s="3" t="s">
        <v>52</v>
      </c>
      <c r="G2715" s="3" t="s">
        <v>51</v>
      </c>
      <c r="H2715" s="3" t="s">
        <v>48</v>
      </c>
      <c r="I2715" s="3">
        <v>2025</v>
      </c>
      <c r="J2715" s="3" t="str">
        <f>CONCATENATE("54820149711")</f>
        <v>54820149711</v>
      </c>
      <c r="K2715" s="3" t="s">
        <v>33</v>
      </c>
      <c r="L2715" s="3"/>
      <c r="M2715" s="3" t="s">
        <v>131</v>
      </c>
      <c r="N2715" s="3" t="str">
        <f>CONCATENATE("GNGNIO55A70Z129I")</f>
        <v>GNGNIO55A70Z129I</v>
      </c>
      <c r="O2715" s="3" t="s">
        <v>2846</v>
      </c>
      <c r="P2715" s="3" t="s">
        <v>36</v>
      </c>
      <c r="Q2715" s="3"/>
      <c r="R2715" s="4">
        <v>45996</v>
      </c>
      <c r="S2715" s="3" t="s">
        <v>37</v>
      </c>
      <c r="T2715" s="3" t="s">
        <v>38</v>
      </c>
      <c r="U2715" s="3" t="s">
        <v>39</v>
      </c>
      <c r="V2715" s="3">
        <v>48.02</v>
      </c>
      <c r="W2715" s="3">
        <v>20.41</v>
      </c>
      <c r="X2715" s="3">
        <v>19.329999999999998</v>
      </c>
      <c r="Y2715" s="3">
        <v>8.2799999999999994</v>
      </c>
    </row>
    <row r="2716" spans="1:25" ht="60.75" x14ac:dyDescent="0.25">
      <c r="A2716" s="3" t="s">
        <v>26</v>
      </c>
      <c r="B2716" s="3" t="s">
        <v>27</v>
      </c>
      <c r="C2716" s="3" t="s">
        <v>28</v>
      </c>
      <c r="D2716" s="3" t="s">
        <v>50</v>
      </c>
      <c r="E2716" s="3" t="s">
        <v>51</v>
      </c>
      <c r="F2716" s="3" t="s">
        <v>52</v>
      </c>
      <c r="G2716" s="3" t="s">
        <v>51</v>
      </c>
      <c r="H2716" s="3" t="s">
        <v>48</v>
      </c>
      <c r="I2716" s="3">
        <v>2025</v>
      </c>
      <c r="J2716" s="3" t="str">
        <f>CONCATENATE("54820087341")</f>
        <v>54820087341</v>
      </c>
      <c r="K2716" s="3" t="s">
        <v>33</v>
      </c>
      <c r="L2716" s="3"/>
      <c r="M2716" s="3" t="s">
        <v>131</v>
      </c>
      <c r="N2716" s="3" t="str">
        <f>CONCATENATE("PRLLGU47R10D965J")</f>
        <v>PRLLGU47R10D965J</v>
      </c>
      <c r="O2716" s="3" t="s">
        <v>2847</v>
      </c>
      <c r="P2716" s="3" t="s">
        <v>36</v>
      </c>
      <c r="Q2716" s="3"/>
      <c r="R2716" s="4">
        <v>45996</v>
      </c>
      <c r="S2716" s="3" t="s">
        <v>37</v>
      </c>
      <c r="T2716" s="3" t="s">
        <v>38</v>
      </c>
      <c r="U2716" s="3" t="s">
        <v>39</v>
      </c>
      <c r="V2716" s="3">
        <v>75.25</v>
      </c>
      <c r="W2716" s="3">
        <v>31.98</v>
      </c>
      <c r="X2716" s="3">
        <v>30.29</v>
      </c>
      <c r="Y2716" s="3">
        <v>12.98</v>
      </c>
    </row>
    <row r="2717" spans="1:25" ht="36.75" x14ac:dyDescent="0.25">
      <c r="A2717" s="3" t="s">
        <v>26</v>
      </c>
      <c r="B2717" s="3" t="s">
        <v>27</v>
      </c>
      <c r="C2717" s="3" t="s">
        <v>28</v>
      </c>
      <c r="D2717" s="3" t="s">
        <v>29</v>
      </c>
      <c r="E2717" s="3" t="s">
        <v>56</v>
      </c>
      <c r="F2717" s="3" t="s">
        <v>31</v>
      </c>
      <c r="G2717" s="3" t="s">
        <v>56</v>
      </c>
      <c r="H2717" s="3" t="s">
        <v>32</v>
      </c>
      <c r="I2717" s="3">
        <v>2025</v>
      </c>
      <c r="J2717" s="3" t="str">
        <f>CONCATENATE("54820130117")</f>
        <v>54820130117</v>
      </c>
      <c r="K2717" s="3" t="s">
        <v>33</v>
      </c>
      <c r="L2717" s="3"/>
      <c r="M2717" s="3" t="s">
        <v>131</v>
      </c>
      <c r="N2717" s="3" t="str">
        <f>CONCATENATE("00850630435")</f>
        <v>00850630435</v>
      </c>
      <c r="O2717" s="3" t="s">
        <v>2848</v>
      </c>
      <c r="P2717" s="3" t="s">
        <v>36</v>
      </c>
      <c r="Q2717" s="3"/>
      <c r="R2717" s="4">
        <v>45996</v>
      </c>
      <c r="S2717" s="3" t="s">
        <v>37</v>
      </c>
      <c r="T2717" s="3" t="s">
        <v>38</v>
      </c>
      <c r="U2717" s="3" t="s">
        <v>39</v>
      </c>
      <c r="V2717" s="3">
        <v>217.7</v>
      </c>
      <c r="W2717" s="3">
        <v>92.52</v>
      </c>
      <c r="X2717" s="3">
        <v>87.62</v>
      </c>
      <c r="Y2717" s="3">
        <v>37.56</v>
      </c>
    </row>
    <row r="2718" spans="1:25" ht="36.75" x14ac:dyDescent="0.25">
      <c r="A2718" s="3" t="s">
        <v>26</v>
      </c>
      <c r="B2718" s="3" t="s">
        <v>27</v>
      </c>
      <c r="C2718" s="3" t="s">
        <v>28</v>
      </c>
      <c r="D2718" s="3" t="s">
        <v>29</v>
      </c>
      <c r="E2718" s="3" t="s">
        <v>119</v>
      </c>
      <c r="F2718" s="3" t="s">
        <v>31</v>
      </c>
      <c r="G2718" s="3" t="s">
        <v>119</v>
      </c>
      <c r="H2718" s="3" t="s">
        <v>96</v>
      </c>
      <c r="I2718" s="3">
        <v>2025</v>
      </c>
      <c r="J2718" s="3" t="str">
        <f>CONCATENATE("54820087390")</f>
        <v>54820087390</v>
      </c>
      <c r="K2718" s="3" t="s">
        <v>33</v>
      </c>
      <c r="L2718" s="3"/>
      <c r="M2718" s="3" t="s">
        <v>131</v>
      </c>
      <c r="N2718" s="3" t="str">
        <f>CONCATENATE("01394710444")</f>
        <v>01394710444</v>
      </c>
      <c r="O2718" s="3" t="s">
        <v>2849</v>
      </c>
      <c r="P2718" s="3" t="s">
        <v>36</v>
      </c>
      <c r="Q2718" s="3"/>
      <c r="R2718" s="4">
        <v>45996</v>
      </c>
      <c r="S2718" s="3" t="s">
        <v>37</v>
      </c>
      <c r="T2718" s="3" t="s">
        <v>38</v>
      </c>
      <c r="U2718" s="3" t="s">
        <v>39</v>
      </c>
      <c r="V2718" s="3">
        <v>358.65</v>
      </c>
      <c r="W2718" s="3">
        <v>152.43</v>
      </c>
      <c r="X2718" s="3">
        <v>144.36000000000001</v>
      </c>
      <c r="Y2718" s="3">
        <v>61.86</v>
      </c>
    </row>
    <row r="2719" spans="1:25" ht="72.75" x14ac:dyDescent="0.25">
      <c r="A2719" s="3" t="s">
        <v>26</v>
      </c>
      <c r="B2719" s="3" t="s">
        <v>27</v>
      </c>
      <c r="C2719" s="3" t="s">
        <v>28</v>
      </c>
      <c r="D2719" s="3" t="s">
        <v>50</v>
      </c>
      <c r="E2719" s="3" t="s">
        <v>60</v>
      </c>
      <c r="F2719" s="3" t="s">
        <v>52</v>
      </c>
      <c r="G2719" s="3" t="s">
        <v>60</v>
      </c>
      <c r="H2719" s="3" t="s">
        <v>45</v>
      </c>
      <c r="I2719" s="3">
        <v>2025</v>
      </c>
      <c r="J2719" s="3" t="str">
        <f>CONCATENATE("54820146170")</f>
        <v>54820146170</v>
      </c>
      <c r="K2719" s="3" t="s">
        <v>33</v>
      </c>
      <c r="L2719" s="3"/>
      <c r="M2719" s="3" t="s">
        <v>131</v>
      </c>
      <c r="N2719" s="3" t="str">
        <f>CONCATENATE("PRZRME48D19B352Q")</f>
        <v>PRZRME48D19B352Q</v>
      </c>
      <c r="O2719" s="3" t="s">
        <v>2850</v>
      </c>
      <c r="P2719" s="3" t="s">
        <v>36</v>
      </c>
      <c r="Q2719" s="3"/>
      <c r="R2719" s="4">
        <v>45996</v>
      </c>
      <c r="S2719" s="3" t="s">
        <v>37</v>
      </c>
      <c r="T2719" s="3" t="s">
        <v>38</v>
      </c>
      <c r="U2719" s="3" t="s">
        <v>39</v>
      </c>
      <c r="V2719" s="3">
        <v>415.86</v>
      </c>
      <c r="W2719" s="3">
        <v>176.74</v>
      </c>
      <c r="X2719" s="3">
        <v>167.38</v>
      </c>
      <c r="Y2719" s="3">
        <v>71.739999999999995</v>
      </c>
    </row>
    <row r="2720" spans="1:25" ht="60.75" x14ac:dyDescent="0.25">
      <c r="A2720" s="3" t="s">
        <v>26</v>
      </c>
      <c r="B2720" s="3" t="s">
        <v>27</v>
      </c>
      <c r="C2720" s="3" t="s">
        <v>28</v>
      </c>
      <c r="D2720" s="3" t="s">
        <v>50</v>
      </c>
      <c r="E2720" s="3" t="s">
        <v>147</v>
      </c>
      <c r="F2720" s="3" t="s">
        <v>52</v>
      </c>
      <c r="G2720" s="3" t="s">
        <v>147</v>
      </c>
      <c r="H2720" s="3" t="s">
        <v>45</v>
      </c>
      <c r="I2720" s="3">
        <v>2025</v>
      </c>
      <c r="J2720" s="3" t="str">
        <f>CONCATENATE("54820101951")</f>
        <v>54820101951</v>
      </c>
      <c r="K2720" s="3" t="s">
        <v>33</v>
      </c>
      <c r="L2720" s="3"/>
      <c r="M2720" s="3" t="s">
        <v>131</v>
      </c>
      <c r="N2720" s="3" t="str">
        <f>CONCATENATE("CRSPRD61B16L500N")</f>
        <v>CRSPRD61B16L500N</v>
      </c>
      <c r="O2720" s="3" t="s">
        <v>2851</v>
      </c>
      <c r="P2720" s="3" t="s">
        <v>36</v>
      </c>
      <c r="Q2720" s="3"/>
      <c r="R2720" s="4">
        <v>45996</v>
      </c>
      <c r="S2720" s="3" t="s">
        <v>37</v>
      </c>
      <c r="T2720" s="3" t="s">
        <v>38</v>
      </c>
      <c r="U2720" s="3" t="s">
        <v>39</v>
      </c>
      <c r="V2720" s="3">
        <v>363.82</v>
      </c>
      <c r="W2720" s="3">
        <v>154.62</v>
      </c>
      <c r="X2720" s="3">
        <v>146.44</v>
      </c>
      <c r="Y2720" s="3">
        <v>62.76</v>
      </c>
    </row>
    <row r="2721" spans="1:25" ht="60.75" x14ac:dyDescent="0.25">
      <c r="A2721" s="3" t="s">
        <v>26</v>
      </c>
      <c r="B2721" s="3" t="s">
        <v>27</v>
      </c>
      <c r="C2721" s="3" t="s">
        <v>28</v>
      </c>
      <c r="D2721" s="3" t="s">
        <v>50</v>
      </c>
      <c r="E2721" s="3" t="s">
        <v>60</v>
      </c>
      <c r="F2721" s="3" t="s">
        <v>52</v>
      </c>
      <c r="G2721" s="3" t="s">
        <v>60</v>
      </c>
      <c r="H2721" s="3" t="s">
        <v>45</v>
      </c>
      <c r="I2721" s="3">
        <v>2025</v>
      </c>
      <c r="J2721" s="3" t="str">
        <f>CONCATENATE("54820145859")</f>
        <v>54820145859</v>
      </c>
      <c r="K2721" s="3" t="s">
        <v>33</v>
      </c>
      <c r="L2721" s="3"/>
      <c r="M2721" s="3" t="s">
        <v>131</v>
      </c>
      <c r="N2721" s="3" t="str">
        <f>CONCATENATE("RVLCLD79T23G453O")</f>
        <v>RVLCLD79T23G453O</v>
      </c>
      <c r="O2721" s="3" t="s">
        <v>2852</v>
      </c>
      <c r="P2721" s="3" t="s">
        <v>36</v>
      </c>
      <c r="Q2721" s="3"/>
      <c r="R2721" s="4">
        <v>45996</v>
      </c>
      <c r="S2721" s="3" t="s">
        <v>37</v>
      </c>
      <c r="T2721" s="3" t="s">
        <v>38</v>
      </c>
      <c r="U2721" s="3" t="s">
        <v>39</v>
      </c>
      <c r="V2721" s="3">
        <v>231.81</v>
      </c>
      <c r="W2721" s="3">
        <v>98.52</v>
      </c>
      <c r="X2721" s="3">
        <v>93.3</v>
      </c>
      <c r="Y2721" s="3">
        <v>39.99</v>
      </c>
    </row>
    <row r="2722" spans="1:25" ht="60.75" x14ac:dyDescent="0.25">
      <c r="A2722" s="3" t="s">
        <v>26</v>
      </c>
      <c r="B2722" s="3" t="s">
        <v>27</v>
      </c>
      <c r="C2722" s="3" t="s">
        <v>28</v>
      </c>
      <c r="D2722" s="3" t="s">
        <v>50</v>
      </c>
      <c r="E2722" s="3" t="s">
        <v>147</v>
      </c>
      <c r="F2722" s="3" t="s">
        <v>52</v>
      </c>
      <c r="G2722" s="3" t="s">
        <v>147</v>
      </c>
      <c r="H2722" s="3" t="s">
        <v>45</v>
      </c>
      <c r="I2722" s="3">
        <v>2025</v>
      </c>
      <c r="J2722" s="3" t="str">
        <f>CONCATENATE("54820194253")</f>
        <v>54820194253</v>
      </c>
      <c r="K2722" s="3" t="s">
        <v>33</v>
      </c>
      <c r="L2722" s="3"/>
      <c r="M2722" s="3" t="s">
        <v>131</v>
      </c>
      <c r="N2722" s="3" t="str">
        <f>CONCATENATE("BTTDNL62C26L500B")</f>
        <v>BTTDNL62C26L500B</v>
      </c>
      <c r="O2722" s="3" t="s">
        <v>2853</v>
      </c>
      <c r="P2722" s="3" t="s">
        <v>36</v>
      </c>
      <c r="Q2722" s="3"/>
      <c r="R2722" s="4">
        <v>45996</v>
      </c>
      <c r="S2722" s="3" t="s">
        <v>37</v>
      </c>
      <c r="T2722" s="3" t="s">
        <v>38</v>
      </c>
      <c r="U2722" s="3" t="s">
        <v>39</v>
      </c>
      <c r="V2722" s="5">
        <v>1219.1199999999999</v>
      </c>
      <c r="W2722" s="3">
        <v>518.13</v>
      </c>
      <c r="X2722" s="3">
        <v>490.7</v>
      </c>
      <c r="Y2722" s="3">
        <v>210.29</v>
      </c>
    </row>
    <row r="2723" spans="1:25" ht="60.75" x14ac:dyDescent="0.25">
      <c r="A2723" s="3" t="s">
        <v>26</v>
      </c>
      <c r="B2723" s="3" t="s">
        <v>27</v>
      </c>
      <c r="C2723" s="3" t="s">
        <v>28</v>
      </c>
      <c r="D2723" s="3" t="s">
        <v>29</v>
      </c>
      <c r="E2723" s="3" t="s">
        <v>68</v>
      </c>
      <c r="F2723" s="3" t="s">
        <v>31</v>
      </c>
      <c r="G2723" s="3" t="s">
        <v>68</v>
      </c>
      <c r="H2723" s="3" t="s">
        <v>32</v>
      </c>
      <c r="I2723" s="3">
        <v>2025</v>
      </c>
      <c r="J2723" s="3" t="str">
        <f>CONCATENATE("54820113865")</f>
        <v>54820113865</v>
      </c>
      <c r="K2723" s="3" t="s">
        <v>33</v>
      </c>
      <c r="L2723" s="3"/>
      <c r="M2723" s="3" t="s">
        <v>131</v>
      </c>
      <c r="N2723" s="3" t="str">
        <f>CONCATENATE("PTRNZR40C04I436L")</f>
        <v>PTRNZR40C04I436L</v>
      </c>
      <c r="O2723" s="3" t="s">
        <v>2854</v>
      </c>
      <c r="P2723" s="3" t="s">
        <v>36</v>
      </c>
      <c r="Q2723" s="3"/>
      <c r="R2723" s="4">
        <v>45996</v>
      </c>
      <c r="S2723" s="3" t="s">
        <v>37</v>
      </c>
      <c r="T2723" s="3" t="s">
        <v>38</v>
      </c>
      <c r="U2723" s="3" t="s">
        <v>39</v>
      </c>
      <c r="V2723" s="3">
        <v>112.99</v>
      </c>
      <c r="W2723" s="3">
        <v>48.02</v>
      </c>
      <c r="X2723" s="3">
        <v>45.48</v>
      </c>
      <c r="Y2723" s="3">
        <v>19.489999999999998</v>
      </c>
    </row>
    <row r="2724" spans="1:25" ht="60.75" x14ac:dyDescent="0.25">
      <c r="A2724" s="3" t="s">
        <v>26</v>
      </c>
      <c r="B2724" s="3" t="s">
        <v>27</v>
      </c>
      <c r="C2724" s="3" t="s">
        <v>28</v>
      </c>
      <c r="D2724" s="3" t="s">
        <v>29</v>
      </c>
      <c r="E2724" s="3" t="s">
        <v>80</v>
      </c>
      <c r="F2724" s="3" t="s">
        <v>31</v>
      </c>
      <c r="G2724" s="3" t="s">
        <v>80</v>
      </c>
      <c r="H2724" s="3" t="s">
        <v>48</v>
      </c>
      <c r="I2724" s="3">
        <v>2025</v>
      </c>
      <c r="J2724" s="3" t="str">
        <f>CONCATENATE("54820111729")</f>
        <v>54820111729</v>
      </c>
      <c r="K2724" s="3" t="s">
        <v>33</v>
      </c>
      <c r="L2724" s="3"/>
      <c r="M2724" s="3" t="s">
        <v>131</v>
      </c>
      <c r="N2724" s="3" t="str">
        <f>CONCATENATE("TTVDTT55M69I461J")</f>
        <v>TTVDTT55M69I461J</v>
      </c>
      <c r="O2724" s="3" t="s">
        <v>2855</v>
      </c>
      <c r="P2724" s="3" t="s">
        <v>36</v>
      </c>
      <c r="Q2724" s="3"/>
      <c r="R2724" s="4">
        <v>45996</v>
      </c>
      <c r="S2724" s="3" t="s">
        <v>37</v>
      </c>
      <c r="T2724" s="3" t="s">
        <v>38</v>
      </c>
      <c r="U2724" s="3" t="s">
        <v>39</v>
      </c>
      <c r="V2724" s="3">
        <v>329.8</v>
      </c>
      <c r="W2724" s="3">
        <v>140.16999999999999</v>
      </c>
      <c r="X2724" s="3">
        <v>132.74</v>
      </c>
      <c r="Y2724" s="3">
        <v>56.89</v>
      </c>
    </row>
    <row r="2725" spans="1:25" ht="72.75" x14ac:dyDescent="0.25">
      <c r="A2725" s="3" t="s">
        <v>26</v>
      </c>
      <c r="B2725" s="3" t="s">
        <v>27</v>
      </c>
      <c r="C2725" s="3" t="s">
        <v>28</v>
      </c>
      <c r="D2725" s="3" t="s">
        <v>29</v>
      </c>
      <c r="E2725" s="3" t="s">
        <v>56</v>
      </c>
      <c r="F2725" s="3" t="s">
        <v>31</v>
      </c>
      <c r="G2725" s="3" t="s">
        <v>56</v>
      </c>
      <c r="H2725" s="3" t="s">
        <v>32</v>
      </c>
      <c r="I2725" s="3">
        <v>2025</v>
      </c>
      <c r="J2725" s="3" t="str">
        <f>CONCATENATE("54820090170")</f>
        <v>54820090170</v>
      </c>
      <c r="K2725" s="3" t="s">
        <v>33</v>
      </c>
      <c r="L2725" s="3"/>
      <c r="M2725" s="3" t="s">
        <v>131</v>
      </c>
      <c r="N2725" s="3" t="str">
        <f>CONCATENATE("GRMMRA46P21I569I")</f>
        <v>GRMMRA46P21I569I</v>
      </c>
      <c r="O2725" s="3" t="s">
        <v>2856</v>
      </c>
      <c r="P2725" s="3" t="s">
        <v>36</v>
      </c>
      <c r="Q2725" s="3"/>
      <c r="R2725" s="4">
        <v>45996</v>
      </c>
      <c r="S2725" s="3" t="s">
        <v>37</v>
      </c>
      <c r="T2725" s="3" t="s">
        <v>38</v>
      </c>
      <c r="U2725" s="3" t="s">
        <v>39</v>
      </c>
      <c r="V2725" s="3">
        <v>188.23</v>
      </c>
      <c r="W2725" s="3">
        <v>80</v>
      </c>
      <c r="X2725" s="3">
        <v>75.760000000000005</v>
      </c>
      <c r="Y2725" s="3">
        <v>32.47</v>
      </c>
    </row>
    <row r="2726" spans="1:25" ht="60.75" x14ac:dyDescent="0.25">
      <c r="A2726" s="3" t="s">
        <v>26</v>
      </c>
      <c r="B2726" s="3" t="s">
        <v>27</v>
      </c>
      <c r="C2726" s="3" t="s">
        <v>28</v>
      </c>
      <c r="D2726" s="3" t="s">
        <v>29</v>
      </c>
      <c r="E2726" s="3" t="s">
        <v>228</v>
      </c>
      <c r="F2726" s="3" t="s">
        <v>31</v>
      </c>
      <c r="G2726" s="3" t="s">
        <v>228</v>
      </c>
      <c r="H2726" s="3" t="s">
        <v>45</v>
      </c>
      <c r="I2726" s="3">
        <v>2025</v>
      </c>
      <c r="J2726" s="3" t="str">
        <f>CONCATENATE("54820174032")</f>
        <v>54820174032</v>
      </c>
      <c r="K2726" s="3" t="s">
        <v>33</v>
      </c>
      <c r="L2726" s="3"/>
      <c r="M2726" s="3" t="s">
        <v>131</v>
      </c>
      <c r="N2726" s="3" t="str">
        <f>CONCATENATE("PCAGNN44D25F497Q")</f>
        <v>PCAGNN44D25F497Q</v>
      </c>
      <c r="O2726" s="3" t="s">
        <v>2857</v>
      </c>
      <c r="P2726" s="3" t="s">
        <v>36</v>
      </c>
      <c r="Q2726" s="3"/>
      <c r="R2726" s="4">
        <v>45996</v>
      </c>
      <c r="S2726" s="3" t="s">
        <v>37</v>
      </c>
      <c r="T2726" s="3" t="s">
        <v>38</v>
      </c>
      <c r="U2726" s="3" t="s">
        <v>39</v>
      </c>
      <c r="V2726" s="3">
        <v>46.43</v>
      </c>
      <c r="W2726" s="3">
        <v>19.73</v>
      </c>
      <c r="X2726" s="3">
        <v>18.690000000000001</v>
      </c>
      <c r="Y2726" s="3">
        <v>8.01</v>
      </c>
    </row>
    <row r="2727" spans="1:25" ht="60.75" x14ac:dyDescent="0.25">
      <c r="A2727" s="3" t="s">
        <v>26</v>
      </c>
      <c r="B2727" s="3" t="s">
        <v>27</v>
      </c>
      <c r="C2727" s="3" t="s">
        <v>28</v>
      </c>
      <c r="D2727" s="3" t="s">
        <v>50</v>
      </c>
      <c r="E2727" s="3" t="s">
        <v>51</v>
      </c>
      <c r="F2727" s="3" t="s">
        <v>52</v>
      </c>
      <c r="G2727" s="3" t="s">
        <v>51</v>
      </c>
      <c r="H2727" s="3" t="s">
        <v>48</v>
      </c>
      <c r="I2727" s="3">
        <v>2025</v>
      </c>
      <c r="J2727" s="3" t="str">
        <f>CONCATENATE("54820173521")</f>
        <v>54820173521</v>
      </c>
      <c r="K2727" s="3" t="s">
        <v>33</v>
      </c>
      <c r="L2727" s="3"/>
      <c r="M2727" s="3" t="s">
        <v>131</v>
      </c>
      <c r="N2727" s="3" t="str">
        <f>CONCATENATE("VTLNDR59T24D451E")</f>
        <v>VTLNDR59T24D451E</v>
      </c>
      <c r="O2727" s="3" t="s">
        <v>2858</v>
      </c>
      <c r="P2727" s="3" t="s">
        <v>36</v>
      </c>
      <c r="Q2727" s="3"/>
      <c r="R2727" s="4">
        <v>45996</v>
      </c>
      <c r="S2727" s="3" t="s">
        <v>37</v>
      </c>
      <c r="T2727" s="3" t="s">
        <v>38</v>
      </c>
      <c r="U2727" s="3" t="s">
        <v>39</v>
      </c>
      <c r="V2727" s="3">
        <v>301.88</v>
      </c>
      <c r="W2727" s="3">
        <v>128.30000000000001</v>
      </c>
      <c r="X2727" s="3">
        <v>121.51</v>
      </c>
      <c r="Y2727" s="3">
        <v>52.07</v>
      </c>
    </row>
    <row r="2728" spans="1:25" ht="60.75" x14ac:dyDescent="0.25">
      <c r="A2728" s="3" t="s">
        <v>26</v>
      </c>
      <c r="B2728" s="3" t="s">
        <v>27</v>
      </c>
      <c r="C2728" s="3" t="s">
        <v>28</v>
      </c>
      <c r="D2728" s="3" t="s">
        <v>104</v>
      </c>
      <c r="E2728" s="3" t="s">
        <v>691</v>
      </c>
      <c r="F2728" s="3" t="s">
        <v>104</v>
      </c>
      <c r="G2728" s="3" t="s">
        <v>691</v>
      </c>
      <c r="H2728" s="3" t="s">
        <v>48</v>
      </c>
      <c r="I2728" s="3">
        <v>2025</v>
      </c>
      <c r="J2728" s="3" t="str">
        <f>CONCATENATE("54820102678")</f>
        <v>54820102678</v>
      </c>
      <c r="K2728" s="3" t="s">
        <v>33</v>
      </c>
      <c r="L2728" s="3"/>
      <c r="M2728" s="3" t="s">
        <v>131</v>
      </c>
      <c r="N2728" s="3" t="str">
        <f>CONCATENATE("SNTNZR49T16I653T")</f>
        <v>SNTNZR49T16I653T</v>
      </c>
      <c r="O2728" s="3" t="s">
        <v>2859</v>
      </c>
      <c r="P2728" s="3" t="s">
        <v>36</v>
      </c>
      <c r="Q2728" s="3"/>
      <c r="R2728" s="4">
        <v>45996</v>
      </c>
      <c r="S2728" s="3" t="s">
        <v>37</v>
      </c>
      <c r="T2728" s="3" t="s">
        <v>38</v>
      </c>
      <c r="U2728" s="3" t="s">
        <v>39</v>
      </c>
      <c r="V2728" s="3">
        <v>60</v>
      </c>
      <c r="W2728" s="3">
        <v>25.5</v>
      </c>
      <c r="X2728" s="3">
        <v>24.15</v>
      </c>
      <c r="Y2728" s="3">
        <v>10.35</v>
      </c>
    </row>
    <row r="2729" spans="1:25" ht="60.75" x14ac:dyDescent="0.25">
      <c r="A2729" s="3" t="s">
        <v>26</v>
      </c>
      <c r="B2729" s="3" t="s">
        <v>27</v>
      </c>
      <c r="C2729" s="3" t="s">
        <v>28</v>
      </c>
      <c r="D2729" s="3" t="s">
        <v>29</v>
      </c>
      <c r="E2729" s="3" t="s">
        <v>72</v>
      </c>
      <c r="F2729" s="3" t="s">
        <v>31</v>
      </c>
      <c r="G2729" s="3" t="s">
        <v>72</v>
      </c>
      <c r="H2729" s="3" t="s">
        <v>45</v>
      </c>
      <c r="I2729" s="3">
        <v>2025</v>
      </c>
      <c r="J2729" s="3" t="str">
        <f>CONCATENATE("54820171392")</f>
        <v>54820171392</v>
      </c>
      <c r="K2729" s="3" t="s">
        <v>33</v>
      </c>
      <c r="L2729" s="3"/>
      <c r="M2729" s="3" t="s">
        <v>131</v>
      </c>
      <c r="N2729" s="3" t="str">
        <f>CONCATENATE("JHNMCS63L31Z112J")</f>
        <v>JHNMCS63L31Z112J</v>
      </c>
      <c r="O2729" s="3" t="s">
        <v>2860</v>
      </c>
      <c r="P2729" s="3" t="s">
        <v>36</v>
      </c>
      <c r="Q2729" s="3"/>
      <c r="R2729" s="4">
        <v>45996</v>
      </c>
      <c r="S2729" s="3" t="s">
        <v>37</v>
      </c>
      <c r="T2729" s="3" t="s">
        <v>38</v>
      </c>
      <c r="U2729" s="3" t="s">
        <v>39</v>
      </c>
      <c r="V2729" s="3">
        <v>50.99</v>
      </c>
      <c r="W2729" s="3">
        <v>21.67</v>
      </c>
      <c r="X2729" s="3">
        <v>20.52</v>
      </c>
      <c r="Y2729" s="3">
        <v>8.8000000000000007</v>
      </c>
    </row>
    <row r="2730" spans="1:25" ht="36.75" x14ac:dyDescent="0.25">
      <c r="A2730" s="3" t="s">
        <v>26</v>
      </c>
      <c r="B2730" s="3" t="s">
        <v>27</v>
      </c>
      <c r="C2730" s="3" t="s">
        <v>28</v>
      </c>
      <c r="D2730" s="3" t="s">
        <v>29</v>
      </c>
      <c r="E2730" s="3" t="s">
        <v>119</v>
      </c>
      <c r="F2730" s="3" t="s">
        <v>31</v>
      </c>
      <c r="G2730" s="3" t="s">
        <v>119</v>
      </c>
      <c r="H2730" s="3" t="s">
        <v>96</v>
      </c>
      <c r="I2730" s="3">
        <v>2025</v>
      </c>
      <c r="J2730" s="3" t="str">
        <f>CONCATENATE("54820113766")</f>
        <v>54820113766</v>
      </c>
      <c r="K2730" s="3" t="s">
        <v>33</v>
      </c>
      <c r="L2730" s="3"/>
      <c r="M2730" s="3" t="s">
        <v>131</v>
      </c>
      <c r="N2730" s="3" t="str">
        <f>CONCATENATE("90055190442")</f>
        <v>90055190442</v>
      </c>
      <c r="O2730" s="3" t="s">
        <v>2861</v>
      </c>
      <c r="P2730" s="3" t="s">
        <v>36</v>
      </c>
      <c r="Q2730" s="3"/>
      <c r="R2730" s="4">
        <v>45996</v>
      </c>
      <c r="S2730" s="3" t="s">
        <v>37</v>
      </c>
      <c r="T2730" s="3" t="s">
        <v>38</v>
      </c>
      <c r="U2730" s="3" t="s">
        <v>39</v>
      </c>
      <c r="V2730" s="3">
        <v>401.88</v>
      </c>
      <c r="W2730" s="3">
        <v>170.8</v>
      </c>
      <c r="X2730" s="3">
        <v>161.76</v>
      </c>
      <c r="Y2730" s="3">
        <v>69.319999999999993</v>
      </c>
    </row>
    <row r="2731" spans="1:25" ht="60.75" x14ac:dyDescent="0.25">
      <c r="A2731" s="3" t="s">
        <v>26</v>
      </c>
      <c r="B2731" s="3" t="s">
        <v>27</v>
      </c>
      <c r="C2731" s="3" t="s">
        <v>28</v>
      </c>
      <c r="D2731" s="3" t="s">
        <v>29</v>
      </c>
      <c r="E2731" s="3" t="s">
        <v>182</v>
      </c>
      <c r="F2731" s="3" t="s">
        <v>31</v>
      </c>
      <c r="G2731" s="3" t="s">
        <v>182</v>
      </c>
      <c r="H2731" s="3" t="s">
        <v>45</v>
      </c>
      <c r="I2731" s="3">
        <v>2025</v>
      </c>
      <c r="J2731" s="3" t="str">
        <f>CONCATENATE("54820158175")</f>
        <v>54820158175</v>
      </c>
      <c r="K2731" s="3" t="s">
        <v>33</v>
      </c>
      <c r="L2731" s="3"/>
      <c r="M2731" s="3" t="s">
        <v>131</v>
      </c>
      <c r="N2731" s="3" t="str">
        <f>CONCATENATE("PLVMNL78A04L500X")</f>
        <v>PLVMNL78A04L500X</v>
      </c>
      <c r="O2731" s="3" t="s">
        <v>2862</v>
      </c>
      <c r="P2731" s="3" t="s">
        <v>36</v>
      </c>
      <c r="Q2731" s="3"/>
      <c r="R2731" s="4">
        <v>45996</v>
      </c>
      <c r="S2731" s="3" t="s">
        <v>37</v>
      </c>
      <c r="T2731" s="3" t="s">
        <v>38</v>
      </c>
      <c r="U2731" s="3" t="s">
        <v>39</v>
      </c>
      <c r="V2731" s="3">
        <v>273.76</v>
      </c>
      <c r="W2731" s="3">
        <v>116.35</v>
      </c>
      <c r="X2731" s="3">
        <v>110.19</v>
      </c>
      <c r="Y2731" s="3">
        <v>47.22</v>
      </c>
    </row>
    <row r="2732" spans="1:25" ht="72.75" x14ac:dyDescent="0.25">
      <c r="A2732" s="3" t="s">
        <v>26</v>
      </c>
      <c r="B2732" s="3" t="s">
        <v>27</v>
      </c>
      <c r="C2732" s="3" t="s">
        <v>28</v>
      </c>
      <c r="D2732" s="3" t="s">
        <v>29</v>
      </c>
      <c r="E2732" s="3" t="s">
        <v>47</v>
      </c>
      <c r="F2732" s="3" t="s">
        <v>31</v>
      </c>
      <c r="G2732" s="3" t="s">
        <v>47</v>
      </c>
      <c r="H2732" s="3" t="s">
        <v>48</v>
      </c>
      <c r="I2732" s="3">
        <v>2025</v>
      </c>
      <c r="J2732" s="3" t="str">
        <f>CONCATENATE("54820153085")</f>
        <v>54820153085</v>
      </c>
      <c r="K2732" s="3" t="s">
        <v>33</v>
      </c>
      <c r="L2732" s="3"/>
      <c r="M2732" s="3" t="s">
        <v>131</v>
      </c>
      <c r="N2732" s="3" t="str">
        <f>CONCATENATE("RMLMCL44B68D451D")</f>
        <v>RMLMCL44B68D451D</v>
      </c>
      <c r="O2732" s="3" t="s">
        <v>2863</v>
      </c>
      <c r="P2732" s="3" t="s">
        <v>36</v>
      </c>
      <c r="Q2732" s="3"/>
      <c r="R2732" s="4">
        <v>45996</v>
      </c>
      <c r="S2732" s="3" t="s">
        <v>37</v>
      </c>
      <c r="T2732" s="3" t="s">
        <v>38</v>
      </c>
      <c r="U2732" s="3" t="s">
        <v>39</v>
      </c>
      <c r="V2732" s="3">
        <v>254</v>
      </c>
      <c r="W2732" s="3">
        <v>107.95</v>
      </c>
      <c r="X2732" s="3">
        <v>102.24</v>
      </c>
      <c r="Y2732" s="3">
        <v>43.81</v>
      </c>
    </row>
    <row r="2733" spans="1:25" ht="60.75" x14ac:dyDescent="0.25">
      <c r="A2733" s="3" t="s">
        <v>26</v>
      </c>
      <c r="B2733" s="3" t="s">
        <v>27</v>
      </c>
      <c r="C2733" s="3" t="s">
        <v>28</v>
      </c>
      <c r="D2733" s="3" t="s">
        <v>29</v>
      </c>
      <c r="E2733" s="3" t="s">
        <v>182</v>
      </c>
      <c r="F2733" s="3" t="s">
        <v>31</v>
      </c>
      <c r="G2733" s="3" t="s">
        <v>182</v>
      </c>
      <c r="H2733" s="3" t="s">
        <v>45</v>
      </c>
      <c r="I2733" s="3">
        <v>2025</v>
      </c>
      <c r="J2733" s="3" t="str">
        <f>CONCATENATE("54820101167")</f>
        <v>54820101167</v>
      </c>
      <c r="K2733" s="3" t="s">
        <v>33</v>
      </c>
      <c r="L2733" s="3"/>
      <c r="M2733" s="3" t="s">
        <v>131</v>
      </c>
      <c r="N2733" s="3" t="str">
        <f>CONCATENATE("CRLLGU42H15C830J")</f>
        <v>CRLLGU42H15C830J</v>
      </c>
      <c r="O2733" s="3" t="s">
        <v>2864</v>
      </c>
      <c r="P2733" s="3" t="s">
        <v>36</v>
      </c>
      <c r="Q2733" s="3"/>
      <c r="R2733" s="4">
        <v>45996</v>
      </c>
      <c r="S2733" s="3" t="s">
        <v>37</v>
      </c>
      <c r="T2733" s="3" t="s">
        <v>38</v>
      </c>
      <c r="U2733" s="3" t="s">
        <v>39</v>
      </c>
      <c r="V2733" s="3">
        <v>199.66</v>
      </c>
      <c r="W2733" s="3">
        <v>84.86</v>
      </c>
      <c r="X2733" s="3">
        <v>80.36</v>
      </c>
      <c r="Y2733" s="3">
        <v>34.44</v>
      </c>
    </row>
    <row r="2734" spans="1:25" ht="60.75" x14ac:dyDescent="0.25">
      <c r="A2734" s="3" t="s">
        <v>26</v>
      </c>
      <c r="B2734" s="3" t="s">
        <v>27</v>
      </c>
      <c r="C2734" s="3" t="s">
        <v>28</v>
      </c>
      <c r="D2734" s="3" t="s">
        <v>29</v>
      </c>
      <c r="E2734" s="3" t="s">
        <v>136</v>
      </c>
      <c r="F2734" s="3" t="s">
        <v>31</v>
      </c>
      <c r="G2734" s="3" t="s">
        <v>136</v>
      </c>
      <c r="H2734" s="3" t="s">
        <v>48</v>
      </c>
      <c r="I2734" s="3">
        <v>2025</v>
      </c>
      <c r="J2734" s="3" t="str">
        <f>CONCATENATE("54820170022")</f>
        <v>54820170022</v>
      </c>
      <c r="K2734" s="3" t="s">
        <v>33</v>
      </c>
      <c r="L2734" s="3"/>
      <c r="M2734" s="3" t="s">
        <v>131</v>
      </c>
      <c r="N2734" s="3" t="str">
        <f>CONCATENATE("BRNSMN85L31D451E")</f>
        <v>BRNSMN85L31D451E</v>
      </c>
      <c r="O2734" s="3" t="s">
        <v>2865</v>
      </c>
      <c r="P2734" s="3" t="s">
        <v>36</v>
      </c>
      <c r="Q2734" s="3"/>
      <c r="R2734" s="4">
        <v>45996</v>
      </c>
      <c r="S2734" s="3" t="s">
        <v>37</v>
      </c>
      <c r="T2734" s="3" t="s">
        <v>38</v>
      </c>
      <c r="U2734" s="3" t="s">
        <v>39</v>
      </c>
      <c r="V2734" s="3">
        <v>287.41000000000003</v>
      </c>
      <c r="W2734" s="3">
        <v>122.15</v>
      </c>
      <c r="X2734" s="3">
        <v>115.68</v>
      </c>
      <c r="Y2734" s="3">
        <v>49.58</v>
      </c>
    </row>
    <row r="2735" spans="1:25" ht="72.75" x14ac:dyDescent="0.25">
      <c r="A2735" s="3" t="s">
        <v>26</v>
      </c>
      <c r="B2735" s="3" t="s">
        <v>27</v>
      </c>
      <c r="C2735" s="3" t="s">
        <v>28</v>
      </c>
      <c r="D2735" s="3" t="s">
        <v>29</v>
      </c>
      <c r="E2735" s="3" t="s">
        <v>136</v>
      </c>
      <c r="F2735" s="3" t="s">
        <v>31</v>
      </c>
      <c r="G2735" s="3" t="s">
        <v>136</v>
      </c>
      <c r="H2735" s="3" t="s">
        <v>48</v>
      </c>
      <c r="I2735" s="3">
        <v>2025</v>
      </c>
      <c r="J2735" s="3" t="str">
        <f>CONCATENATE("54820138409")</f>
        <v>54820138409</v>
      </c>
      <c r="K2735" s="3" t="s">
        <v>33</v>
      </c>
      <c r="L2735" s="3"/>
      <c r="M2735" s="3" t="s">
        <v>131</v>
      </c>
      <c r="N2735" s="3" t="str">
        <f>CONCATENATE("MNGPRN53M29D965A")</f>
        <v>MNGPRN53M29D965A</v>
      </c>
      <c r="O2735" s="3" t="s">
        <v>2866</v>
      </c>
      <c r="P2735" s="3" t="s">
        <v>36</v>
      </c>
      <c r="Q2735" s="3"/>
      <c r="R2735" s="4">
        <v>45996</v>
      </c>
      <c r="S2735" s="3" t="s">
        <v>37</v>
      </c>
      <c r="T2735" s="3" t="s">
        <v>38</v>
      </c>
      <c r="U2735" s="3" t="s">
        <v>39</v>
      </c>
      <c r="V2735" s="3">
        <v>75.72</v>
      </c>
      <c r="W2735" s="3">
        <v>32.18</v>
      </c>
      <c r="X2735" s="3">
        <v>30.48</v>
      </c>
      <c r="Y2735" s="3">
        <v>13.06</v>
      </c>
    </row>
    <row r="2736" spans="1:25" ht="60.75" x14ac:dyDescent="0.25">
      <c r="A2736" s="3" t="s">
        <v>26</v>
      </c>
      <c r="B2736" s="3" t="s">
        <v>27</v>
      </c>
      <c r="C2736" s="3" t="s">
        <v>28</v>
      </c>
      <c r="D2736" s="3" t="s">
        <v>29</v>
      </c>
      <c r="E2736" s="3" t="s">
        <v>182</v>
      </c>
      <c r="F2736" s="3" t="s">
        <v>31</v>
      </c>
      <c r="G2736" s="3" t="s">
        <v>182</v>
      </c>
      <c r="H2736" s="3" t="s">
        <v>45</v>
      </c>
      <c r="I2736" s="3">
        <v>2025</v>
      </c>
      <c r="J2736" s="3" t="str">
        <f>CONCATENATE("54820146329")</f>
        <v>54820146329</v>
      </c>
      <c r="K2736" s="3" t="s">
        <v>33</v>
      </c>
      <c r="L2736" s="3"/>
      <c r="M2736" s="3" t="s">
        <v>131</v>
      </c>
      <c r="N2736" s="3" t="str">
        <f>CONCATENATE("MSASFN71M17L500E")</f>
        <v>MSASFN71M17L500E</v>
      </c>
      <c r="O2736" s="3" t="s">
        <v>2867</v>
      </c>
      <c r="P2736" s="3" t="s">
        <v>36</v>
      </c>
      <c r="Q2736" s="3"/>
      <c r="R2736" s="4">
        <v>45996</v>
      </c>
      <c r="S2736" s="3" t="s">
        <v>37</v>
      </c>
      <c r="T2736" s="3" t="s">
        <v>38</v>
      </c>
      <c r="U2736" s="3" t="s">
        <v>39</v>
      </c>
      <c r="V2736" s="3">
        <v>165.77</v>
      </c>
      <c r="W2736" s="3">
        <v>70.45</v>
      </c>
      <c r="X2736" s="3">
        <v>66.72</v>
      </c>
      <c r="Y2736" s="3">
        <v>28.6</v>
      </c>
    </row>
    <row r="2737" spans="1:25" ht="60.75" x14ac:dyDescent="0.25">
      <c r="A2737" s="3" t="s">
        <v>26</v>
      </c>
      <c r="B2737" s="3" t="s">
        <v>27</v>
      </c>
      <c r="C2737" s="3" t="s">
        <v>28</v>
      </c>
      <c r="D2737" s="3" t="s">
        <v>50</v>
      </c>
      <c r="E2737" s="3" t="s">
        <v>173</v>
      </c>
      <c r="F2737" s="3" t="s">
        <v>52</v>
      </c>
      <c r="G2737" s="3" t="s">
        <v>173</v>
      </c>
      <c r="H2737" s="3" t="s">
        <v>45</v>
      </c>
      <c r="I2737" s="3">
        <v>2025</v>
      </c>
      <c r="J2737" s="3" t="str">
        <f>CONCATENATE("54820106026")</f>
        <v>54820106026</v>
      </c>
      <c r="K2737" s="3" t="s">
        <v>33</v>
      </c>
      <c r="L2737" s="3"/>
      <c r="M2737" s="3" t="s">
        <v>131</v>
      </c>
      <c r="N2737" s="3" t="str">
        <f>CONCATENATE("GRRMRC84C03I459K")</f>
        <v>GRRMRC84C03I459K</v>
      </c>
      <c r="O2737" s="3" t="s">
        <v>2868</v>
      </c>
      <c r="P2737" s="3" t="s">
        <v>36</v>
      </c>
      <c r="Q2737" s="3"/>
      <c r="R2737" s="4">
        <v>45996</v>
      </c>
      <c r="S2737" s="3" t="s">
        <v>37</v>
      </c>
      <c r="T2737" s="3" t="s">
        <v>38</v>
      </c>
      <c r="U2737" s="3" t="s">
        <v>39</v>
      </c>
      <c r="V2737" s="3">
        <v>330.76</v>
      </c>
      <c r="W2737" s="3">
        <v>140.57</v>
      </c>
      <c r="X2737" s="3">
        <v>133.13</v>
      </c>
      <c r="Y2737" s="3">
        <v>57.06</v>
      </c>
    </row>
    <row r="2738" spans="1:25" ht="60.75" x14ac:dyDescent="0.25">
      <c r="A2738" s="3" t="s">
        <v>26</v>
      </c>
      <c r="B2738" s="3" t="s">
        <v>27</v>
      </c>
      <c r="C2738" s="3" t="s">
        <v>28</v>
      </c>
      <c r="D2738" s="3" t="s">
        <v>91</v>
      </c>
      <c r="E2738" s="3" t="s">
        <v>92</v>
      </c>
      <c r="F2738" s="3" t="s">
        <v>93</v>
      </c>
      <c r="G2738" s="3" t="s">
        <v>92</v>
      </c>
      <c r="H2738" s="3" t="s">
        <v>48</v>
      </c>
      <c r="I2738" s="3">
        <v>2025</v>
      </c>
      <c r="J2738" s="3" t="str">
        <f>CONCATENATE("54820119771")</f>
        <v>54820119771</v>
      </c>
      <c r="K2738" s="3" t="s">
        <v>33</v>
      </c>
      <c r="L2738" s="3"/>
      <c r="M2738" s="3" t="s">
        <v>131</v>
      </c>
      <c r="N2738" s="3" t="str">
        <f>CONCATENATE("GBRLNZ93C07D451N")</f>
        <v>GBRLNZ93C07D451N</v>
      </c>
      <c r="O2738" s="3" t="s">
        <v>94</v>
      </c>
      <c r="P2738" s="3" t="s">
        <v>36</v>
      </c>
      <c r="Q2738" s="3"/>
      <c r="R2738" s="4">
        <v>45996</v>
      </c>
      <c r="S2738" s="3" t="s">
        <v>37</v>
      </c>
      <c r="T2738" s="3" t="s">
        <v>38</v>
      </c>
      <c r="U2738" s="3" t="s">
        <v>39</v>
      </c>
      <c r="V2738" s="5">
        <v>1083.24</v>
      </c>
      <c r="W2738" s="3">
        <v>460.38</v>
      </c>
      <c r="X2738" s="3">
        <v>436</v>
      </c>
      <c r="Y2738" s="3">
        <v>186.86</v>
      </c>
    </row>
    <row r="2739" spans="1:25" ht="60.75" x14ac:dyDescent="0.25">
      <c r="A2739" s="3" t="s">
        <v>26</v>
      </c>
      <c r="B2739" s="3" t="s">
        <v>27</v>
      </c>
      <c r="C2739" s="3" t="s">
        <v>28</v>
      </c>
      <c r="D2739" s="3" t="s">
        <v>50</v>
      </c>
      <c r="E2739" s="3" t="s">
        <v>51</v>
      </c>
      <c r="F2739" s="3" t="s">
        <v>52</v>
      </c>
      <c r="G2739" s="3" t="s">
        <v>51</v>
      </c>
      <c r="H2739" s="3" t="s">
        <v>48</v>
      </c>
      <c r="I2739" s="3">
        <v>2025</v>
      </c>
      <c r="J2739" s="3" t="str">
        <f>CONCATENATE("54820163316")</f>
        <v>54820163316</v>
      </c>
      <c r="K2739" s="3" t="s">
        <v>33</v>
      </c>
      <c r="L2739" s="3"/>
      <c r="M2739" s="3" t="s">
        <v>131</v>
      </c>
      <c r="N2739" s="3" t="str">
        <f>CONCATENATE("GBBMNL65T68D451F")</f>
        <v>GBBMNL65T68D451F</v>
      </c>
      <c r="O2739" s="3" t="s">
        <v>2869</v>
      </c>
      <c r="P2739" s="3" t="s">
        <v>36</v>
      </c>
      <c r="Q2739" s="3"/>
      <c r="R2739" s="4">
        <v>45996</v>
      </c>
      <c r="S2739" s="3" t="s">
        <v>37</v>
      </c>
      <c r="T2739" s="3" t="s">
        <v>38</v>
      </c>
      <c r="U2739" s="3" t="s">
        <v>39</v>
      </c>
      <c r="V2739" s="3">
        <v>99.69</v>
      </c>
      <c r="W2739" s="3">
        <v>42.37</v>
      </c>
      <c r="X2739" s="3">
        <v>40.130000000000003</v>
      </c>
      <c r="Y2739" s="3">
        <v>17.190000000000001</v>
      </c>
    </row>
    <row r="2740" spans="1:25" ht="60.75" x14ac:dyDescent="0.25">
      <c r="A2740" s="3" t="s">
        <v>26</v>
      </c>
      <c r="B2740" s="3" t="s">
        <v>27</v>
      </c>
      <c r="C2740" s="3" t="s">
        <v>28</v>
      </c>
      <c r="D2740" s="3" t="s">
        <v>50</v>
      </c>
      <c r="E2740" s="3" t="s">
        <v>51</v>
      </c>
      <c r="F2740" s="3" t="s">
        <v>52</v>
      </c>
      <c r="G2740" s="3" t="s">
        <v>51</v>
      </c>
      <c r="H2740" s="3" t="s">
        <v>48</v>
      </c>
      <c r="I2740" s="3">
        <v>2025</v>
      </c>
      <c r="J2740" s="3" t="str">
        <f>CONCATENATE("54820172234")</f>
        <v>54820172234</v>
      </c>
      <c r="K2740" s="3" t="s">
        <v>33</v>
      </c>
      <c r="L2740" s="3"/>
      <c r="M2740" s="3" t="s">
        <v>131</v>
      </c>
      <c r="N2740" s="3" t="str">
        <f>CONCATENATE("CHDDNL76C03I653T")</f>
        <v>CHDDNL76C03I653T</v>
      </c>
      <c r="O2740" s="3" t="s">
        <v>2870</v>
      </c>
      <c r="P2740" s="3" t="s">
        <v>36</v>
      </c>
      <c r="Q2740" s="3"/>
      <c r="R2740" s="4">
        <v>45996</v>
      </c>
      <c r="S2740" s="3" t="s">
        <v>37</v>
      </c>
      <c r="T2740" s="3" t="s">
        <v>38</v>
      </c>
      <c r="U2740" s="3" t="s">
        <v>39</v>
      </c>
      <c r="V2740" s="3">
        <v>187.5</v>
      </c>
      <c r="W2740" s="3">
        <v>79.69</v>
      </c>
      <c r="X2740" s="3">
        <v>75.47</v>
      </c>
      <c r="Y2740" s="3">
        <v>32.340000000000003</v>
      </c>
    </row>
    <row r="2741" spans="1:25" ht="60.75" x14ac:dyDescent="0.25">
      <c r="A2741" s="3" t="s">
        <v>26</v>
      </c>
      <c r="B2741" s="3" t="s">
        <v>27</v>
      </c>
      <c r="C2741" s="3" t="s">
        <v>28</v>
      </c>
      <c r="D2741" s="3" t="s">
        <v>29</v>
      </c>
      <c r="E2741" s="3" t="s">
        <v>47</v>
      </c>
      <c r="F2741" s="3" t="s">
        <v>31</v>
      </c>
      <c r="G2741" s="3" t="s">
        <v>47</v>
      </c>
      <c r="H2741" s="3" t="s">
        <v>48</v>
      </c>
      <c r="I2741" s="3">
        <v>2025</v>
      </c>
      <c r="J2741" s="3" t="str">
        <f>CONCATENATE("54820169560")</f>
        <v>54820169560</v>
      </c>
      <c r="K2741" s="3" t="s">
        <v>33</v>
      </c>
      <c r="L2741" s="3"/>
      <c r="M2741" s="3" t="s">
        <v>131</v>
      </c>
      <c r="N2741" s="3" t="str">
        <f>CONCATENATE("PRSRLL52E41D451F")</f>
        <v>PRSRLL52E41D451F</v>
      </c>
      <c r="O2741" s="3" t="s">
        <v>2871</v>
      </c>
      <c r="P2741" s="3" t="s">
        <v>36</v>
      </c>
      <c r="Q2741" s="3"/>
      <c r="R2741" s="4">
        <v>45996</v>
      </c>
      <c r="S2741" s="3" t="s">
        <v>37</v>
      </c>
      <c r="T2741" s="3" t="s">
        <v>38</v>
      </c>
      <c r="U2741" s="3" t="s">
        <v>39</v>
      </c>
      <c r="V2741" s="3">
        <v>706.99</v>
      </c>
      <c r="W2741" s="3">
        <v>300.47000000000003</v>
      </c>
      <c r="X2741" s="3">
        <v>284.56</v>
      </c>
      <c r="Y2741" s="3">
        <v>121.96</v>
      </c>
    </row>
    <row r="2742" spans="1:25" ht="72.75" x14ac:dyDescent="0.25">
      <c r="A2742" s="3" t="s">
        <v>26</v>
      </c>
      <c r="B2742" s="3" t="s">
        <v>27</v>
      </c>
      <c r="C2742" s="3" t="s">
        <v>28</v>
      </c>
      <c r="D2742" s="3" t="s">
        <v>29</v>
      </c>
      <c r="E2742" s="3" t="s">
        <v>68</v>
      </c>
      <c r="F2742" s="3" t="s">
        <v>31</v>
      </c>
      <c r="G2742" s="3" t="s">
        <v>68</v>
      </c>
      <c r="H2742" s="3" t="s">
        <v>32</v>
      </c>
      <c r="I2742" s="3">
        <v>2025</v>
      </c>
      <c r="J2742" s="3" t="str">
        <f>CONCATENATE("54820146816")</f>
        <v>54820146816</v>
      </c>
      <c r="K2742" s="3" t="s">
        <v>33</v>
      </c>
      <c r="L2742" s="3"/>
      <c r="M2742" s="3" t="s">
        <v>131</v>
      </c>
      <c r="N2742" s="3" t="str">
        <f>CONCATENATE("MRNPRI61M09I436U")</f>
        <v>MRNPRI61M09I436U</v>
      </c>
      <c r="O2742" s="3" t="s">
        <v>2872</v>
      </c>
      <c r="P2742" s="3" t="s">
        <v>36</v>
      </c>
      <c r="Q2742" s="3"/>
      <c r="R2742" s="4">
        <v>45996</v>
      </c>
      <c r="S2742" s="3" t="s">
        <v>37</v>
      </c>
      <c r="T2742" s="3" t="s">
        <v>38</v>
      </c>
      <c r="U2742" s="3" t="s">
        <v>39</v>
      </c>
      <c r="V2742" s="3">
        <v>97.98</v>
      </c>
      <c r="W2742" s="3">
        <v>41.64</v>
      </c>
      <c r="X2742" s="3">
        <v>39.44</v>
      </c>
      <c r="Y2742" s="3">
        <v>16.899999999999999</v>
      </c>
    </row>
    <row r="2743" spans="1:25" ht="60.75" x14ac:dyDescent="0.25">
      <c r="A2743" s="3" t="s">
        <v>26</v>
      </c>
      <c r="B2743" s="3" t="s">
        <v>27</v>
      </c>
      <c r="C2743" s="3" t="s">
        <v>28</v>
      </c>
      <c r="D2743" s="3" t="s">
        <v>29</v>
      </c>
      <c r="E2743" s="3" t="s">
        <v>476</v>
      </c>
      <c r="F2743" s="3" t="s">
        <v>31</v>
      </c>
      <c r="G2743" s="3" t="s">
        <v>476</v>
      </c>
      <c r="H2743" s="3" t="s">
        <v>48</v>
      </c>
      <c r="I2743" s="3">
        <v>2025</v>
      </c>
      <c r="J2743" s="3" t="str">
        <f>CONCATENATE("54820116678")</f>
        <v>54820116678</v>
      </c>
      <c r="K2743" s="3" t="s">
        <v>33</v>
      </c>
      <c r="L2743" s="3"/>
      <c r="M2743" s="3" t="s">
        <v>131</v>
      </c>
      <c r="N2743" s="3" t="str">
        <f>CONCATENATE("LCCNMR52L66I653E")</f>
        <v>LCCNMR52L66I653E</v>
      </c>
      <c r="O2743" s="3" t="s">
        <v>2873</v>
      </c>
      <c r="P2743" s="3" t="s">
        <v>36</v>
      </c>
      <c r="Q2743" s="3"/>
      <c r="R2743" s="4">
        <v>45996</v>
      </c>
      <c r="S2743" s="3" t="s">
        <v>37</v>
      </c>
      <c r="T2743" s="3" t="s">
        <v>38</v>
      </c>
      <c r="U2743" s="3" t="s">
        <v>39</v>
      </c>
      <c r="V2743" s="3">
        <v>144.99</v>
      </c>
      <c r="W2743" s="3">
        <v>61.62</v>
      </c>
      <c r="X2743" s="3">
        <v>58.36</v>
      </c>
      <c r="Y2743" s="3">
        <v>25.01</v>
      </c>
    </row>
    <row r="2744" spans="1:25" ht="72.75" x14ac:dyDescent="0.25">
      <c r="A2744" s="3" t="s">
        <v>26</v>
      </c>
      <c r="B2744" s="3" t="s">
        <v>27</v>
      </c>
      <c r="C2744" s="3" t="s">
        <v>28</v>
      </c>
      <c r="D2744" s="3" t="s">
        <v>50</v>
      </c>
      <c r="E2744" s="3" t="s">
        <v>252</v>
      </c>
      <c r="F2744" s="3" t="s">
        <v>52</v>
      </c>
      <c r="G2744" s="3" t="s">
        <v>252</v>
      </c>
      <c r="H2744" s="3" t="s">
        <v>45</v>
      </c>
      <c r="I2744" s="3">
        <v>2025</v>
      </c>
      <c r="J2744" s="3" t="str">
        <f>CONCATENATE("54820208962")</f>
        <v>54820208962</v>
      </c>
      <c r="K2744" s="3" t="s">
        <v>33</v>
      </c>
      <c r="L2744" s="3"/>
      <c r="M2744" s="3" t="s">
        <v>131</v>
      </c>
      <c r="N2744" s="3" t="str">
        <f>CONCATENATE("SPDSMN69M13D749W")</f>
        <v>SPDSMN69M13D749W</v>
      </c>
      <c r="O2744" s="3" t="s">
        <v>2874</v>
      </c>
      <c r="P2744" s="3" t="s">
        <v>36</v>
      </c>
      <c r="Q2744" s="3"/>
      <c r="R2744" s="4">
        <v>45996</v>
      </c>
      <c r="S2744" s="3" t="s">
        <v>37</v>
      </c>
      <c r="T2744" s="3" t="s">
        <v>38</v>
      </c>
      <c r="U2744" s="3" t="s">
        <v>39</v>
      </c>
      <c r="V2744" s="3">
        <v>55.52</v>
      </c>
      <c r="W2744" s="3">
        <v>23.6</v>
      </c>
      <c r="X2744" s="3">
        <v>22.35</v>
      </c>
      <c r="Y2744" s="3">
        <v>9.57</v>
      </c>
    </row>
    <row r="2745" spans="1:25" ht="72.75" x14ac:dyDescent="0.25">
      <c r="A2745" s="3" t="s">
        <v>26</v>
      </c>
      <c r="B2745" s="3" t="s">
        <v>27</v>
      </c>
      <c r="C2745" s="3" t="s">
        <v>28</v>
      </c>
      <c r="D2745" s="3" t="s">
        <v>91</v>
      </c>
      <c r="E2745" s="3" t="s">
        <v>151</v>
      </c>
      <c r="F2745" s="3" t="s">
        <v>93</v>
      </c>
      <c r="G2745" s="3" t="s">
        <v>151</v>
      </c>
      <c r="H2745" s="3" t="s">
        <v>45</v>
      </c>
      <c r="I2745" s="3">
        <v>2025</v>
      </c>
      <c r="J2745" s="3" t="str">
        <f>CONCATENATE("54820213897")</f>
        <v>54820213897</v>
      </c>
      <c r="K2745" s="3" t="s">
        <v>33</v>
      </c>
      <c r="L2745" s="3"/>
      <c r="M2745" s="3" t="s">
        <v>131</v>
      </c>
      <c r="N2745" s="3" t="str">
        <f>CONCATENATE("MDCRMO58H02G453P")</f>
        <v>MDCRMO58H02G453P</v>
      </c>
      <c r="O2745" s="3" t="s">
        <v>2875</v>
      </c>
      <c r="P2745" s="3" t="s">
        <v>36</v>
      </c>
      <c r="Q2745" s="3"/>
      <c r="R2745" s="4">
        <v>45996</v>
      </c>
      <c r="S2745" s="3" t="s">
        <v>37</v>
      </c>
      <c r="T2745" s="3" t="s">
        <v>38</v>
      </c>
      <c r="U2745" s="3" t="s">
        <v>39</v>
      </c>
      <c r="V2745" s="3">
        <v>547.76</v>
      </c>
      <c r="W2745" s="3">
        <v>232.8</v>
      </c>
      <c r="X2745" s="3">
        <v>220.47</v>
      </c>
      <c r="Y2745" s="3">
        <v>94.49</v>
      </c>
    </row>
    <row r="2746" spans="1:25" ht="60.75" x14ac:dyDescent="0.25">
      <c r="A2746" s="3" t="s">
        <v>26</v>
      </c>
      <c r="B2746" s="3" t="s">
        <v>27</v>
      </c>
      <c r="C2746" s="3" t="s">
        <v>28</v>
      </c>
      <c r="D2746" s="3" t="s">
        <v>29</v>
      </c>
      <c r="E2746" s="3" t="s">
        <v>136</v>
      </c>
      <c r="F2746" s="3" t="s">
        <v>31</v>
      </c>
      <c r="G2746" s="3" t="s">
        <v>136</v>
      </c>
      <c r="H2746" s="3" t="s">
        <v>48</v>
      </c>
      <c r="I2746" s="3">
        <v>2025</v>
      </c>
      <c r="J2746" s="3" t="str">
        <f>CONCATENATE("54820274212")</f>
        <v>54820274212</v>
      </c>
      <c r="K2746" s="3" t="s">
        <v>33</v>
      </c>
      <c r="L2746" s="3"/>
      <c r="M2746" s="3" t="s">
        <v>131</v>
      </c>
      <c r="N2746" s="3" t="str">
        <f>CONCATENATE("NTGGRL93C28D451Q")</f>
        <v>NTGGRL93C28D451Q</v>
      </c>
      <c r="O2746" s="3" t="s">
        <v>2876</v>
      </c>
      <c r="P2746" s="3" t="s">
        <v>36</v>
      </c>
      <c r="Q2746" s="3"/>
      <c r="R2746" s="4">
        <v>45996</v>
      </c>
      <c r="S2746" s="3" t="s">
        <v>37</v>
      </c>
      <c r="T2746" s="3" t="s">
        <v>38</v>
      </c>
      <c r="U2746" s="3" t="s">
        <v>39</v>
      </c>
      <c r="V2746" s="3">
        <v>372.49</v>
      </c>
      <c r="W2746" s="3">
        <v>158.31</v>
      </c>
      <c r="X2746" s="3">
        <v>149.93</v>
      </c>
      <c r="Y2746" s="3">
        <v>64.25</v>
      </c>
    </row>
    <row r="2747" spans="1:25" ht="36.75" x14ac:dyDescent="0.25">
      <c r="A2747" s="3" t="s">
        <v>26</v>
      </c>
      <c r="B2747" s="3" t="s">
        <v>27</v>
      </c>
      <c r="C2747" s="3" t="s">
        <v>28</v>
      </c>
      <c r="D2747" s="3" t="s">
        <v>50</v>
      </c>
      <c r="E2747" s="3" t="s">
        <v>60</v>
      </c>
      <c r="F2747" s="3" t="s">
        <v>52</v>
      </c>
      <c r="G2747" s="3" t="s">
        <v>60</v>
      </c>
      <c r="H2747" s="3" t="s">
        <v>45</v>
      </c>
      <c r="I2747" s="3">
        <v>2025</v>
      </c>
      <c r="J2747" s="3" t="str">
        <f>CONCATENATE("54820414024")</f>
        <v>54820414024</v>
      </c>
      <c r="K2747" s="3" t="s">
        <v>33</v>
      </c>
      <c r="L2747" s="3"/>
      <c r="M2747" s="3" t="s">
        <v>131</v>
      </c>
      <c r="N2747" s="3" t="str">
        <f>CONCATENATE("02254910413")</f>
        <v>02254910413</v>
      </c>
      <c r="O2747" s="3" t="s">
        <v>2877</v>
      </c>
      <c r="P2747" s="3" t="s">
        <v>36</v>
      </c>
      <c r="Q2747" s="3"/>
      <c r="R2747" s="4">
        <v>45996</v>
      </c>
      <c r="S2747" s="3" t="s">
        <v>37</v>
      </c>
      <c r="T2747" s="3" t="s">
        <v>38</v>
      </c>
      <c r="U2747" s="3" t="s">
        <v>39</v>
      </c>
      <c r="V2747" s="3">
        <v>58.11</v>
      </c>
      <c r="W2747" s="3">
        <v>24.7</v>
      </c>
      <c r="X2747" s="3">
        <v>23.39</v>
      </c>
      <c r="Y2747" s="3">
        <v>10.02</v>
      </c>
    </row>
    <row r="2748" spans="1:25" ht="72.75" x14ac:dyDescent="0.25">
      <c r="A2748" s="3" t="s">
        <v>26</v>
      </c>
      <c r="B2748" s="3" t="s">
        <v>27</v>
      </c>
      <c r="C2748" s="3" t="s">
        <v>28</v>
      </c>
      <c r="D2748" s="3" t="s">
        <v>29</v>
      </c>
      <c r="E2748" s="3" t="s">
        <v>80</v>
      </c>
      <c r="F2748" s="3" t="s">
        <v>31</v>
      </c>
      <c r="G2748" s="3" t="s">
        <v>80</v>
      </c>
      <c r="H2748" s="3" t="s">
        <v>45</v>
      </c>
      <c r="I2748" s="3">
        <v>2025</v>
      </c>
      <c r="J2748" s="3" t="str">
        <f>CONCATENATE("54820155494")</f>
        <v>54820155494</v>
      </c>
      <c r="K2748" s="3" t="s">
        <v>33</v>
      </c>
      <c r="L2748" s="3"/>
      <c r="M2748" s="3" t="s">
        <v>131</v>
      </c>
      <c r="N2748" s="3" t="str">
        <f>CONCATENATE("MGAMRN42S68D809T")</f>
        <v>MGAMRN42S68D809T</v>
      </c>
      <c r="O2748" s="3" t="s">
        <v>2878</v>
      </c>
      <c r="P2748" s="3" t="s">
        <v>36</v>
      </c>
      <c r="Q2748" s="3"/>
      <c r="R2748" s="4">
        <v>45996</v>
      </c>
      <c r="S2748" s="3" t="s">
        <v>37</v>
      </c>
      <c r="T2748" s="3" t="s">
        <v>38</v>
      </c>
      <c r="U2748" s="3" t="s">
        <v>39</v>
      </c>
      <c r="V2748" s="3">
        <v>120.16</v>
      </c>
      <c r="W2748" s="3">
        <v>51.07</v>
      </c>
      <c r="X2748" s="3">
        <v>48.36</v>
      </c>
      <c r="Y2748" s="3">
        <v>20.73</v>
      </c>
    </row>
    <row r="2749" spans="1:25" ht="60.75" x14ac:dyDescent="0.25">
      <c r="A2749" s="3" t="s">
        <v>26</v>
      </c>
      <c r="B2749" s="3" t="s">
        <v>27</v>
      </c>
      <c r="C2749" s="3" t="s">
        <v>28</v>
      </c>
      <c r="D2749" s="3" t="s">
        <v>50</v>
      </c>
      <c r="E2749" s="3" t="s">
        <v>60</v>
      </c>
      <c r="F2749" s="3" t="s">
        <v>52</v>
      </c>
      <c r="G2749" s="3" t="s">
        <v>60</v>
      </c>
      <c r="H2749" s="3" t="s">
        <v>45</v>
      </c>
      <c r="I2749" s="3">
        <v>2025</v>
      </c>
      <c r="J2749" s="3" t="str">
        <f>CONCATENATE("54820163605")</f>
        <v>54820163605</v>
      </c>
      <c r="K2749" s="3" t="s">
        <v>33</v>
      </c>
      <c r="L2749" s="3"/>
      <c r="M2749" s="3" t="s">
        <v>131</v>
      </c>
      <c r="N2749" s="3" t="str">
        <f>CONCATENATE("RSOPLA83H27G453L")</f>
        <v>RSOPLA83H27G453L</v>
      </c>
      <c r="O2749" s="3" t="s">
        <v>2879</v>
      </c>
      <c r="P2749" s="3" t="s">
        <v>36</v>
      </c>
      <c r="Q2749" s="3"/>
      <c r="R2749" s="4">
        <v>45996</v>
      </c>
      <c r="S2749" s="3" t="s">
        <v>37</v>
      </c>
      <c r="T2749" s="3" t="s">
        <v>38</v>
      </c>
      <c r="U2749" s="3" t="s">
        <v>39</v>
      </c>
      <c r="V2749" s="3">
        <v>57.78</v>
      </c>
      <c r="W2749" s="3">
        <v>24.56</v>
      </c>
      <c r="X2749" s="3">
        <v>23.26</v>
      </c>
      <c r="Y2749" s="3">
        <v>9.9600000000000009</v>
      </c>
    </row>
    <row r="2750" spans="1:25" ht="36.75" x14ac:dyDescent="0.25">
      <c r="A2750" s="3" t="s">
        <v>26</v>
      </c>
      <c r="B2750" s="3" t="s">
        <v>27</v>
      </c>
      <c r="C2750" s="3" t="s">
        <v>28</v>
      </c>
      <c r="D2750" s="3" t="s">
        <v>29</v>
      </c>
      <c r="E2750" s="3" t="s">
        <v>72</v>
      </c>
      <c r="F2750" s="3" t="s">
        <v>31</v>
      </c>
      <c r="G2750" s="3" t="s">
        <v>72</v>
      </c>
      <c r="H2750" s="3" t="s">
        <v>45</v>
      </c>
      <c r="I2750" s="3">
        <v>2025</v>
      </c>
      <c r="J2750" s="3" t="str">
        <f>CONCATENATE("54820167523")</f>
        <v>54820167523</v>
      </c>
      <c r="K2750" s="3" t="s">
        <v>33</v>
      </c>
      <c r="L2750" s="3"/>
      <c r="M2750" s="3" t="s">
        <v>131</v>
      </c>
      <c r="N2750" s="3" t="str">
        <f>CONCATENATE("02311150417")</f>
        <v>02311150417</v>
      </c>
      <c r="O2750" s="3" t="s">
        <v>2880</v>
      </c>
      <c r="P2750" s="3" t="s">
        <v>36</v>
      </c>
      <c r="Q2750" s="3"/>
      <c r="R2750" s="4">
        <v>45996</v>
      </c>
      <c r="S2750" s="3" t="s">
        <v>37</v>
      </c>
      <c r="T2750" s="3" t="s">
        <v>38</v>
      </c>
      <c r="U2750" s="3" t="s">
        <v>39</v>
      </c>
      <c r="V2750" s="3">
        <v>291.2</v>
      </c>
      <c r="W2750" s="3">
        <v>123.76</v>
      </c>
      <c r="X2750" s="3">
        <v>117.21</v>
      </c>
      <c r="Y2750" s="3">
        <v>50.23</v>
      </c>
    </row>
    <row r="2751" spans="1:25" ht="72.75" x14ac:dyDescent="0.25">
      <c r="A2751" s="3" t="s">
        <v>26</v>
      </c>
      <c r="B2751" s="3" t="s">
        <v>27</v>
      </c>
      <c r="C2751" s="3" t="s">
        <v>28</v>
      </c>
      <c r="D2751" s="3" t="s">
        <v>40</v>
      </c>
      <c r="E2751" s="3" t="s">
        <v>496</v>
      </c>
      <c r="F2751" s="3" t="s">
        <v>42</v>
      </c>
      <c r="G2751" s="3" t="s">
        <v>496</v>
      </c>
      <c r="H2751" s="3" t="s">
        <v>32</v>
      </c>
      <c r="I2751" s="3">
        <v>2025</v>
      </c>
      <c r="J2751" s="3" t="str">
        <f>CONCATENATE("54820144043")</f>
        <v>54820144043</v>
      </c>
      <c r="K2751" s="3" t="s">
        <v>33</v>
      </c>
      <c r="L2751" s="3"/>
      <c r="M2751" s="3" t="s">
        <v>131</v>
      </c>
      <c r="N2751" s="3" t="str">
        <f>CONCATENATE("PGNPTR60H20B474G")</f>
        <v>PGNPTR60H20B474G</v>
      </c>
      <c r="O2751" s="3" t="s">
        <v>2881</v>
      </c>
      <c r="P2751" s="3" t="s">
        <v>36</v>
      </c>
      <c r="Q2751" s="3"/>
      <c r="R2751" s="4">
        <v>45996</v>
      </c>
      <c r="S2751" s="3" t="s">
        <v>37</v>
      </c>
      <c r="T2751" s="3" t="s">
        <v>38</v>
      </c>
      <c r="U2751" s="3" t="s">
        <v>39</v>
      </c>
      <c r="V2751" s="3">
        <v>196.29</v>
      </c>
      <c r="W2751" s="3">
        <v>83.42</v>
      </c>
      <c r="X2751" s="3">
        <v>79.010000000000005</v>
      </c>
      <c r="Y2751" s="3">
        <v>33.86</v>
      </c>
    </row>
    <row r="2752" spans="1:25" ht="60.75" x14ac:dyDescent="0.25">
      <c r="A2752" s="3" t="s">
        <v>26</v>
      </c>
      <c r="B2752" s="3" t="s">
        <v>27</v>
      </c>
      <c r="C2752" s="3" t="s">
        <v>28</v>
      </c>
      <c r="D2752" s="3" t="s">
        <v>50</v>
      </c>
      <c r="E2752" s="3" t="s">
        <v>149</v>
      </c>
      <c r="F2752" s="3" t="s">
        <v>52</v>
      </c>
      <c r="G2752" s="3" t="s">
        <v>149</v>
      </c>
      <c r="H2752" s="3" t="s">
        <v>96</v>
      </c>
      <c r="I2752" s="3">
        <v>2025</v>
      </c>
      <c r="J2752" s="3" t="str">
        <f>CONCATENATE("54820196233")</f>
        <v>54820196233</v>
      </c>
      <c r="K2752" s="3" t="s">
        <v>33</v>
      </c>
      <c r="L2752" s="3"/>
      <c r="M2752" s="3" t="s">
        <v>131</v>
      </c>
      <c r="N2752" s="3" t="str">
        <f>CONCATENATE("RCCVTI83P10A462B")</f>
        <v>RCCVTI83P10A462B</v>
      </c>
      <c r="O2752" s="3" t="s">
        <v>2882</v>
      </c>
      <c r="P2752" s="3" t="s">
        <v>36</v>
      </c>
      <c r="Q2752" s="3"/>
      <c r="R2752" s="4">
        <v>45996</v>
      </c>
      <c r="S2752" s="3" t="s">
        <v>37</v>
      </c>
      <c r="T2752" s="3" t="s">
        <v>38</v>
      </c>
      <c r="U2752" s="3" t="s">
        <v>39</v>
      </c>
      <c r="V2752" s="5">
        <v>1054.69</v>
      </c>
      <c r="W2752" s="3">
        <v>448.24</v>
      </c>
      <c r="X2752" s="3">
        <v>424.51</v>
      </c>
      <c r="Y2752" s="3">
        <v>181.94</v>
      </c>
    </row>
    <row r="2753" spans="1:25" ht="72.75" x14ac:dyDescent="0.25">
      <c r="A2753" s="3" t="s">
        <v>26</v>
      </c>
      <c r="B2753" s="3" t="s">
        <v>27</v>
      </c>
      <c r="C2753" s="3" t="s">
        <v>28</v>
      </c>
      <c r="D2753" s="3" t="s">
        <v>29</v>
      </c>
      <c r="E2753" s="3" t="s">
        <v>80</v>
      </c>
      <c r="F2753" s="3" t="s">
        <v>31</v>
      </c>
      <c r="G2753" s="3" t="s">
        <v>80</v>
      </c>
      <c r="H2753" s="3" t="s">
        <v>45</v>
      </c>
      <c r="I2753" s="3">
        <v>2025</v>
      </c>
      <c r="J2753" s="3" t="str">
        <f>CONCATENATE("54820167556")</f>
        <v>54820167556</v>
      </c>
      <c r="K2753" s="3" t="s">
        <v>33</v>
      </c>
      <c r="L2753" s="3"/>
      <c r="M2753" s="3" t="s">
        <v>131</v>
      </c>
      <c r="N2753" s="3" t="str">
        <f>CONCATENATE("VTRBBR74H55B220Q")</f>
        <v>VTRBBR74H55B220Q</v>
      </c>
      <c r="O2753" s="3" t="s">
        <v>2883</v>
      </c>
      <c r="P2753" s="3" t="s">
        <v>36</v>
      </c>
      <c r="Q2753" s="3"/>
      <c r="R2753" s="4">
        <v>45996</v>
      </c>
      <c r="S2753" s="3" t="s">
        <v>37</v>
      </c>
      <c r="T2753" s="3" t="s">
        <v>38</v>
      </c>
      <c r="U2753" s="3" t="s">
        <v>39</v>
      </c>
      <c r="V2753" s="3">
        <v>82.74</v>
      </c>
      <c r="W2753" s="3">
        <v>35.159999999999997</v>
      </c>
      <c r="X2753" s="3">
        <v>33.299999999999997</v>
      </c>
      <c r="Y2753" s="3">
        <v>14.28</v>
      </c>
    </row>
    <row r="2754" spans="1:25" ht="60.75" x14ac:dyDescent="0.25">
      <c r="A2754" s="3" t="s">
        <v>26</v>
      </c>
      <c r="B2754" s="3" t="s">
        <v>27</v>
      </c>
      <c r="C2754" s="3" t="s">
        <v>28</v>
      </c>
      <c r="D2754" s="3" t="s">
        <v>91</v>
      </c>
      <c r="E2754" s="3" t="s">
        <v>151</v>
      </c>
      <c r="F2754" s="3" t="s">
        <v>93</v>
      </c>
      <c r="G2754" s="3" t="s">
        <v>151</v>
      </c>
      <c r="H2754" s="3" t="s">
        <v>45</v>
      </c>
      <c r="I2754" s="3">
        <v>2025</v>
      </c>
      <c r="J2754" s="3" t="str">
        <f>CONCATENATE("54820234885")</f>
        <v>54820234885</v>
      </c>
      <c r="K2754" s="3" t="s">
        <v>33</v>
      </c>
      <c r="L2754" s="3"/>
      <c r="M2754" s="3" t="s">
        <v>131</v>
      </c>
      <c r="N2754" s="3" t="str">
        <f>CONCATENATE("MNTLRT69E03H958T")</f>
        <v>MNTLRT69E03H958T</v>
      </c>
      <c r="O2754" s="3" t="s">
        <v>2884</v>
      </c>
      <c r="P2754" s="3" t="s">
        <v>36</v>
      </c>
      <c r="Q2754" s="3"/>
      <c r="R2754" s="4">
        <v>45996</v>
      </c>
      <c r="S2754" s="3" t="s">
        <v>37</v>
      </c>
      <c r="T2754" s="3" t="s">
        <v>38</v>
      </c>
      <c r="U2754" s="3" t="s">
        <v>39</v>
      </c>
      <c r="V2754" s="3">
        <v>768.43</v>
      </c>
      <c r="W2754" s="3">
        <v>326.58</v>
      </c>
      <c r="X2754" s="3">
        <v>309.29000000000002</v>
      </c>
      <c r="Y2754" s="3">
        <v>132.56</v>
      </c>
    </row>
    <row r="2755" spans="1:25" ht="60.75" x14ac:dyDescent="0.25">
      <c r="A2755" s="3" t="s">
        <v>26</v>
      </c>
      <c r="B2755" s="3" t="s">
        <v>27</v>
      </c>
      <c r="C2755" s="3" t="s">
        <v>28</v>
      </c>
      <c r="D2755" s="3" t="s">
        <v>104</v>
      </c>
      <c r="E2755" s="3" t="s">
        <v>141</v>
      </c>
      <c r="F2755" s="3" t="s">
        <v>104</v>
      </c>
      <c r="G2755" s="3" t="s">
        <v>141</v>
      </c>
      <c r="H2755" s="3" t="s">
        <v>96</v>
      </c>
      <c r="I2755" s="3">
        <v>2025</v>
      </c>
      <c r="J2755" s="3" t="str">
        <f>CONCATENATE("54820276845")</f>
        <v>54820276845</v>
      </c>
      <c r="K2755" s="3" t="s">
        <v>33</v>
      </c>
      <c r="L2755" s="3"/>
      <c r="M2755" s="3" t="s">
        <v>131</v>
      </c>
      <c r="N2755" s="3" t="str">
        <f>CONCATENATE("PSCFLC52T60F570V")</f>
        <v>PSCFLC52T60F570V</v>
      </c>
      <c r="O2755" s="3" t="s">
        <v>2885</v>
      </c>
      <c r="P2755" s="3" t="s">
        <v>36</v>
      </c>
      <c r="Q2755" s="3"/>
      <c r="R2755" s="4">
        <v>45996</v>
      </c>
      <c r="S2755" s="3" t="s">
        <v>37</v>
      </c>
      <c r="T2755" s="3" t="s">
        <v>38</v>
      </c>
      <c r="U2755" s="3" t="s">
        <v>39</v>
      </c>
      <c r="V2755" s="3">
        <v>95.08</v>
      </c>
      <c r="W2755" s="3">
        <v>40.409999999999997</v>
      </c>
      <c r="X2755" s="3">
        <v>38.270000000000003</v>
      </c>
      <c r="Y2755" s="3">
        <v>16.399999999999999</v>
      </c>
    </row>
    <row r="2756" spans="1:25" ht="60.75" x14ac:dyDescent="0.25">
      <c r="A2756" s="3" t="s">
        <v>26</v>
      </c>
      <c r="B2756" s="3" t="s">
        <v>27</v>
      </c>
      <c r="C2756" s="3" t="s">
        <v>28</v>
      </c>
      <c r="D2756" s="3" t="s">
        <v>104</v>
      </c>
      <c r="E2756" s="3" t="s">
        <v>141</v>
      </c>
      <c r="F2756" s="3" t="s">
        <v>104</v>
      </c>
      <c r="G2756" s="3" t="s">
        <v>141</v>
      </c>
      <c r="H2756" s="3" t="s">
        <v>96</v>
      </c>
      <c r="I2756" s="3">
        <v>2025</v>
      </c>
      <c r="J2756" s="3" t="str">
        <f>CONCATENATE("54820277033")</f>
        <v>54820277033</v>
      </c>
      <c r="K2756" s="3" t="s">
        <v>33</v>
      </c>
      <c r="L2756" s="3"/>
      <c r="M2756" s="3" t="s">
        <v>131</v>
      </c>
      <c r="N2756" s="3" t="str">
        <f>CONCATENATE("LSNNZR57D20H390T")</f>
        <v>LSNNZR57D20H390T</v>
      </c>
      <c r="O2756" s="3" t="s">
        <v>640</v>
      </c>
      <c r="P2756" s="3" t="s">
        <v>36</v>
      </c>
      <c r="Q2756" s="3"/>
      <c r="R2756" s="4">
        <v>45996</v>
      </c>
      <c r="S2756" s="3" t="s">
        <v>37</v>
      </c>
      <c r="T2756" s="3" t="s">
        <v>38</v>
      </c>
      <c r="U2756" s="3" t="s">
        <v>39</v>
      </c>
      <c r="V2756" s="3">
        <v>127.65</v>
      </c>
      <c r="W2756" s="3">
        <v>54.25</v>
      </c>
      <c r="X2756" s="3">
        <v>51.38</v>
      </c>
      <c r="Y2756" s="3">
        <v>22.02</v>
      </c>
    </row>
    <row r="2757" spans="1:25" ht="36.75" x14ac:dyDescent="0.25">
      <c r="A2757" s="3" t="s">
        <v>26</v>
      </c>
      <c r="B2757" s="3" t="s">
        <v>27</v>
      </c>
      <c r="C2757" s="3" t="s">
        <v>28</v>
      </c>
      <c r="D2757" s="3" t="s">
        <v>29</v>
      </c>
      <c r="E2757" s="3" t="s">
        <v>56</v>
      </c>
      <c r="F2757" s="3" t="s">
        <v>31</v>
      </c>
      <c r="G2757" s="3" t="s">
        <v>56</v>
      </c>
      <c r="H2757" s="3" t="s">
        <v>48</v>
      </c>
      <c r="I2757" s="3">
        <v>2025</v>
      </c>
      <c r="J2757" s="3" t="str">
        <f>CONCATENATE("54820291349")</f>
        <v>54820291349</v>
      </c>
      <c r="K2757" s="3" t="s">
        <v>33</v>
      </c>
      <c r="L2757" s="3"/>
      <c r="M2757" s="3" t="s">
        <v>131</v>
      </c>
      <c r="N2757" s="3" t="str">
        <f>CONCATENATE("01917330431")</f>
        <v>01917330431</v>
      </c>
      <c r="O2757" s="3" t="s">
        <v>59</v>
      </c>
      <c r="P2757" s="3" t="s">
        <v>36</v>
      </c>
      <c r="Q2757" s="3"/>
      <c r="R2757" s="4">
        <v>45996</v>
      </c>
      <c r="S2757" s="3" t="s">
        <v>37</v>
      </c>
      <c r="T2757" s="3" t="s">
        <v>38</v>
      </c>
      <c r="U2757" s="3" t="s">
        <v>39</v>
      </c>
      <c r="V2757" s="3">
        <v>808.13</v>
      </c>
      <c r="W2757" s="3">
        <v>343.46</v>
      </c>
      <c r="X2757" s="3">
        <v>325.27</v>
      </c>
      <c r="Y2757" s="3">
        <v>139.4</v>
      </c>
    </row>
    <row r="2758" spans="1:25" ht="60.75" x14ac:dyDescent="0.25">
      <c r="A2758" s="3" t="s">
        <v>26</v>
      </c>
      <c r="B2758" s="3" t="s">
        <v>27</v>
      </c>
      <c r="C2758" s="3" t="s">
        <v>28</v>
      </c>
      <c r="D2758" s="3" t="s">
        <v>50</v>
      </c>
      <c r="E2758" s="3" t="s">
        <v>60</v>
      </c>
      <c r="F2758" s="3" t="s">
        <v>52</v>
      </c>
      <c r="G2758" s="3" t="s">
        <v>60</v>
      </c>
      <c r="H2758" s="3" t="s">
        <v>45</v>
      </c>
      <c r="I2758" s="3">
        <v>2025</v>
      </c>
      <c r="J2758" s="3" t="str">
        <f>CONCATENATE("54820131644")</f>
        <v>54820131644</v>
      </c>
      <c r="K2758" s="3" t="s">
        <v>33</v>
      </c>
      <c r="L2758" s="3"/>
      <c r="M2758" s="3" t="s">
        <v>131</v>
      </c>
      <c r="N2758" s="3" t="str">
        <f>CONCATENATE("PRIPLG31M25G453C")</f>
        <v>PRIPLG31M25G453C</v>
      </c>
      <c r="O2758" s="3" t="s">
        <v>2886</v>
      </c>
      <c r="P2758" s="3" t="s">
        <v>36</v>
      </c>
      <c r="Q2758" s="3"/>
      <c r="R2758" s="4">
        <v>45996</v>
      </c>
      <c r="S2758" s="3" t="s">
        <v>37</v>
      </c>
      <c r="T2758" s="3" t="s">
        <v>38</v>
      </c>
      <c r="U2758" s="3" t="s">
        <v>39</v>
      </c>
      <c r="V2758" s="3">
        <v>272.23</v>
      </c>
      <c r="W2758" s="3">
        <v>115.7</v>
      </c>
      <c r="X2758" s="3">
        <v>109.57</v>
      </c>
      <c r="Y2758" s="3">
        <v>46.96</v>
      </c>
    </row>
    <row r="2759" spans="1:25" ht="60.75" x14ac:dyDescent="0.25">
      <c r="A2759" s="3" t="s">
        <v>26</v>
      </c>
      <c r="B2759" s="3" t="s">
        <v>27</v>
      </c>
      <c r="C2759" s="3" t="s">
        <v>28</v>
      </c>
      <c r="D2759" s="3" t="s">
        <v>50</v>
      </c>
      <c r="E2759" s="3" t="s">
        <v>147</v>
      </c>
      <c r="F2759" s="3" t="s">
        <v>52</v>
      </c>
      <c r="G2759" s="3" t="s">
        <v>147</v>
      </c>
      <c r="H2759" s="3" t="s">
        <v>45</v>
      </c>
      <c r="I2759" s="3">
        <v>2025</v>
      </c>
      <c r="J2759" s="3" t="str">
        <f>CONCATENATE("54820143573")</f>
        <v>54820143573</v>
      </c>
      <c r="K2759" s="3" t="s">
        <v>33</v>
      </c>
      <c r="L2759" s="3"/>
      <c r="M2759" s="3" t="s">
        <v>131</v>
      </c>
      <c r="N2759" s="3" t="str">
        <f>CONCATENATE("MCCDNC53M30L500J")</f>
        <v>MCCDNC53M30L500J</v>
      </c>
      <c r="O2759" s="3" t="s">
        <v>2887</v>
      </c>
      <c r="P2759" s="3" t="s">
        <v>36</v>
      </c>
      <c r="Q2759" s="3"/>
      <c r="R2759" s="4">
        <v>45996</v>
      </c>
      <c r="S2759" s="3" t="s">
        <v>37</v>
      </c>
      <c r="T2759" s="3" t="s">
        <v>38</v>
      </c>
      <c r="U2759" s="3" t="s">
        <v>39</v>
      </c>
      <c r="V2759" s="3">
        <v>89.22</v>
      </c>
      <c r="W2759" s="3">
        <v>37.92</v>
      </c>
      <c r="X2759" s="3">
        <v>35.909999999999997</v>
      </c>
      <c r="Y2759" s="3">
        <v>15.39</v>
      </c>
    </row>
    <row r="2760" spans="1:25" ht="60.75" x14ac:dyDescent="0.25">
      <c r="A2760" s="3" t="s">
        <v>26</v>
      </c>
      <c r="B2760" s="3" t="s">
        <v>27</v>
      </c>
      <c r="C2760" s="3" t="s">
        <v>28</v>
      </c>
      <c r="D2760" s="3" t="s">
        <v>50</v>
      </c>
      <c r="E2760" s="3" t="s">
        <v>1133</v>
      </c>
      <c r="F2760" s="3" t="s">
        <v>52</v>
      </c>
      <c r="G2760" s="3" t="s">
        <v>1133</v>
      </c>
      <c r="H2760" s="3" t="s">
        <v>45</v>
      </c>
      <c r="I2760" s="3">
        <v>2025</v>
      </c>
      <c r="J2760" s="3" t="str">
        <f>CONCATENATE("54820283205")</f>
        <v>54820283205</v>
      </c>
      <c r="K2760" s="3" t="s">
        <v>33</v>
      </c>
      <c r="L2760" s="3"/>
      <c r="M2760" s="3" t="s">
        <v>131</v>
      </c>
      <c r="N2760" s="3" t="str">
        <f>CONCATENATE("BNVLSN74L25D488I")</f>
        <v>BNVLSN74L25D488I</v>
      </c>
      <c r="O2760" s="3" t="s">
        <v>2888</v>
      </c>
      <c r="P2760" s="3" t="s">
        <v>36</v>
      </c>
      <c r="Q2760" s="3"/>
      <c r="R2760" s="4">
        <v>45996</v>
      </c>
      <c r="S2760" s="3" t="s">
        <v>37</v>
      </c>
      <c r="T2760" s="3" t="s">
        <v>38</v>
      </c>
      <c r="U2760" s="3" t="s">
        <v>39</v>
      </c>
      <c r="V2760" s="3">
        <v>185.61</v>
      </c>
      <c r="W2760" s="3">
        <v>78.88</v>
      </c>
      <c r="X2760" s="3">
        <v>74.709999999999994</v>
      </c>
      <c r="Y2760" s="3">
        <v>32.020000000000003</v>
      </c>
    </row>
    <row r="2761" spans="1:25" ht="60.75" x14ac:dyDescent="0.25">
      <c r="A2761" s="3" t="s">
        <v>26</v>
      </c>
      <c r="B2761" s="3" t="s">
        <v>27</v>
      </c>
      <c r="C2761" s="3" t="s">
        <v>28</v>
      </c>
      <c r="D2761" s="3" t="s">
        <v>29</v>
      </c>
      <c r="E2761" s="3" t="s">
        <v>68</v>
      </c>
      <c r="F2761" s="3" t="s">
        <v>31</v>
      </c>
      <c r="G2761" s="3" t="s">
        <v>68</v>
      </c>
      <c r="H2761" s="3" t="s">
        <v>32</v>
      </c>
      <c r="I2761" s="3">
        <v>2025</v>
      </c>
      <c r="J2761" s="3" t="str">
        <f>CONCATENATE("54820176557")</f>
        <v>54820176557</v>
      </c>
      <c r="K2761" s="3" t="s">
        <v>33</v>
      </c>
      <c r="L2761" s="3"/>
      <c r="M2761" s="3" t="s">
        <v>131</v>
      </c>
      <c r="N2761" s="3" t="str">
        <f>CONCATENATE("BRRGRG94A28I156Q")</f>
        <v>BRRGRG94A28I156Q</v>
      </c>
      <c r="O2761" s="3" t="s">
        <v>2889</v>
      </c>
      <c r="P2761" s="3" t="s">
        <v>36</v>
      </c>
      <c r="Q2761" s="3"/>
      <c r="R2761" s="4">
        <v>45996</v>
      </c>
      <c r="S2761" s="3" t="s">
        <v>37</v>
      </c>
      <c r="T2761" s="3" t="s">
        <v>38</v>
      </c>
      <c r="U2761" s="3" t="s">
        <v>39</v>
      </c>
      <c r="V2761" s="3">
        <v>331.92</v>
      </c>
      <c r="W2761" s="3">
        <v>141.07</v>
      </c>
      <c r="X2761" s="3">
        <v>133.6</v>
      </c>
      <c r="Y2761" s="3">
        <v>57.25</v>
      </c>
    </row>
    <row r="2762" spans="1:25" ht="60.75" x14ac:dyDescent="0.25">
      <c r="A2762" s="3" t="s">
        <v>26</v>
      </c>
      <c r="B2762" s="3" t="s">
        <v>27</v>
      </c>
      <c r="C2762" s="3" t="s">
        <v>28</v>
      </c>
      <c r="D2762" s="3" t="s">
        <v>29</v>
      </c>
      <c r="E2762" s="3" t="s">
        <v>136</v>
      </c>
      <c r="F2762" s="3" t="s">
        <v>31</v>
      </c>
      <c r="G2762" s="3" t="s">
        <v>136</v>
      </c>
      <c r="H2762" s="3" t="s">
        <v>48</v>
      </c>
      <c r="I2762" s="3">
        <v>2025</v>
      </c>
      <c r="J2762" s="3" t="str">
        <f>CONCATENATE("54820201785")</f>
        <v>54820201785</v>
      </c>
      <c r="K2762" s="3" t="s">
        <v>33</v>
      </c>
      <c r="L2762" s="3"/>
      <c r="M2762" s="3" t="s">
        <v>131</v>
      </c>
      <c r="N2762" s="3" t="str">
        <f>CONCATENATE("SNTMRA60E01I461C")</f>
        <v>SNTMRA60E01I461C</v>
      </c>
      <c r="O2762" s="3" t="s">
        <v>2890</v>
      </c>
      <c r="P2762" s="3" t="s">
        <v>36</v>
      </c>
      <c r="Q2762" s="3"/>
      <c r="R2762" s="4">
        <v>45996</v>
      </c>
      <c r="S2762" s="3" t="s">
        <v>37</v>
      </c>
      <c r="T2762" s="3" t="s">
        <v>38</v>
      </c>
      <c r="U2762" s="3" t="s">
        <v>39</v>
      </c>
      <c r="V2762" s="3">
        <v>68.11</v>
      </c>
      <c r="W2762" s="3">
        <v>28.95</v>
      </c>
      <c r="X2762" s="3">
        <v>27.41</v>
      </c>
      <c r="Y2762" s="3">
        <v>11.75</v>
      </c>
    </row>
    <row r="2763" spans="1:25" ht="72.75" x14ac:dyDescent="0.25">
      <c r="A2763" s="3" t="s">
        <v>26</v>
      </c>
      <c r="B2763" s="3" t="s">
        <v>27</v>
      </c>
      <c r="C2763" s="3" t="s">
        <v>28</v>
      </c>
      <c r="D2763" s="3" t="s">
        <v>29</v>
      </c>
      <c r="E2763" s="3" t="s">
        <v>47</v>
      </c>
      <c r="F2763" s="3" t="s">
        <v>31</v>
      </c>
      <c r="G2763" s="3" t="s">
        <v>47</v>
      </c>
      <c r="H2763" s="3" t="s">
        <v>48</v>
      </c>
      <c r="I2763" s="3">
        <v>2025</v>
      </c>
      <c r="J2763" s="3" t="str">
        <f>CONCATENATE("54820215256")</f>
        <v>54820215256</v>
      </c>
      <c r="K2763" s="3" t="s">
        <v>33</v>
      </c>
      <c r="L2763" s="3"/>
      <c r="M2763" s="3" t="s">
        <v>131</v>
      </c>
      <c r="N2763" s="3" t="str">
        <f>CONCATENATE("TRRDMR40B58D451X")</f>
        <v>TRRDMR40B58D451X</v>
      </c>
      <c r="O2763" s="3" t="s">
        <v>2891</v>
      </c>
      <c r="P2763" s="3" t="s">
        <v>36</v>
      </c>
      <c r="Q2763" s="3"/>
      <c r="R2763" s="4">
        <v>45996</v>
      </c>
      <c r="S2763" s="3" t="s">
        <v>37</v>
      </c>
      <c r="T2763" s="3" t="s">
        <v>38</v>
      </c>
      <c r="U2763" s="3" t="s">
        <v>39</v>
      </c>
      <c r="V2763" s="3">
        <v>63.26</v>
      </c>
      <c r="W2763" s="3">
        <v>26.89</v>
      </c>
      <c r="X2763" s="3">
        <v>25.46</v>
      </c>
      <c r="Y2763" s="3">
        <v>10.91</v>
      </c>
    </row>
    <row r="2764" spans="1:25" ht="60.75" x14ac:dyDescent="0.25">
      <c r="A2764" s="3" t="s">
        <v>26</v>
      </c>
      <c r="B2764" s="3" t="s">
        <v>27</v>
      </c>
      <c r="C2764" s="3" t="s">
        <v>28</v>
      </c>
      <c r="D2764" s="3" t="s">
        <v>50</v>
      </c>
      <c r="E2764" s="3" t="s">
        <v>147</v>
      </c>
      <c r="F2764" s="3" t="s">
        <v>52</v>
      </c>
      <c r="G2764" s="3" t="s">
        <v>147</v>
      </c>
      <c r="H2764" s="3" t="s">
        <v>45</v>
      </c>
      <c r="I2764" s="3">
        <v>2025</v>
      </c>
      <c r="J2764" s="3" t="str">
        <f>CONCATENATE("54820243878")</f>
        <v>54820243878</v>
      </c>
      <c r="K2764" s="3" t="s">
        <v>33</v>
      </c>
      <c r="L2764" s="3"/>
      <c r="M2764" s="3" t="s">
        <v>131</v>
      </c>
      <c r="N2764" s="3" t="str">
        <f>CONCATENATE("CLLVRN33S56B352S")</f>
        <v>CLLVRN33S56B352S</v>
      </c>
      <c r="O2764" s="3" t="s">
        <v>2892</v>
      </c>
      <c r="P2764" s="3" t="s">
        <v>36</v>
      </c>
      <c r="Q2764" s="3"/>
      <c r="R2764" s="4">
        <v>45996</v>
      </c>
      <c r="S2764" s="3" t="s">
        <v>37</v>
      </c>
      <c r="T2764" s="3" t="s">
        <v>38</v>
      </c>
      <c r="U2764" s="3" t="s">
        <v>39</v>
      </c>
      <c r="V2764" s="3">
        <v>156.66</v>
      </c>
      <c r="W2764" s="3">
        <v>66.58</v>
      </c>
      <c r="X2764" s="3">
        <v>63.06</v>
      </c>
      <c r="Y2764" s="3">
        <v>27.02</v>
      </c>
    </row>
    <row r="2765" spans="1:25" ht="60.75" x14ac:dyDescent="0.25">
      <c r="A2765" s="3" t="s">
        <v>26</v>
      </c>
      <c r="B2765" s="3" t="s">
        <v>27</v>
      </c>
      <c r="C2765" s="3" t="s">
        <v>28</v>
      </c>
      <c r="D2765" s="3" t="s">
        <v>50</v>
      </c>
      <c r="E2765" s="3" t="s">
        <v>60</v>
      </c>
      <c r="F2765" s="3" t="s">
        <v>52</v>
      </c>
      <c r="G2765" s="3" t="s">
        <v>60</v>
      </c>
      <c r="H2765" s="3" t="s">
        <v>45</v>
      </c>
      <c r="I2765" s="3">
        <v>2025</v>
      </c>
      <c r="J2765" s="3" t="str">
        <f>CONCATENATE("54820200241")</f>
        <v>54820200241</v>
      </c>
      <c r="K2765" s="3" t="s">
        <v>33</v>
      </c>
      <c r="L2765" s="3"/>
      <c r="M2765" s="3" t="s">
        <v>131</v>
      </c>
      <c r="N2765" s="3" t="str">
        <f>CONCATENATE("VNNGZN64P07I654F")</f>
        <v>VNNGZN64P07I654F</v>
      </c>
      <c r="O2765" s="3" t="s">
        <v>2893</v>
      </c>
      <c r="P2765" s="3" t="s">
        <v>36</v>
      </c>
      <c r="Q2765" s="3"/>
      <c r="R2765" s="4">
        <v>45996</v>
      </c>
      <c r="S2765" s="3" t="s">
        <v>37</v>
      </c>
      <c r="T2765" s="3" t="s">
        <v>38</v>
      </c>
      <c r="U2765" s="3" t="s">
        <v>39</v>
      </c>
      <c r="V2765" s="3">
        <v>150.66999999999999</v>
      </c>
      <c r="W2765" s="3">
        <v>64.03</v>
      </c>
      <c r="X2765" s="3">
        <v>60.64</v>
      </c>
      <c r="Y2765" s="3">
        <v>26</v>
      </c>
    </row>
    <row r="2766" spans="1:25" ht="60.75" x14ac:dyDescent="0.25">
      <c r="A2766" s="3" t="s">
        <v>26</v>
      </c>
      <c r="B2766" s="3" t="s">
        <v>27</v>
      </c>
      <c r="C2766" s="3" t="s">
        <v>28</v>
      </c>
      <c r="D2766" s="3" t="s">
        <v>29</v>
      </c>
      <c r="E2766" s="3" t="s">
        <v>119</v>
      </c>
      <c r="F2766" s="3" t="s">
        <v>31</v>
      </c>
      <c r="G2766" s="3" t="s">
        <v>119</v>
      </c>
      <c r="H2766" s="3" t="s">
        <v>96</v>
      </c>
      <c r="I2766" s="3">
        <v>2025</v>
      </c>
      <c r="J2766" s="3" t="str">
        <f>CONCATENATE("54820264791")</f>
        <v>54820264791</v>
      </c>
      <c r="K2766" s="3" t="s">
        <v>33</v>
      </c>
      <c r="L2766" s="3"/>
      <c r="M2766" s="3" t="s">
        <v>131</v>
      </c>
      <c r="N2766" s="3" t="str">
        <f>CONCATENATE("TTVLFR50D05F570N")</f>
        <v>TTVLFR50D05F570N</v>
      </c>
      <c r="O2766" s="3" t="s">
        <v>2894</v>
      </c>
      <c r="P2766" s="3" t="s">
        <v>36</v>
      </c>
      <c r="Q2766" s="3"/>
      <c r="R2766" s="4">
        <v>45996</v>
      </c>
      <c r="S2766" s="3" t="s">
        <v>37</v>
      </c>
      <c r="T2766" s="3" t="s">
        <v>38</v>
      </c>
      <c r="U2766" s="3" t="s">
        <v>39</v>
      </c>
      <c r="V2766" s="3">
        <v>415.85</v>
      </c>
      <c r="W2766" s="3">
        <v>176.74</v>
      </c>
      <c r="X2766" s="3">
        <v>167.38</v>
      </c>
      <c r="Y2766" s="3">
        <v>71.73</v>
      </c>
    </row>
    <row r="2767" spans="1:25" ht="60.75" x14ac:dyDescent="0.25">
      <c r="A2767" s="3" t="s">
        <v>26</v>
      </c>
      <c r="B2767" s="3" t="s">
        <v>27</v>
      </c>
      <c r="C2767" s="3" t="s">
        <v>28</v>
      </c>
      <c r="D2767" s="3" t="s">
        <v>29</v>
      </c>
      <c r="E2767" s="3" t="s">
        <v>101</v>
      </c>
      <c r="F2767" s="3" t="s">
        <v>31</v>
      </c>
      <c r="G2767" s="3" t="s">
        <v>101</v>
      </c>
      <c r="H2767" s="3" t="s">
        <v>32</v>
      </c>
      <c r="I2767" s="3">
        <v>2025</v>
      </c>
      <c r="J2767" s="3" t="str">
        <f>CONCATENATE("54820206214")</f>
        <v>54820206214</v>
      </c>
      <c r="K2767" s="3" t="s">
        <v>33</v>
      </c>
      <c r="L2767" s="3"/>
      <c r="M2767" s="3" t="s">
        <v>131</v>
      </c>
      <c r="N2767" s="3" t="str">
        <f>CONCATENATE("MRCNNL67C65A739P")</f>
        <v>MRCNNL67C65A739P</v>
      </c>
      <c r="O2767" s="3" t="s">
        <v>2895</v>
      </c>
      <c r="P2767" s="3" t="s">
        <v>36</v>
      </c>
      <c r="Q2767" s="3"/>
      <c r="R2767" s="4">
        <v>45996</v>
      </c>
      <c r="S2767" s="3" t="s">
        <v>37</v>
      </c>
      <c r="T2767" s="3" t="s">
        <v>38</v>
      </c>
      <c r="U2767" s="3" t="s">
        <v>39</v>
      </c>
      <c r="V2767" s="3">
        <v>177.13</v>
      </c>
      <c r="W2767" s="3">
        <v>75.28</v>
      </c>
      <c r="X2767" s="3">
        <v>71.290000000000006</v>
      </c>
      <c r="Y2767" s="3">
        <v>30.56</v>
      </c>
    </row>
    <row r="2768" spans="1:25" ht="60.75" x14ac:dyDescent="0.25">
      <c r="A2768" s="3" t="s">
        <v>26</v>
      </c>
      <c r="B2768" s="3" t="s">
        <v>27</v>
      </c>
      <c r="C2768" s="3" t="s">
        <v>28</v>
      </c>
      <c r="D2768" s="3" t="s">
        <v>29</v>
      </c>
      <c r="E2768" s="3" t="s">
        <v>72</v>
      </c>
      <c r="F2768" s="3" t="s">
        <v>31</v>
      </c>
      <c r="G2768" s="3" t="s">
        <v>72</v>
      </c>
      <c r="H2768" s="3" t="s">
        <v>45</v>
      </c>
      <c r="I2768" s="3">
        <v>2025</v>
      </c>
      <c r="J2768" s="3" t="str">
        <f>CONCATENATE("54820232822")</f>
        <v>54820232822</v>
      </c>
      <c r="K2768" s="3" t="s">
        <v>33</v>
      </c>
      <c r="L2768" s="3"/>
      <c r="M2768" s="3" t="s">
        <v>131</v>
      </c>
      <c r="N2768" s="3" t="str">
        <f>CONCATENATE("TGNDNL89B27B352J")</f>
        <v>TGNDNL89B27B352J</v>
      </c>
      <c r="O2768" s="3" t="s">
        <v>2896</v>
      </c>
      <c r="P2768" s="3" t="s">
        <v>36</v>
      </c>
      <c r="Q2768" s="3"/>
      <c r="R2768" s="4">
        <v>45996</v>
      </c>
      <c r="S2768" s="3" t="s">
        <v>37</v>
      </c>
      <c r="T2768" s="3" t="s">
        <v>38</v>
      </c>
      <c r="U2768" s="3" t="s">
        <v>39</v>
      </c>
      <c r="V2768" s="3">
        <v>794.14</v>
      </c>
      <c r="W2768" s="3">
        <v>337.51</v>
      </c>
      <c r="X2768" s="3">
        <v>319.64</v>
      </c>
      <c r="Y2768" s="3">
        <v>136.99</v>
      </c>
    </row>
    <row r="2769" spans="1:25" ht="72.75" x14ac:dyDescent="0.25">
      <c r="A2769" s="3" t="s">
        <v>26</v>
      </c>
      <c r="B2769" s="3" t="s">
        <v>27</v>
      </c>
      <c r="C2769" s="3" t="s">
        <v>28</v>
      </c>
      <c r="D2769" s="3" t="s">
        <v>50</v>
      </c>
      <c r="E2769" s="3" t="s">
        <v>252</v>
      </c>
      <c r="F2769" s="3" t="s">
        <v>52</v>
      </c>
      <c r="G2769" s="3" t="s">
        <v>252</v>
      </c>
      <c r="H2769" s="3" t="s">
        <v>45</v>
      </c>
      <c r="I2769" s="3">
        <v>2025</v>
      </c>
      <c r="J2769" s="3" t="str">
        <f>CONCATENATE("54820251293")</f>
        <v>54820251293</v>
      </c>
      <c r="K2769" s="3" t="s">
        <v>33</v>
      </c>
      <c r="L2769" s="3"/>
      <c r="M2769" s="3" t="s">
        <v>131</v>
      </c>
      <c r="N2769" s="3" t="str">
        <f>CONCATENATE("CCCMSM55A24D749T")</f>
        <v>CCCMSM55A24D749T</v>
      </c>
      <c r="O2769" s="3" t="s">
        <v>2897</v>
      </c>
      <c r="P2769" s="3" t="s">
        <v>36</v>
      </c>
      <c r="Q2769" s="3"/>
      <c r="R2769" s="4">
        <v>45996</v>
      </c>
      <c r="S2769" s="3" t="s">
        <v>37</v>
      </c>
      <c r="T2769" s="3" t="s">
        <v>38</v>
      </c>
      <c r="U2769" s="3" t="s">
        <v>39</v>
      </c>
      <c r="V2769" s="3">
        <v>68.040000000000006</v>
      </c>
      <c r="W2769" s="3">
        <v>28.92</v>
      </c>
      <c r="X2769" s="3">
        <v>27.39</v>
      </c>
      <c r="Y2769" s="3">
        <v>11.73</v>
      </c>
    </row>
    <row r="2770" spans="1:25" ht="60.75" x14ac:dyDescent="0.25">
      <c r="A2770" s="3" t="s">
        <v>26</v>
      </c>
      <c r="B2770" s="3" t="s">
        <v>27</v>
      </c>
      <c r="C2770" s="3" t="s">
        <v>28</v>
      </c>
      <c r="D2770" s="3" t="s">
        <v>50</v>
      </c>
      <c r="E2770" s="3" t="s">
        <v>448</v>
      </c>
      <c r="F2770" s="3" t="s">
        <v>52</v>
      </c>
      <c r="G2770" s="3" t="s">
        <v>448</v>
      </c>
      <c r="H2770" s="3" t="s">
        <v>45</v>
      </c>
      <c r="I2770" s="3">
        <v>2025</v>
      </c>
      <c r="J2770" s="3" t="str">
        <f>CONCATENATE("54820171103")</f>
        <v>54820171103</v>
      </c>
      <c r="K2770" s="3" t="s">
        <v>33</v>
      </c>
      <c r="L2770" s="3"/>
      <c r="M2770" s="3" t="s">
        <v>131</v>
      </c>
      <c r="N2770" s="3" t="str">
        <f>CONCATENATE("PRSFNZ54M13D488I")</f>
        <v>PRSFNZ54M13D488I</v>
      </c>
      <c r="O2770" s="3" t="s">
        <v>2898</v>
      </c>
      <c r="P2770" s="3" t="s">
        <v>36</v>
      </c>
      <c r="Q2770" s="3"/>
      <c r="R2770" s="4">
        <v>45996</v>
      </c>
      <c r="S2770" s="3" t="s">
        <v>37</v>
      </c>
      <c r="T2770" s="3" t="s">
        <v>38</v>
      </c>
      <c r="U2770" s="3" t="s">
        <v>39</v>
      </c>
      <c r="V2770" s="3">
        <v>243.19</v>
      </c>
      <c r="W2770" s="3">
        <v>103.36</v>
      </c>
      <c r="X2770" s="3">
        <v>97.88</v>
      </c>
      <c r="Y2770" s="3">
        <v>41.95</v>
      </c>
    </row>
    <row r="2771" spans="1:25" ht="60.75" x14ac:dyDescent="0.25">
      <c r="A2771" s="3" t="s">
        <v>26</v>
      </c>
      <c r="B2771" s="3" t="s">
        <v>27</v>
      </c>
      <c r="C2771" s="3" t="s">
        <v>28</v>
      </c>
      <c r="D2771" s="3" t="s">
        <v>29</v>
      </c>
      <c r="E2771" s="3" t="s">
        <v>47</v>
      </c>
      <c r="F2771" s="3" t="s">
        <v>31</v>
      </c>
      <c r="G2771" s="3" t="s">
        <v>47</v>
      </c>
      <c r="H2771" s="3" t="s">
        <v>48</v>
      </c>
      <c r="I2771" s="3">
        <v>2025</v>
      </c>
      <c r="J2771" s="3" t="str">
        <f>CONCATENATE("54820198551")</f>
        <v>54820198551</v>
      </c>
      <c r="K2771" s="3" t="s">
        <v>33</v>
      </c>
      <c r="L2771" s="3"/>
      <c r="M2771" s="3" t="s">
        <v>131</v>
      </c>
      <c r="N2771" s="3" t="str">
        <f>CONCATENATE("GHRMNL89H01D451F")</f>
        <v>GHRMNL89H01D451F</v>
      </c>
      <c r="O2771" s="3" t="s">
        <v>2899</v>
      </c>
      <c r="P2771" s="3" t="s">
        <v>36</v>
      </c>
      <c r="Q2771" s="3"/>
      <c r="R2771" s="4">
        <v>45996</v>
      </c>
      <c r="S2771" s="3" t="s">
        <v>37</v>
      </c>
      <c r="T2771" s="3" t="s">
        <v>38</v>
      </c>
      <c r="U2771" s="3" t="s">
        <v>39</v>
      </c>
      <c r="V2771" s="3">
        <v>152.5</v>
      </c>
      <c r="W2771" s="3">
        <v>64.81</v>
      </c>
      <c r="X2771" s="3">
        <v>61.38</v>
      </c>
      <c r="Y2771" s="3">
        <v>26.31</v>
      </c>
    </row>
    <row r="2772" spans="1:25" ht="60.75" x14ac:dyDescent="0.25">
      <c r="A2772" s="3" t="s">
        <v>26</v>
      </c>
      <c r="B2772" s="3" t="s">
        <v>27</v>
      </c>
      <c r="C2772" s="3" t="s">
        <v>28</v>
      </c>
      <c r="D2772" s="3" t="s">
        <v>29</v>
      </c>
      <c r="E2772" s="3" t="s">
        <v>72</v>
      </c>
      <c r="F2772" s="3" t="s">
        <v>31</v>
      </c>
      <c r="G2772" s="3" t="s">
        <v>72</v>
      </c>
      <c r="H2772" s="3" t="s">
        <v>45</v>
      </c>
      <c r="I2772" s="3">
        <v>2025</v>
      </c>
      <c r="J2772" s="3" t="str">
        <f>CONCATENATE("54820239397")</f>
        <v>54820239397</v>
      </c>
      <c r="K2772" s="3" t="s">
        <v>33</v>
      </c>
      <c r="L2772" s="3"/>
      <c r="M2772" s="3" t="s">
        <v>131</v>
      </c>
      <c r="N2772" s="3" t="str">
        <f>CONCATENATE("SLTLCU89R13D749G")</f>
        <v>SLTLCU89R13D749G</v>
      </c>
      <c r="O2772" s="3" t="s">
        <v>2900</v>
      </c>
      <c r="P2772" s="3" t="s">
        <v>36</v>
      </c>
      <c r="Q2772" s="3"/>
      <c r="R2772" s="4">
        <v>45996</v>
      </c>
      <c r="S2772" s="3" t="s">
        <v>37</v>
      </c>
      <c r="T2772" s="3" t="s">
        <v>38</v>
      </c>
      <c r="U2772" s="3" t="s">
        <v>39</v>
      </c>
      <c r="V2772" s="3">
        <v>523.97</v>
      </c>
      <c r="W2772" s="3">
        <v>222.69</v>
      </c>
      <c r="X2772" s="3">
        <v>210.9</v>
      </c>
      <c r="Y2772" s="3">
        <v>90.38</v>
      </c>
    </row>
    <row r="2773" spans="1:25" ht="36.75" x14ac:dyDescent="0.25">
      <c r="A2773" s="3" t="s">
        <v>26</v>
      </c>
      <c r="B2773" s="3" t="s">
        <v>27</v>
      </c>
      <c r="C2773" s="3" t="s">
        <v>28</v>
      </c>
      <c r="D2773" s="3" t="s">
        <v>29</v>
      </c>
      <c r="E2773" s="3" t="s">
        <v>85</v>
      </c>
      <c r="F2773" s="3" t="s">
        <v>31</v>
      </c>
      <c r="G2773" s="3" t="s">
        <v>85</v>
      </c>
      <c r="H2773" s="3" t="s">
        <v>48</v>
      </c>
      <c r="I2773" s="3">
        <v>2025</v>
      </c>
      <c r="J2773" s="3" t="str">
        <f>CONCATENATE("54820250246")</f>
        <v>54820250246</v>
      </c>
      <c r="K2773" s="3" t="s">
        <v>33</v>
      </c>
      <c r="L2773" s="3"/>
      <c r="M2773" s="3" t="s">
        <v>131</v>
      </c>
      <c r="N2773" s="3" t="str">
        <f>CONCATENATE("01002340428")</f>
        <v>01002340428</v>
      </c>
      <c r="O2773" s="3" t="s">
        <v>2901</v>
      </c>
      <c r="P2773" s="3" t="s">
        <v>36</v>
      </c>
      <c r="Q2773" s="3"/>
      <c r="R2773" s="4">
        <v>45996</v>
      </c>
      <c r="S2773" s="3" t="s">
        <v>37</v>
      </c>
      <c r="T2773" s="3" t="s">
        <v>38</v>
      </c>
      <c r="U2773" s="3" t="s">
        <v>39</v>
      </c>
      <c r="V2773" s="3">
        <v>675.58</v>
      </c>
      <c r="W2773" s="3">
        <v>287.12</v>
      </c>
      <c r="X2773" s="3">
        <v>271.92</v>
      </c>
      <c r="Y2773" s="3">
        <v>116.54</v>
      </c>
    </row>
    <row r="2774" spans="1:25" ht="72.75" x14ac:dyDescent="0.25">
      <c r="A2774" s="3" t="s">
        <v>26</v>
      </c>
      <c r="B2774" s="3" t="s">
        <v>27</v>
      </c>
      <c r="C2774" s="3" t="s">
        <v>28</v>
      </c>
      <c r="D2774" s="3" t="s">
        <v>91</v>
      </c>
      <c r="E2774" s="3" t="s">
        <v>151</v>
      </c>
      <c r="F2774" s="3" t="s">
        <v>93</v>
      </c>
      <c r="G2774" s="3" t="s">
        <v>151</v>
      </c>
      <c r="H2774" s="3" t="s">
        <v>45</v>
      </c>
      <c r="I2774" s="3">
        <v>2025</v>
      </c>
      <c r="J2774" s="3" t="str">
        <f>CONCATENATE("54820205844")</f>
        <v>54820205844</v>
      </c>
      <c r="K2774" s="3" t="s">
        <v>33</v>
      </c>
      <c r="L2774" s="3"/>
      <c r="M2774" s="3" t="s">
        <v>131</v>
      </c>
      <c r="N2774" s="3" t="str">
        <f>CONCATENATE("CNTMRZ56A01G453U")</f>
        <v>CNTMRZ56A01G453U</v>
      </c>
      <c r="O2774" s="3" t="s">
        <v>2902</v>
      </c>
      <c r="P2774" s="3" t="s">
        <v>36</v>
      </c>
      <c r="Q2774" s="3"/>
      <c r="R2774" s="4">
        <v>45996</v>
      </c>
      <c r="S2774" s="3" t="s">
        <v>37</v>
      </c>
      <c r="T2774" s="3" t="s">
        <v>38</v>
      </c>
      <c r="U2774" s="3" t="s">
        <v>39</v>
      </c>
      <c r="V2774" s="3">
        <v>81.849999999999994</v>
      </c>
      <c r="W2774" s="3">
        <v>34.79</v>
      </c>
      <c r="X2774" s="3">
        <v>32.94</v>
      </c>
      <c r="Y2774" s="3">
        <v>14.12</v>
      </c>
    </row>
    <row r="2775" spans="1:25" ht="60.75" x14ac:dyDescent="0.25">
      <c r="A2775" s="3" t="s">
        <v>26</v>
      </c>
      <c r="B2775" s="3" t="s">
        <v>27</v>
      </c>
      <c r="C2775" s="3" t="s">
        <v>28</v>
      </c>
      <c r="D2775" s="3" t="s">
        <v>29</v>
      </c>
      <c r="E2775" s="3" t="s">
        <v>47</v>
      </c>
      <c r="F2775" s="3" t="s">
        <v>31</v>
      </c>
      <c r="G2775" s="3" t="s">
        <v>47</v>
      </c>
      <c r="H2775" s="3" t="s">
        <v>48</v>
      </c>
      <c r="I2775" s="3">
        <v>2025</v>
      </c>
      <c r="J2775" s="3" t="str">
        <f>CONCATENATE("54820208491")</f>
        <v>54820208491</v>
      </c>
      <c r="K2775" s="3" t="s">
        <v>33</v>
      </c>
      <c r="L2775" s="3"/>
      <c r="M2775" s="3" t="s">
        <v>131</v>
      </c>
      <c r="N2775" s="3" t="str">
        <f>CONCATENATE("PGLLNZ80B14E388G")</f>
        <v>PGLLNZ80B14E388G</v>
      </c>
      <c r="O2775" s="3" t="s">
        <v>2903</v>
      </c>
      <c r="P2775" s="3" t="s">
        <v>36</v>
      </c>
      <c r="Q2775" s="3"/>
      <c r="R2775" s="4">
        <v>45996</v>
      </c>
      <c r="S2775" s="3" t="s">
        <v>37</v>
      </c>
      <c r="T2775" s="3" t="s">
        <v>38</v>
      </c>
      <c r="U2775" s="3" t="s">
        <v>39</v>
      </c>
      <c r="V2775" s="3">
        <v>180.01</v>
      </c>
      <c r="W2775" s="3">
        <v>76.5</v>
      </c>
      <c r="X2775" s="3">
        <v>72.45</v>
      </c>
      <c r="Y2775" s="3">
        <v>31.06</v>
      </c>
    </row>
    <row r="2776" spans="1:25" ht="60.75" x14ac:dyDescent="0.25">
      <c r="A2776" s="3" t="s">
        <v>26</v>
      </c>
      <c r="B2776" s="3" t="s">
        <v>27</v>
      </c>
      <c r="C2776" s="3" t="s">
        <v>28</v>
      </c>
      <c r="D2776" s="3" t="s">
        <v>50</v>
      </c>
      <c r="E2776" s="3" t="s">
        <v>60</v>
      </c>
      <c r="F2776" s="3" t="s">
        <v>52</v>
      </c>
      <c r="G2776" s="3" t="s">
        <v>60</v>
      </c>
      <c r="H2776" s="3" t="s">
        <v>45</v>
      </c>
      <c r="I2776" s="3">
        <v>2025</v>
      </c>
      <c r="J2776" s="3" t="str">
        <f>CONCATENATE("54820218433")</f>
        <v>54820218433</v>
      </c>
      <c r="K2776" s="3" t="s">
        <v>33</v>
      </c>
      <c r="L2776" s="3"/>
      <c r="M2776" s="3" t="s">
        <v>131</v>
      </c>
      <c r="N2776" s="3" t="str">
        <f>CONCATENATE("CHSGZN67B23B352L")</f>
        <v>CHSGZN67B23B352L</v>
      </c>
      <c r="O2776" s="3" t="s">
        <v>2904</v>
      </c>
      <c r="P2776" s="3" t="s">
        <v>36</v>
      </c>
      <c r="Q2776" s="3"/>
      <c r="R2776" s="4">
        <v>45996</v>
      </c>
      <c r="S2776" s="3" t="s">
        <v>37</v>
      </c>
      <c r="T2776" s="3" t="s">
        <v>38</v>
      </c>
      <c r="U2776" s="3" t="s">
        <v>39</v>
      </c>
      <c r="V2776" s="3">
        <v>235.8</v>
      </c>
      <c r="W2776" s="3">
        <v>100.22</v>
      </c>
      <c r="X2776" s="3">
        <v>94.91</v>
      </c>
      <c r="Y2776" s="3">
        <v>40.67</v>
      </c>
    </row>
    <row r="2777" spans="1:25" ht="60.75" x14ac:dyDescent="0.25">
      <c r="A2777" s="3" t="s">
        <v>26</v>
      </c>
      <c r="B2777" s="3" t="s">
        <v>27</v>
      </c>
      <c r="C2777" s="3" t="s">
        <v>28</v>
      </c>
      <c r="D2777" s="3" t="s">
        <v>91</v>
      </c>
      <c r="E2777" s="3" t="s">
        <v>151</v>
      </c>
      <c r="F2777" s="3" t="s">
        <v>93</v>
      </c>
      <c r="G2777" s="3" t="s">
        <v>151</v>
      </c>
      <c r="H2777" s="3" t="s">
        <v>45</v>
      </c>
      <c r="I2777" s="3">
        <v>2025</v>
      </c>
      <c r="J2777" s="3" t="str">
        <f>CONCATENATE("54820258009")</f>
        <v>54820258009</v>
      </c>
      <c r="K2777" s="3" t="s">
        <v>33</v>
      </c>
      <c r="L2777" s="3"/>
      <c r="M2777" s="3" t="s">
        <v>131</v>
      </c>
      <c r="N2777" s="3" t="str">
        <f>CONCATENATE("BSLPLA57B09G514H")</f>
        <v>BSLPLA57B09G514H</v>
      </c>
      <c r="O2777" s="3" t="s">
        <v>2905</v>
      </c>
      <c r="P2777" s="3" t="s">
        <v>36</v>
      </c>
      <c r="Q2777" s="3"/>
      <c r="R2777" s="4">
        <v>45996</v>
      </c>
      <c r="S2777" s="3" t="s">
        <v>37</v>
      </c>
      <c r="T2777" s="3" t="s">
        <v>38</v>
      </c>
      <c r="U2777" s="3" t="s">
        <v>39</v>
      </c>
      <c r="V2777" s="3">
        <v>182.23</v>
      </c>
      <c r="W2777" s="3">
        <v>77.45</v>
      </c>
      <c r="X2777" s="3">
        <v>73.349999999999994</v>
      </c>
      <c r="Y2777" s="3">
        <v>31.43</v>
      </c>
    </row>
    <row r="2778" spans="1:25" ht="72.75" x14ac:dyDescent="0.25">
      <c r="A2778" s="3" t="s">
        <v>26</v>
      </c>
      <c r="B2778" s="3" t="s">
        <v>27</v>
      </c>
      <c r="C2778" s="3" t="s">
        <v>28</v>
      </c>
      <c r="D2778" s="3" t="s">
        <v>50</v>
      </c>
      <c r="E2778" s="3" t="s">
        <v>107</v>
      </c>
      <c r="F2778" s="3" t="s">
        <v>52</v>
      </c>
      <c r="G2778" s="3" t="s">
        <v>107</v>
      </c>
      <c r="H2778" s="3" t="s">
        <v>48</v>
      </c>
      <c r="I2778" s="3">
        <v>2025</v>
      </c>
      <c r="J2778" s="3" t="str">
        <f>CONCATENATE("54820062864")</f>
        <v>54820062864</v>
      </c>
      <c r="K2778" s="3" t="s">
        <v>33</v>
      </c>
      <c r="L2778" s="3"/>
      <c r="M2778" s="3" t="s">
        <v>131</v>
      </c>
      <c r="N2778" s="3" t="str">
        <f>CONCATENATE("CRZGMR87H18E388F")</f>
        <v>CRZGMR87H18E388F</v>
      </c>
      <c r="O2778" s="3" t="s">
        <v>2906</v>
      </c>
      <c r="P2778" s="3" t="s">
        <v>36</v>
      </c>
      <c r="Q2778" s="3"/>
      <c r="R2778" s="4">
        <v>45996</v>
      </c>
      <c r="S2778" s="3" t="s">
        <v>37</v>
      </c>
      <c r="T2778" s="3" t="s">
        <v>38</v>
      </c>
      <c r="U2778" s="3" t="s">
        <v>39</v>
      </c>
      <c r="V2778" s="3">
        <v>331.25</v>
      </c>
      <c r="W2778" s="3">
        <v>140.78</v>
      </c>
      <c r="X2778" s="3">
        <v>133.33000000000001</v>
      </c>
      <c r="Y2778" s="3">
        <v>57.14</v>
      </c>
    </row>
    <row r="2779" spans="1:25" ht="60.75" x14ac:dyDescent="0.25">
      <c r="A2779" s="3" t="s">
        <v>26</v>
      </c>
      <c r="B2779" s="3" t="s">
        <v>27</v>
      </c>
      <c r="C2779" s="3" t="s">
        <v>28</v>
      </c>
      <c r="D2779" s="3" t="s">
        <v>50</v>
      </c>
      <c r="E2779" s="3" t="s">
        <v>149</v>
      </c>
      <c r="F2779" s="3" t="s">
        <v>52</v>
      </c>
      <c r="G2779" s="3" t="s">
        <v>149</v>
      </c>
      <c r="H2779" s="3" t="s">
        <v>96</v>
      </c>
      <c r="I2779" s="3">
        <v>2025</v>
      </c>
      <c r="J2779" s="3" t="str">
        <f>CONCATENATE("54820193552")</f>
        <v>54820193552</v>
      </c>
      <c r="K2779" s="3" t="s">
        <v>33</v>
      </c>
      <c r="L2779" s="3"/>
      <c r="M2779" s="3" t="s">
        <v>131</v>
      </c>
      <c r="N2779" s="3" t="str">
        <f>CONCATENATE("MSTMLG81L58Z129M")</f>
        <v>MSTMLG81L58Z129M</v>
      </c>
      <c r="O2779" s="3" t="s">
        <v>2907</v>
      </c>
      <c r="P2779" s="3" t="s">
        <v>36</v>
      </c>
      <c r="Q2779" s="3"/>
      <c r="R2779" s="4">
        <v>45996</v>
      </c>
      <c r="S2779" s="3" t="s">
        <v>37</v>
      </c>
      <c r="T2779" s="3" t="s">
        <v>38</v>
      </c>
      <c r="U2779" s="3" t="s">
        <v>39</v>
      </c>
      <c r="V2779" s="5">
        <v>1265.6199999999999</v>
      </c>
      <c r="W2779" s="3">
        <v>537.89</v>
      </c>
      <c r="X2779" s="3">
        <v>509.41</v>
      </c>
      <c r="Y2779" s="3">
        <v>218.32</v>
      </c>
    </row>
    <row r="2780" spans="1:25" ht="60.75" x14ac:dyDescent="0.25">
      <c r="A2780" s="3" t="s">
        <v>26</v>
      </c>
      <c r="B2780" s="3" t="s">
        <v>27</v>
      </c>
      <c r="C2780" s="3" t="s">
        <v>28</v>
      </c>
      <c r="D2780" s="3" t="s">
        <v>29</v>
      </c>
      <c r="E2780" s="3" t="s">
        <v>119</v>
      </c>
      <c r="F2780" s="3" t="s">
        <v>31</v>
      </c>
      <c r="G2780" s="3" t="s">
        <v>119</v>
      </c>
      <c r="H2780" s="3" t="s">
        <v>96</v>
      </c>
      <c r="I2780" s="3">
        <v>2025</v>
      </c>
      <c r="J2780" s="3" t="str">
        <f>CONCATENATE("54820012349")</f>
        <v>54820012349</v>
      </c>
      <c r="K2780" s="3" t="s">
        <v>33</v>
      </c>
      <c r="L2780" s="3"/>
      <c r="M2780" s="3" t="s">
        <v>131</v>
      </c>
      <c r="N2780" s="3" t="str">
        <f>CONCATENATE("MLNDNC57P22F509N")</f>
        <v>MLNDNC57P22F509N</v>
      </c>
      <c r="O2780" s="3" t="s">
        <v>2908</v>
      </c>
      <c r="P2780" s="3" t="s">
        <v>36</v>
      </c>
      <c r="Q2780" s="3"/>
      <c r="R2780" s="4">
        <v>45996</v>
      </c>
      <c r="S2780" s="3" t="s">
        <v>37</v>
      </c>
      <c r="T2780" s="3" t="s">
        <v>38</v>
      </c>
      <c r="U2780" s="3" t="s">
        <v>39</v>
      </c>
      <c r="V2780" s="3">
        <v>75.17</v>
      </c>
      <c r="W2780" s="3">
        <v>31.95</v>
      </c>
      <c r="X2780" s="3">
        <v>30.26</v>
      </c>
      <c r="Y2780" s="3">
        <v>12.96</v>
      </c>
    </row>
    <row r="2781" spans="1:25" ht="60.75" x14ac:dyDescent="0.25">
      <c r="A2781" s="3" t="s">
        <v>26</v>
      </c>
      <c r="B2781" s="3" t="s">
        <v>27</v>
      </c>
      <c r="C2781" s="3" t="s">
        <v>28</v>
      </c>
      <c r="D2781" s="3" t="s">
        <v>29</v>
      </c>
      <c r="E2781" s="3" t="s">
        <v>101</v>
      </c>
      <c r="F2781" s="3" t="s">
        <v>31</v>
      </c>
      <c r="G2781" s="3" t="s">
        <v>101</v>
      </c>
      <c r="H2781" s="3" t="s">
        <v>32</v>
      </c>
      <c r="I2781" s="3">
        <v>2025</v>
      </c>
      <c r="J2781" s="3" t="str">
        <f>CONCATENATE("54820080882")</f>
        <v>54820080882</v>
      </c>
      <c r="K2781" s="3" t="s">
        <v>33</v>
      </c>
      <c r="L2781" s="3"/>
      <c r="M2781" s="3" t="s">
        <v>131</v>
      </c>
      <c r="N2781" s="3" t="str">
        <f>CONCATENATE("RLAFBA61D11I651Z")</f>
        <v>RLAFBA61D11I651Z</v>
      </c>
      <c r="O2781" s="3" t="s">
        <v>2909</v>
      </c>
      <c r="P2781" s="3" t="s">
        <v>36</v>
      </c>
      <c r="Q2781" s="3"/>
      <c r="R2781" s="4">
        <v>45996</v>
      </c>
      <c r="S2781" s="3" t="s">
        <v>37</v>
      </c>
      <c r="T2781" s="3" t="s">
        <v>38</v>
      </c>
      <c r="U2781" s="3" t="s">
        <v>39</v>
      </c>
      <c r="V2781" s="3">
        <v>228.05</v>
      </c>
      <c r="W2781" s="3">
        <v>96.92</v>
      </c>
      <c r="X2781" s="3">
        <v>91.79</v>
      </c>
      <c r="Y2781" s="3">
        <v>39.340000000000003</v>
      </c>
    </row>
    <row r="2782" spans="1:25" ht="60.75" x14ac:dyDescent="0.25">
      <c r="A2782" s="3" t="s">
        <v>26</v>
      </c>
      <c r="B2782" s="3" t="s">
        <v>27</v>
      </c>
      <c r="C2782" s="3" t="s">
        <v>28</v>
      </c>
      <c r="D2782" s="3" t="s">
        <v>29</v>
      </c>
      <c r="E2782" s="3" t="s">
        <v>186</v>
      </c>
      <c r="F2782" s="3" t="s">
        <v>31</v>
      </c>
      <c r="G2782" s="3" t="s">
        <v>186</v>
      </c>
      <c r="H2782" s="3" t="s">
        <v>45</v>
      </c>
      <c r="I2782" s="3">
        <v>2025</v>
      </c>
      <c r="J2782" s="3" t="str">
        <f>CONCATENATE("54820046487")</f>
        <v>54820046487</v>
      </c>
      <c r="K2782" s="3" t="s">
        <v>33</v>
      </c>
      <c r="L2782" s="3"/>
      <c r="M2782" s="3" t="s">
        <v>131</v>
      </c>
      <c r="N2782" s="3" t="str">
        <f>CONCATENATE("BTTVNI57T41A740M")</f>
        <v>BTTVNI57T41A740M</v>
      </c>
      <c r="O2782" s="3" t="s">
        <v>2910</v>
      </c>
      <c r="P2782" s="3" t="s">
        <v>36</v>
      </c>
      <c r="Q2782" s="3"/>
      <c r="R2782" s="4">
        <v>45996</v>
      </c>
      <c r="S2782" s="3" t="s">
        <v>37</v>
      </c>
      <c r="T2782" s="3" t="s">
        <v>38</v>
      </c>
      <c r="U2782" s="3" t="s">
        <v>39</v>
      </c>
      <c r="V2782" s="3">
        <v>861.66</v>
      </c>
      <c r="W2782" s="3">
        <v>366.21</v>
      </c>
      <c r="X2782" s="3">
        <v>346.82</v>
      </c>
      <c r="Y2782" s="3">
        <v>148.63</v>
      </c>
    </row>
    <row r="2783" spans="1:25" ht="72.75" x14ac:dyDescent="0.25">
      <c r="A2783" s="3" t="s">
        <v>26</v>
      </c>
      <c r="B2783" s="3" t="s">
        <v>27</v>
      </c>
      <c r="C2783" s="3" t="s">
        <v>28</v>
      </c>
      <c r="D2783" s="3" t="s">
        <v>29</v>
      </c>
      <c r="E2783" s="3" t="s">
        <v>119</v>
      </c>
      <c r="F2783" s="3" t="s">
        <v>31</v>
      </c>
      <c r="G2783" s="3" t="s">
        <v>119</v>
      </c>
      <c r="H2783" s="3" t="s">
        <v>96</v>
      </c>
      <c r="I2783" s="3">
        <v>2025</v>
      </c>
      <c r="J2783" s="3" t="str">
        <f>CONCATENATE("54820083894")</f>
        <v>54820083894</v>
      </c>
      <c r="K2783" s="3" t="s">
        <v>33</v>
      </c>
      <c r="L2783" s="3"/>
      <c r="M2783" s="3" t="s">
        <v>131</v>
      </c>
      <c r="N2783" s="3" t="str">
        <f>CONCATENATE("FDLSMN82A30H769Q")</f>
        <v>FDLSMN82A30H769Q</v>
      </c>
      <c r="O2783" s="3" t="s">
        <v>2911</v>
      </c>
      <c r="P2783" s="3" t="s">
        <v>36</v>
      </c>
      <c r="Q2783" s="3"/>
      <c r="R2783" s="4">
        <v>45996</v>
      </c>
      <c r="S2783" s="3" t="s">
        <v>37</v>
      </c>
      <c r="T2783" s="3" t="s">
        <v>38</v>
      </c>
      <c r="U2783" s="3" t="s">
        <v>39</v>
      </c>
      <c r="V2783" s="3">
        <v>127.35</v>
      </c>
      <c r="W2783" s="3">
        <v>54.12</v>
      </c>
      <c r="X2783" s="3">
        <v>51.26</v>
      </c>
      <c r="Y2783" s="3">
        <v>21.97</v>
      </c>
    </row>
    <row r="2784" spans="1:25" ht="60.75" x14ac:dyDescent="0.25">
      <c r="A2784" s="3" t="s">
        <v>26</v>
      </c>
      <c r="B2784" s="3" t="s">
        <v>27</v>
      </c>
      <c r="C2784" s="3" t="s">
        <v>28</v>
      </c>
      <c r="D2784" s="3" t="s">
        <v>40</v>
      </c>
      <c r="E2784" s="3" t="s">
        <v>496</v>
      </c>
      <c r="F2784" s="3" t="s">
        <v>42</v>
      </c>
      <c r="G2784" s="3" t="s">
        <v>496</v>
      </c>
      <c r="H2784" s="3" t="s">
        <v>32</v>
      </c>
      <c r="I2784" s="3">
        <v>2025</v>
      </c>
      <c r="J2784" s="3" t="str">
        <f>CONCATENATE("54820067442")</f>
        <v>54820067442</v>
      </c>
      <c r="K2784" s="3" t="s">
        <v>33</v>
      </c>
      <c r="L2784" s="3"/>
      <c r="M2784" s="3" t="s">
        <v>131</v>
      </c>
      <c r="N2784" s="3" t="str">
        <f>CONCATENATE("PDESVR65R15I156A")</f>
        <v>PDESVR65R15I156A</v>
      </c>
      <c r="O2784" s="3" t="s">
        <v>2912</v>
      </c>
      <c r="P2784" s="3" t="s">
        <v>36</v>
      </c>
      <c r="Q2784" s="3"/>
      <c r="R2784" s="4">
        <v>45996</v>
      </c>
      <c r="S2784" s="3" t="s">
        <v>37</v>
      </c>
      <c r="T2784" s="3" t="s">
        <v>38</v>
      </c>
      <c r="U2784" s="3" t="s">
        <v>39</v>
      </c>
      <c r="V2784" s="3">
        <v>406.22</v>
      </c>
      <c r="W2784" s="3">
        <v>172.64</v>
      </c>
      <c r="X2784" s="3">
        <v>163.5</v>
      </c>
      <c r="Y2784" s="3">
        <v>70.08</v>
      </c>
    </row>
    <row r="2785" spans="1:25" ht="60.75" x14ac:dyDescent="0.25">
      <c r="A2785" s="3" t="s">
        <v>26</v>
      </c>
      <c r="B2785" s="3" t="s">
        <v>27</v>
      </c>
      <c r="C2785" s="3" t="s">
        <v>28</v>
      </c>
      <c r="D2785" s="3" t="s">
        <v>29</v>
      </c>
      <c r="E2785" s="3" t="s">
        <v>228</v>
      </c>
      <c r="F2785" s="3" t="s">
        <v>31</v>
      </c>
      <c r="G2785" s="3" t="s">
        <v>228</v>
      </c>
      <c r="H2785" s="3" t="s">
        <v>45</v>
      </c>
      <c r="I2785" s="3">
        <v>2025</v>
      </c>
      <c r="J2785" s="3" t="str">
        <f>CONCATENATE("54820051834")</f>
        <v>54820051834</v>
      </c>
      <c r="K2785" s="3" t="s">
        <v>33</v>
      </c>
      <c r="L2785" s="3"/>
      <c r="M2785" s="3" t="s">
        <v>131</v>
      </c>
      <c r="N2785" s="3" t="str">
        <f>CONCATENATE("SMNMNL54C57D749U")</f>
        <v>SMNMNL54C57D749U</v>
      </c>
      <c r="O2785" s="3" t="s">
        <v>2913</v>
      </c>
      <c r="P2785" s="3" t="s">
        <v>36</v>
      </c>
      <c r="Q2785" s="3"/>
      <c r="R2785" s="4">
        <v>45996</v>
      </c>
      <c r="S2785" s="3" t="s">
        <v>37</v>
      </c>
      <c r="T2785" s="3" t="s">
        <v>38</v>
      </c>
      <c r="U2785" s="3" t="s">
        <v>39</v>
      </c>
      <c r="V2785" s="3">
        <v>176</v>
      </c>
      <c r="W2785" s="3">
        <v>74.8</v>
      </c>
      <c r="X2785" s="3">
        <v>70.84</v>
      </c>
      <c r="Y2785" s="3">
        <v>30.36</v>
      </c>
    </row>
    <row r="2786" spans="1:25" ht="72.75" x14ac:dyDescent="0.25">
      <c r="A2786" s="3" t="s">
        <v>26</v>
      </c>
      <c r="B2786" s="3" t="s">
        <v>27</v>
      </c>
      <c r="C2786" s="3" t="s">
        <v>28</v>
      </c>
      <c r="D2786" s="3" t="s">
        <v>40</v>
      </c>
      <c r="E2786" s="3" t="s">
        <v>287</v>
      </c>
      <c r="F2786" s="3" t="s">
        <v>42</v>
      </c>
      <c r="G2786" s="3" t="s">
        <v>287</v>
      </c>
      <c r="H2786" s="3" t="s">
        <v>32</v>
      </c>
      <c r="I2786" s="3">
        <v>2025</v>
      </c>
      <c r="J2786" s="3" t="str">
        <f>CONCATENATE("54820017413")</f>
        <v>54820017413</v>
      </c>
      <c r="K2786" s="3" t="s">
        <v>33</v>
      </c>
      <c r="L2786" s="3"/>
      <c r="M2786" s="3" t="s">
        <v>131</v>
      </c>
      <c r="N2786" s="3" t="str">
        <f>CONCATENATE("RGGTRS65A47H501G")</f>
        <v>RGGTRS65A47H501G</v>
      </c>
      <c r="O2786" s="3" t="s">
        <v>2914</v>
      </c>
      <c r="P2786" s="3" t="s">
        <v>36</v>
      </c>
      <c r="Q2786" s="3"/>
      <c r="R2786" s="4">
        <v>45996</v>
      </c>
      <c r="S2786" s="3" t="s">
        <v>37</v>
      </c>
      <c r="T2786" s="3" t="s">
        <v>38</v>
      </c>
      <c r="U2786" s="3" t="s">
        <v>39</v>
      </c>
      <c r="V2786" s="3">
        <v>356.16</v>
      </c>
      <c r="W2786" s="3">
        <v>151.37</v>
      </c>
      <c r="X2786" s="3">
        <v>143.35</v>
      </c>
      <c r="Y2786" s="3">
        <v>61.44</v>
      </c>
    </row>
    <row r="2787" spans="1:25" ht="60.75" x14ac:dyDescent="0.25">
      <c r="A2787" s="3" t="s">
        <v>26</v>
      </c>
      <c r="B2787" s="3" t="s">
        <v>27</v>
      </c>
      <c r="C2787" s="3" t="s">
        <v>28</v>
      </c>
      <c r="D2787" s="3" t="s">
        <v>91</v>
      </c>
      <c r="E2787" s="3" t="s">
        <v>151</v>
      </c>
      <c r="F2787" s="3" t="s">
        <v>93</v>
      </c>
      <c r="G2787" s="3" t="s">
        <v>151</v>
      </c>
      <c r="H2787" s="3" t="s">
        <v>45</v>
      </c>
      <c r="I2787" s="3">
        <v>2025</v>
      </c>
      <c r="J2787" s="3" t="str">
        <f>CONCATENATE("54820103346")</f>
        <v>54820103346</v>
      </c>
      <c r="K2787" s="3" t="s">
        <v>33</v>
      </c>
      <c r="L2787" s="3"/>
      <c r="M2787" s="3" t="s">
        <v>131</v>
      </c>
      <c r="N2787" s="3" t="str">
        <f>CONCATENATE("DCRSRA83L47I459D")</f>
        <v>DCRSRA83L47I459D</v>
      </c>
      <c r="O2787" s="3" t="s">
        <v>2915</v>
      </c>
      <c r="P2787" s="3" t="s">
        <v>36</v>
      </c>
      <c r="Q2787" s="3"/>
      <c r="R2787" s="4">
        <v>45996</v>
      </c>
      <c r="S2787" s="3" t="s">
        <v>37</v>
      </c>
      <c r="T2787" s="3" t="s">
        <v>38</v>
      </c>
      <c r="U2787" s="3" t="s">
        <v>39</v>
      </c>
      <c r="V2787" s="3">
        <v>389.88</v>
      </c>
      <c r="W2787" s="3">
        <v>165.7</v>
      </c>
      <c r="X2787" s="3">
        <v>156.93</v>
      </c>
      <c r="Y2787" s="3">
        <v>67.25</v>
      </c>
    </row>
    <row r="2788" spans="1:25" ht="60.75" x14ac:dyDescent="0.25">
      <c r="A2788" s="3" t="s">
        <v>26</v>
      </c>
      <c r="B2788" s="3" t="s">
        <v>27</v>
      </c>
      <c r="C2788" s="3" t="s">
        <v>28</v>
      </c>
      <c r="D2788" s="3" t="s">
        <v>40</v>
      </c>
      <c r="E2788" s="3" t="s">
        <v>99</v>
      </c>
      <c r="F2788" s="3" t="s">
        <v>42</v>
      </c>
      <c r="G2788" s="3" t="s">
        <v>99</v>
      </c>
      <c r="H2788" s="3" t="s">
        <v>32</v>
      </c>
      <c r="I2788" s="3">
        <v>2025</v>
      </c>
      <c r="J2788" s="3" t="str">
        <f>CONCATENATE("54820047188")</f>
        <v>54820047188</v>
      </c>
      <c r="K2788" s="3" t="s">
        <v>33</v>
      </c>
      <c r="L2788" s="3"/>
      <c r="M2788" s="3" t="s">
        <v>131</v>
      </c>
      <c r="N2788" s="3" t="str">
        <f>CONCATENATE("PRGPPL74E24I436K")</f>
        <v>PRGPPL74E24I436K</v>
      </c>
      <c r="O2788" s="3" t="s">
        <v>2916</v>
      </c>
      <c r="P2788" s="3" t="s">
        <v>36</v>
      </c>
      <c r="Q2788" s="3"/>
      <c r="R2788" s="4">
        <v>45996</v>
      </c>
      <c r="S2788" s="3" t="s">
        <v>37</v>
      </c>
      <c r="T2788" s="3" t="s">
        <v>38</v>
      </c>
      <c r="U2788" s="3" t="s">
        <v>39</v>
      </c>
      <c r="V2788" s="3">
        <v>116.46</v>
      </c>
      <c r="W2788" s="3">
        <v>49.5</v>
      </c>
      <c r="X2788" s="3">
        <v>46.88</v>
      </c>
      <c r="Y2788" s="3">
        <v>20.079999999999998</v>
      </c>
    </row>
    <row r="2789" spans="1:25" ht="60.75" x14ac:dyDescent="0.25">
      <c r="A2789" s="3" t="s">
        <v>26</v>
      </c>
      <c r="B2789" s="3" t="s">
        <v>27</v>
      </c>
      <c r="C2789" s="3" t="s">
        <v>28</v>
      </c>
      <c r="D2789" s="3" t="s">
        <v>29</v>
      </c>
      <c r="E2789" s="3" t="s">
        <v>72</v>
      </c>
      <c r="F2789" s="3" t="s">
        <v>31</v>
      </c>
      <c r="G2789" s="3" t="s">
        <v>72</v>
      </c>
      <c r="H2789" s="3" t="s">
        <v>45</v>
      </c>
      <c r="I2789" s="3">
        <v>2025</v>
      </c>
      <c r="J2789" s="3" t="str">
        <f>CONCATENATE("54820171780")</f>
        <v>54820171780</v>
      </c>
      <c r="K2789" s="3" t="s">
        <v>33</v>
      </c>
      <c r="L2789" s="3"/>
      <c r="M2789" s="3" t="s">
        <v>131</v>
      </c>
      <c r="N2789" s="3" t="str">
        <f>CONCATENATE("LNDDNL62L13C745T")</f>
        <v>LNDDNL62L13C745T</v>
      </c>
      <c r="O2789" s="3" t="s">
        <v>2917</v>
      </c>
      <c r="P2789" s="3" t="s">
        <v>36</v>
      </c>
      <c r="Q2789" s="3"/>
      <c r="R2789" s="4">
        <v>45996</v>
      </c>
      <c r="S2789" s="3" t="s">
        <v>37</v>
      </c>
      <c r="T2789" s="3" t="s">
        <v>38</v>
      </c>
      <c r="U2789" s="3" t="s">
        <v>39</v>
      </c>
      <c r="V2789" s="3">
        <v>469.62</v>
      </c>
      <c r="W2789" s="3">
        <v>199.59</v>
      </c>
      <c r="X2789" s="3">
        <v>189.02</v>
      </c>
      <c r="Y2789" s="3">
        <v>81.010000000000005</v>
      </c>
    </row>
    <row r="2790" spans="1:25" ht="60.75" x14ac:dyDescent="0.25">
      <c r="A2790" s="3" t="s">
        <v>26</v>
      </c>
      <c r="B2790" s="3" t="s">
        <v>27</v>
      </c>
      <c r="C2790" s="3" t="s">
        <v>28</v>
      </c>
      <c r="D2790" s="3" t="s">
        <v>29</v>
      </c>
      <c r="E2790" s="3" t="s">
        <v>72</v>
      </c>
      <c r="F2790" s="3" t="s">
        <v>31</v>
      </c>
      <c r="G2790" s="3" t="s">
        <v>72</v>
      </c>
      <c r="H2790" s="3" t="s">
        <v>45</v>
      </c>
      <c r="I2790" s="3">
        <v>2025</v>
      </c>
      <c r="J2790" s="3" t="str">
        <f>CONCATENATE("54820042874")</f>
        <v>54820042874</v>
      </c>
      <c r="K2790" s="3" t="s">
        <v>33</v>
      </c>
      <c r="L2790" s="3"/>
      <c r="M2790" s="3" t="s">
        <v>131</v>
      </c>
      <c r="N2790" s="3" t="str">
        <f>CONCATENATE("FMLPLA53L10Z103Y")</f>
        <v>FMLPLA53L10Z103Y</v>
      </c>
      <c r="O2790" s="3" t="s">
        <v>2918</v>
      </c>
      <c r="P2790" s="3" t="s">
        <v>36</v>
      </c>
      <c r="Q2790" s="3"/>
      <c r="R2790" s="4">
        <v>45996</v>
      </c>
      <c r="S2790" s="3" t="s">
        <v>37</v>
      </c>
      <c r="T2790" s="3" t="s">
        <v>38</v>
      </c>
      <c r="U2790" s="3" t="s">
        <v>39</v>
      </c>
      <c r="V2790" s="3">
        <v>79.87</v>
      </c>
      <c r="W2790" s="3">
        <v>33.94</v>
      </c>
      <c r="X2790" s="3">
        <v>32.15</v>
      </c>
      <c r="Y2790" s="3">
        <v>13.78</v>
      </c>
    </row>
    <row r="2791" spans="1:25" ht="60.75" x14ac:dyDescent="0.25">
      <c r="A2791" s="3" t="s">
        <v>26</v>
      </c>
      <c r="B2791" s="3" t="s">
        <v>27</v>
      </c>
      <c r="C2791" s="3" t="s">
        <v>28</v>
      </c>
      <c r="D2791" s="3" t="s">
        <v>50</v>
      </c>
      <c r="E2791" s="3" t="s">
        <v>149</v>
      </c>
      <c r="F2791" s="3" t="s">
        <v>52</v>
      </c>
      <c r="G2791" s="3" t="s">
        <v>149</v>
      </c>
      <c r="H2791" s="3" t="s">
        <v>96</v>
      </c>
      <c r="I2791" s="3">
        <v>2025</v>
      </c>
      <c r="J2791" s="3" t="str">
        <f>CONCATENATE("54820026083")</f>
        <v>54820026083</v>
      </c>
      <c r="K2791" s="3" t="s">
        <v>33</v>
      </c>
      <c r="L2791" s="3"/>
      <c r="M2791" s="3" t="s">
        <v>131</v>
      </c>
      <c r="N2791" s="3" t="str">
        <f>CONCATENATE("LFNGNN46H22A462X")</f>
        <v>LFNGNN46H22A462X</v>
      </c>
      <c r="O2791" s="3" t="s">
        <v>2919</v>
      </c>
      <c r="P2791" s="3" t="s">
        <v>36</v>
      </c>
      <c r="Q2791" s="3"/>
      <c r="R2791" s="4">
        <v>45996</v>
      </c>
      <c r="S2791" s="3" t="s">
        <v>37</v>
      </c>
      <c r="T2791" s="3" t="s">
        <v>38</v>
      </c>
      <c r="U2791" s="3" t="s">
        <v>39</v>
      </c>
      <c r="V2791" s="3">
        <v>180.58</v>
      </c>
      <c r="W2791" s="3">
        <v>76.75</v>
      </c>
      <c r="X2791" s="3">
        <v>72.680000000000007</v>
      </c>
      <c r="Y2791" s="3">
        <v>31.15</v>
      </c>
    </row>
    <row r="2792" spans="1:25" ht="72.75" x14ac:dyDescent="0.25">
      <c r="A2792" s="3" t="s">
        <v>26</v>
      </c>
      <c r="B2792" s="3" t="s">
        <v>27</v>
      </c>
      <c r="C2792" s="3" t="s">
        <v>28</v>
      </c>
      <c r="D2792" s="3" t="s">
        <v>29</v>
      </c>
      <c r="E2792" s="3" t="s">
        <v>72</v>
      </c>
      <c r="F2792" s="3" t="s">
        <v>31</v>
      </c>
      <c r="G2792" s="3" t="s">
        <v>72</v>
      </c>
      <c r="H2792" s="3" t="s">
        <v>45</v>
      </c>
      <c r="I2792" s="3">
        <v>2025</v>
      </c>
      <c r="J2792" s="3" t="str">
        <f>CONCATENATE("54820025234")</f>
        <v>54820025234</v>
      </c>
      <c r="K2792" s="3" t="s">
        <v>33</v>
      </c>
      <c r="L2792" s="3"/>
      <c r="M2792" s="3" t="s">
        <v>131</v>
      </c>
      <c r="N2792" s="3" t="str">
        <f>CONCATENATE("FRRSLD55B07B352M")</f>
        <v>FRRSLD55B07B352M</v>
      </c>
      <c r="O2792" s="3" t="s">
        <v>2920</v>
      </c>
      <c r="P2792" s="3" t="s">
        <v>36</v>
      </c>
      <c r="Q2792" s="3"/>
      <c r="R2792" s="4">
        <v>45996</v>
      </c>
      <c r="S2792" s="3" t="s">
        <v>37</v>
      </c>
      <c r="T2792" s="3" t="s">
        <v>38</v>
      </c>
      <c r="U2792" s="3" t="s">
        <v>39</v>
      </c>
      <c r="V2792" s="3">
        <v>59.1</v>
      </c>
      <c r="W2792" s="3">
        <v>25.12</v>
      </c>
      <c r="X2792" s="3">
        <v>23.79</v>
      </c>
      <c r="Y2792" s="3">
        <v>10.19</v>
      </c>
    </row>
    <row r="2793" spans="1:25" ht="72.75" x14ac:dyDescent="0.25">
      <c r="A2793" s="3" t="s">
        <v>26</v>
      </c>
      <c r="B2793" s="3" t="s">
        <v>27</v>
      </c>
      <c r="C2793" s="3" t="s">
        <v>28</v>
      </c>
      <c r="D2793" s="3" t="s">
        <v>29</v>
      </c>
      <c r="E2793" s="3" t="s">
        <v>228</v>
      </c>
      <c r="F2793" s="3" t="s">
        <v>31</v>
      </c>
      <c r="G2793" s="3" t="s">
        <v>228</v>
      </c>
      <c r="H2793" s="3" t="s">
        <v>45</v>
      </c>
      <c r="I2793" s="3">
        <v>2025</v>
      </c>
      <c r="J2793" s="3" t="str">
        <f>CONCATENATE("54820051792")</f>
        <v>54820051792</v>
      </c>
      <c r="K2793" s="3" t="s">
        <v>33</v>
      </c>
      <c r="L2793" s="3"/>
      <c r="M2793" s="3" t="s">
        <v>131</v>
      </c>
      <c r="N2793" s="3" t="str">
        <f>CONCATENATE("PGNGNN41R05D749O")</f>
        <v>PGNGNN41R05D749O</v>
      </c>
      <c r="O2793" s="3" t="s">
        <v>2921</v>
      </c>
      <c r="P2793" s="3" t="s">
        <v>36</v>
      </c>
      <c r="Q2793" s="3"/>
      <c r="R2793" s="4">
        <v>45996</v>
      </c>
      <c r="S2793" s="3" t="s">
        <v>37</v>
      </c>
      <c r="T2793" s="3" t="s">
        <v>38</v>
      </c>
      <c r="U2793" s="3" t="s">
        <v>39</v>
      </c>
      <c r="V2793" s="3">
        <v>723.39</v>
      </c>
      <c r="W2793" s="3">
        <v>307.44</v>
      </c>
      <c r="X2793" s="3">
        <v>291.16000000000003</v>
      </c>
      <c r="Y2793" s="3">
        <v>124.79</v>
      </c>
    </row>
    <row r="2794" spans="1:25" ht="60.75" x14ac:dyDescent="0.25">
      <c r="A2794" s="3" t="s">
        <v>26</v>
      </c>
      <c r="B2794" s="3" t="s">
        <v>27</v>
      </c>
      <c r="C2794" s="3" t="s">
        <v>28</v>
      </c>
      <c r="D2794" s="3" t="s">
        <v>29</v>
      </c>
      <c r="E2794" s="3" t="s">
        <v>186</v>
      </c>
      <c r="F2794" s="3" t="s">
        <v>31</v>
      </c>
      <c r="G2794" s="3" t="s">
        <v>186</v>
      </c>
      <c r="H2794" s="3" t="s">
        <v>45</v>
      </c>
      <c r="I2794" s="3">
        <v>2025</v>
      </c>
      <c r="J2794" s="3" t="str">
        <f>CONCATENATE("54820032974")</f>
        <v>54820032974</v>
      </c>
      <c r="K2794" s="3" t="s">
        <v>33</v>
      </c>
      <c r="L2794" s="3"/>
      <c r="M2794" s="3" t="s">
        <v>131</v>
      </c>
      <c r="N2794" s="3" t="str">
        <f>CONCATENATE("PMPNNA68H47E785Y")</f>
        <v>PMPNNA68H47E785Y</v>
      </c>
      <c r="O2794" s="3" t="s">
        <v>2922</v>
      </c>
      <c r="P2794" s="3" t="s">
        <v>36</v>
      </c>
      <c r="Q2794" s="3"/>
      <c r="R2794" s="4">
        <v>45996</v>
      </c>
      <c r="S2794" s="3" t="s">
        <v>37</v>
      </c>
      <c r="T2794" s="3" t="s">
        <v>38</v>
      </c>
      <c r="U2794" s="3" t="s">
        <v>39</v>
      </c>
      <c r="V2794" s="3">
        <v>691.52</v>
      </c>
      <c r="W2794" s="3">
        <v>293.89999999999998</v>
      </c>
      <c r="X2794" s="3">
        <v>278.33999999999997</v>
      </c>
      <c r="Y2794" s="3">
        <v>119.28</v>
      </c>
    </row>
    <row r="2795" spans="1:25" ht="60.75" x14ac:dyDescent="0.25">
      <c r="A2795" s="3" t="s">
        <v>26</v>
      </c>
      <c r="B2795" s="3" t="s">
        <v>27</v>
      </c>
      <c r="C2795" s="3" t="s">
        <v>28</v>
      </c>
      <c r="D2795" s="3" t="s">
        <v>29</v>
      </c>
      <c r="E2795" s="3" t="s">
        <v>228</v>
      </c>
      <c r="F2795" s="3" t="s">
        <v>31</v>
      </c>
      <c r="G2795" s="3" t="s">
        <v>228</v>
      </c>
      <c r="H2795" s="3" t="s">
        <v>45</v>
      </c>
      <c r="I2795" s="3">
        <v>2025</v>
      </c>
      <c r="J2795" s="3" t="str">
        <f>CONCATENATE("54820042098")</f>
        <v>54820042098</v>
      </c>
      <c r="K2795" s="3" t="s">
        <v>33</v>
      </c>
      <c r="L2795" s="3"/>
      <c r="M2795" s="3" t="s">
        <v>131</v>
      </c>
      <c r="N2795" s="3" t="str">
        <f>CONCATENATE("PLNPLA50L45D749C")</f>
        <v>PLNPLA50L45D749C</v>
      </c>
      <c r="O2795" s="3" t="s">
        <v>2923</v>
      </c>
      <c r="P2795" s="3" t="s">
        <v>36</v>
      </c>
      <c r="Q2795" s="3"/>
      <c r="R2795" s="4">
        <v>45996</v>
      </c>
      <c r="S2795" s="3" t="s">
        <v>37</v>
      </c>
      <c r="T2795" s="3" t="s">
        <v>38</v>
      </c>
      <c r="U2795" s="3" t="s">
        <v>39</v>
      </c>
      <c r="V2795" s="3">
        <v>145.51</v>
      </c>
      <c r="W2795" s="3">
        <v>61.84</v>
      </c>
      <c r="X2795" s="3">
        <v>58.57</v>
      </c>
      <c r="Y2795" s="3">
        <v>25.1</v>
      </c>
    </row>
    <row r="2796" spans="1:25" ht="60.75" x14ac:dyDescent="0.25">
      <c r="A2796" s="3" t="s">
        <v>26</v>
      </c>
      <c r="B2796" s="3" t="s">
        <v>27</v>
      </c>
      <c r="C2796" s="3" t="s">
        <v>28</v>
      </c>
      <c r="D2796" s="3" t="s">
        <v>40</v>
      </c>
      <c r="E2796" s="3" t="s">
        <v>99</v>
      </c>
      <c r="F2796" s="3" t="s">
        <v>42</v>
      </c>
      <c r="G2796" s="3" t="s">
        <v>99</v>
      </c>
      <c r="H2796" s="3" t="s">
        <v>32</v>
      </c>
      <c r="I2796" s="3">
        <v>2025</v>
      </c>
      <c r="J2796" s="3" t="str">
        <f>CONCATENATE("54820066204")</f>
        <v>54820066204</v>
      </c>
      <c r="K2796" s="3" t="s">
        <v>33</v>
      </c>
      <c r="L2796" s="3"/>
      <c r="M2796" s="3" t="s">
        <v>131</v>
      </c>
      <c r="N2796" s="3" t="str">
        <f>CONCATENATE("MEOPFT43S16H876M")</f>
        <v>MEOPFT43S16H876M</v>
      </c>
      <c r="O2796" s="3" t="s">
        <v>2924</v>
      </c>
      <c r="P2796" s="3" t="s">
        <v>36</v>
      </c>
      <c r="Q2796" s="3"/>
      <c r="R2796" s="4">
        <v>45996</v>
      </c>
      <c r="S2796" s="3" t="s">
        <v>37</v>
      </c>
      <c r="T2796" s="3" t="s">
        <v>38</v>
      </c>
      <c r="U2796" s="3" t="s">
        <v>39</v>
      </c>
      <c r="V2796" s="3">
        <v>109.81</v>
      </c>
      <c r="W2796" s="3">
        <v>46.67</v>
      </c>
      <c r="X2796" s="3">
        <v>44.2</v>
      </c>
      <c r="Y2796" s="3">
        <v>18.940000000000001</v>
      </c>
    </row>
    <row r="2797" spans="1:25" ht="60.75" x14ac:dyDescent="0.25">
      <c r="A2797" s="3" t="s">
        <v>26</v>
      </c>
      <c r="B2797" s="3" t="s">
        <v>27</v>
      </c>
      <c r="C2797" s="3" t="s">
        <v>28</v>
      </c>
      <c r="D2797" s="3" t="s">
        <v>29</v>
      </c>
      <c r="E2797" s="3" t="s">
        <v>68</v>
      </c>
      <c r="F2797" s="3" t="s">
        <v>31</v>
      </c>
      <c r="G2797" s="3" t="s">
        <v>68</v>
      </c>
      <c r="H2797" s="3" t="s">
        <v>32</v>
      </c>
      <c r="I2797" s="3">
        <v>2025</v>
      </c>
      <c r="J2797" s="3" t="str">
        <f>CONCATENATE("54820033790")</f>
        <v>54820033790</v>
      </c>
      <c r="K2797" s="3" t="s">
        <v>33</v>
      </c>
      <c r="L2797" s="3"/>
      <c r="M2797" s="3" t="s">
        <v>131</v>
      </c>
      <c r="N2797" s="3" t="str">
        <f>CONCATENATE("CNTLRT69C16I436U")</f>
        <v>CNTLRT69C16I436U</v>
      </c>
      <c r="O2797" s="3" t="s">
        <v>2925</v>
      </c>
      <c r="P2797" s="3" t="s">
        <v>36</v>
      </c>
      <c r="Q2797" s="3"/>
      <c r="R2797" s="4">
        <v>45996</v>
      </c>
      <c r="S2797" s="3" t="s">
        <v>37</v>
      </c>
      <c r="T2797" s="3" t="s">
        <v>38</v>
      </c>
      <c r="U2797" s="3" t="s">
        <v>39</v>
      </c>
      <c r="V2797" s="3">
        <v>217.66</v>
      </c>
      <c r="W2797" s="3">
        <v>92.51</v>
      </c>
      <c r="X2797" s="3">
        <v>87.61</v>
      </c>
      <c r="Y2797" s="3">
        <v>37.54</v>
      </c>
    </row>
    <row r="2798" spans="1:25" ht="72.75" x14ac:dyDescent="0.25">
      <c r="A2798" s="3" t="s">
        <v>26</v>
      </c>
      <c r="B2798" s="3" t="s">
        <v>27</v>
      </c>
      <c r="C2798" s="3" t="s">
        <v>28</v>
      </c>
      <c r="D2798" s="3" t="s">
        <v>29</v>
      </c>
      <c r="E2798" s="3" t="s">
        <v>136</v>
      </c>
      <c r="F2798" s="3" t="s">
        <v>31</v>
      </c>
      <c r="G2798" s="3" t="s">
        <v>136</v>
      </c>
      <c r="H2798" s="3" t="s">
        <v>48</v>
      </c>
      <c r="I2798" s="3">
        <v>2025</v>
      </c>
      <c r="J2798" s="3" t="str">
        <f>CONCATENATE("54820109871")</f>
        <v>54820109871</v>
      </c>
      <c r="K2798" s="3" t="s">
        <v>33</v>
      </c>
      <c r="L2798" s="3"/>
      <c r="M2798" s="3" t="s">
        <v>131</v>
      </c>
      <c r="N2798" s="3" t="str">
        <f>CONCATENATE("BLRFNC50B16D965O")</f>
        <v>BLRFNC50B16D965O</v>
      </c>
      <c r="O2798" s="3" t="s">
        <v>2926</v>
      </c>
      <c r="P2798" s="3" t="s">
        <v>36</v>
      </c>
      <c r="Q2798" s="3"/>
      <c r="R2798" s="4">
        <v>45996</v>
      </c>
      <c r="S2798" s="3" t="s">
        <v>37</v>
      </c>
      <c r="T2798" s="3" t="s">
        <v>38</v>
      </c>
      <c r="U2798" s="3" t="s">
        <v>39</v>
      </c>
      <c r="V2798" s="3">
        <v>141.80000000000001</v>
      </c>
      <c r="W2798" s="3">
        <v>60.27</v>
      </c>
      <c r="X2798" s="3">
        <v>57.07</v>
      </c>
      <c r="Y2798" s="3">
        <v>24.46</v>
      </c>
    </row>
    <row r="2799" spans="1:25" ht="60.75" x14ac:dyDescent="0.25">
      <c r="A2799" s="3" t="s">
        <v>26</v>
      </c>
      <c r="B2799" s="3" t="s">
        <v>27</v>
      </c>
      <c r="C2799" s="3" t="s">
        <v>28</v>
      </c>
      <c r="D2799" s="3" t="s">
        <v>40</v>
      </c>
      <c r="E2799" s="3" t="s">
        <v>54</v>
      </c>
      <c r="F2799" s="3" t="s">
        <v>42</v>
      </c>
      <c r="G2799" s="3" t="s">
        <v>54</v>
      </c>
      <c r="H2799" s="3" t="s">
        <v>45</v>
      </c>
      <c r="I2799" s="3">
        <v>2025</v>
      </c>
      <c r="J2799" s="3" t="str">
        <f>CONCATENATE("54820080387")</f>
        <v>54820080387</v>
      </c>
      <c r="K2799" s="3" t="s">
        <v>33</v>
      </c>
      <c r="L2799" s="3"/>
      <c r="M2799" s="3" t="s">
        <v>131</v>
      </c>
      <c r="N2799" s="3" t="str">
        <f>CONCATENATE("RCLLNZ74L07L500H")</f>
        <v>RCLLNZ74L07L500H</v>
      </c>
      <c r="O2799" s="3" t="s">
        <v>2927</v>
      </c>
      <c r="P2799" s="3" t="s">
        <v>36</v>
      </c>
      <c r="Q2799" s="3"/>
      <c r="R2799" s="4">
        <v>45996</v>
      </c>
      <c r="S2799" s="3" t="s">
        <v>37</v>
      </c>
      <c r="T2799" s="3" t="s">
        <v>38</v>
      </c>
      <c r="U2799" s="3" t="s">
        <v>39</v>
      </c>
      <c r="V2799" s="5">
        <v>1054.1500000000001</v>
      </c>
      <c r="W2799" s="3">
        <v>448.01</v>
      </c>
      <c r="X2799" s="3">
        <v>424.3</v>
      </c>
      <c r="Y2799" s="3">
        <v>181.84</v>
      </c>
    </row>
    <row r="2800" spans="1:25" ht="60.75" x14ac:dyDescent="0.25">
      <c r="A2800" s="3" t="s">
        <v>26</v>
      </c>
      <c r="B2800" s="3" t="s">
        <v>27</v>
      </c>
      <c r="C2800" s="3" t="s">
        <v>28</v>
      </c>
      <c r="D2800" s="3" t="s">
        <v>50</v>
      </c>
      <c r="E2800" s="3" t="s">
        <v>173</v>
      </c>
      <c r="F2800" s="3" t="s">
        <v>52</v>
      </c>
      <c r="G2800" s="3" t="s">
        <v>173</v>
      </c>
      <c r="H2800" s="3" t="s">
        <v>45</v>
      </c>
      <c r="I2800" s="3">
        <v>2025</v>
      </c>
      <c r="J2800" s="3" t="str">
        <f>CONCATENATE("54820082177")</f>
        <v>54820082177</v>
      </c>
      <c r="K2800" s="3" t="s">
        <v>33</v>
      </c>
      <c r="L2800" s="3"/>
      <c r="M2800" s="3" t="s">
        <v>131</v>
      </c>
      <c r="N2800" s="3" t="str">
        <f>CONCATENATE("MRRPTR57C30I460M")</f>
        <v>MRRPTR57C30I460M</v>
      </c>
      <c r="O2800" s="3" t="s">
        <v>2928</v>
      </c>
      <c r="P2800" s="3" t="s">
        <v>36</v>
      </c>
      <c r="Q2800" s="3"/>
      <c r="R2800" s="4">
        <v>45996</v>
      </c>
      <c r="S2800" s="3" t="s">
        <v>37</v>
      </c>
      <c r="T2800" s="3" t="s">
        <v>38</v>
      </c>
      <c r="U2800" s="3" t="s">
        <v>39</v>
      </c>
      <c r="V2800" s="3">
        <v>669.63</v>
      </c>
      <c r="W2800" s="3">
        <v>284.58999999999997</v>
      </c>
      <c r="X2800" s="3">
        <v>269.52999999999997</v>
      </c>
      <c r="Y2800" s="3">
        <v>115.51</v>
      </c>
    </row>
    <row r="2801" spans="1:25" ht="60.75" x14ac:dyDescent="0.25">
      <c r="A2801" s="3" t="s">
        <v>26</v>
      </c>
      <c r="B2801" s="3" t="s">
        <v>27</v>
      </c>
      <c r="C2801" s="3" t="s">
        <v>28</v>
      </c>
      <c r="D2801" s="3" t="s">
        <v>40</v>
      </c>
      <c r="E2801" s="3" t="s">
        <v>287</v>
      </c>
      <c r="F2801" s="3" t="s">
        <v>42</v>
      </c>
      <c r="G2801" s="3" t="s">
        <v>287</v>
      </c>
      <c r="H2801" s="3" t="s">
        <v>32</v>
      </c>
      <c r="I2801" s="3">
        <v>2025</v>
      </c>
      <c r="J2801" s="3" t="str">
        <f>CONCATENATE("54820016068")</f>
        <v>54820016068</v>
      </c>
      <c r="K2801" s="3" t="s">
        <v>33</v>
      </c>
      <c r="L2801" s="3"/>
      <c r="M2801" s="3" t="s">
        <v>131</v>
      </c>
      <c r="N2801" s="3" t="str">
        <f>CONCATENATE("GLIRTI65A46B474U")</f>
        <v>GLIRTI65A46B474U</v>
      </c>
      <c r="O2801" s="3" t="s">
        <v>2929</v>
      </c>
      <c r="P2801" s="3" t="s">
        <v>36</v>
      </c>
      <c r="Q2801" s="3"/>
      <c r="R2801" s="4">
        <v>45996</v>
      </c>
      <c r="S2801" s="3" t="s">
        <v>37</v>
      </c>
      <c r="T2801" s="3" t="s">
        <v>38</v>
      </c>
      <c r="U2801" s="3" t="s">
        <v>39</v>
      </c>
      <c r="V2801" s="3">
        <v>139.82</v>
      </c>
      <c r="W2801" s="3">
        <v>59.42</v>
      </c>
      <c r="X2801" s="3">
        <v>56.28</v>
      </c>
      <c r="Y2801" s="3">
        <v>24.12</v>
      </c>
    </row>
    <row r="2802" spans="1:25" ht="60.75" x14ac:dyDescent="0.25">
      <c r="A2802" s="3" t="s">
        <v>26</v>
      </c>
      <c r="B2802" s="3" t="s">
        <v>27</v>
      </c>
      <c r="C2802" s="3" t="s">
        <v>28</v>
      </c>
      <c r="D2802" s="3" t="s">
        <v>40</v>
      </c>
      <c r="E2802" s="3" t="s">
        <v>287</v>
      </c>
      <c r="F2802" s="3" t="s">
        <v>42</v>
      </c>
      <c r="G2802" s="3" t="s">
        <v>287</v>
      </c>
      <c r="H2802" s="3" t="s">
        <v>32</v>
      </c>
      <c r="I2802" s="3">
        <v>2025</v>
      </c>
      <c r="J2802" s="3" t="str">
        <f>CONCATENATE("54820016555")</f>
        <v>54820016555</v>
      </c>
      <c r="K2802" s="3" t="s">
        <v>33</v>
      </c>
      <c r="L2802" s="3"/>
      <c r="M2802" s="3" t="s">
        <v>131</v>
      </c>
      <c r="N2802" s="3" t="str">
        <f>CONCATENATE("RSNMRA71S54B474G")</f>
        <v>RSNMRA71S54B474G</v>
      </c>
      <c r="O2802" s="3" t="s">
        <v>2930</v>
      </c>
      <c r="P2802" s="3" t="s">
        <v>36</v>
      </c>
      <c r="Q2802" s="3"/>
      <c r="R2802" s="4">
        <v>45996</v>
      </c>
      <c r="S2802" s="3" t="s">
        <v>37</v>
      </c>
      <c r="T2802" s="3" t="s">
        <v>38</v>
      </c>
      <c r="U2802" s="3" t="s">
        <v>39</v>
      </c>
      <c r="V2802" s="3">
        <v>710.22</v>
      </c>
      <c r="W2802" s="3">
        <v>301.83999999999997</v>
      </c>
      <c r="X2802" s="3">
        <v>285.86</v>
      </c>
      <c r="Y2802" s="3">
        <v>122.52</v>
      </c>
    </row>
    <row r="2803" spans="1:25" ht="60.75" x14ac:dyDescent="0.25">
      <c r="A2803" s="3" t="s">
        <v>26</v>
      </c>
      <c r="B2803" s="3" t="s">
        <v>27</v>
      </c>
      <c r="C2803" s="3" t="s">
        <v>28</v>
      </c>
      <c r="D2803" s="3" t="s">
        <v>29</v>
      </c>
      <c r="E2803" s="3" t="s">
        <v>56</v>
      </c>
      <c r="F2803" s="3" t="s">
        <v>31</v>
      </c>
      <c r="G2803" s="3" t="s">
        <v>56</v>
      </c>
      <c r="H2803" s="3" t="s">
        <v>32</v>
      </c>
      <c r="I2803" s="3">
        <v>2025</v>
      </c>
      <c r="J2803" s="3" t="str">
        <f>CONCATENATE("54820123427")</f>
        <v>54820123427</v>
      </c>
      <c r="K2803" s="3" t="s">
        <v>33</v>
      </c>
      <c r="L2803" s="3"/>
      <c r="M2803" s="3" t="s">
        <v>131</v>
      </c>
      <c r="N2803" s="3" t="str">
        <f>CONCATENATE("SNTGNS47E54B474S")</f>
        <v>SNTGNS47E54B474S</v>
      </c>
      <c r="O2803" s="3" t="s">
        <v>2931</v>
      </c>
      <c r="P2803" s="3" t="s">
        <v>36</v>
      </c>
      <c r="Q2803" s="3"/>
      <c r="R2803" s="4">
        <v>45996</v>
      </c>
      <c r="S2803" s="3" t="s">
        <v>37</v>
      </c>
      <c r="T2803" s="3" t="s">
        <v>38</v>
      </c>
      <c r="U2803" s="3" t="s">
        <v>39</v>
      </c>
      <c r="V2803" s="3">
        <v>169.75</v>
      </c>
      <c r="W2803" s="3">
        <v>72.14</v>
      </c>
      <c r="X2803" s="3">
        <v>68.319999999999993</v>
      </c>
      <c r="Y2803" s="3">
        <v>29.29</v>
      </c>
    </row>
    <row r="2804" spans="1:25" ht="72.75" x14ac:dyDescent="0.25">
      <c r="A2804" s="3" t="s">
        <v>26</v>
      </c>
      <c r="B2804" s="3" t="s">
        <v>27</v>
      </c>
      <c r="C2804" s="3" t="s">
        <v>28</v>
      </c>
      <c r="D2804" s="3" t="s">
        <v>29</v>
      </c>
      <c r="E2804" s="3" t="s">
        <v>136</v>
      </c>
      <c r="F2804" s="3" t="s">
        <v>31</v>
      </c>
      <c r="G2804" s="3" t="s">
        <v>136</v>
      </c>
      <c r="H2804" s="3" t="s">
        <v>48</v>
      </c>
      <c r="I2804" s="3">
        <v>2025</v>
      </c>
      <c r="J2804" s="3" t="str">
        <f>CONCATENATE("54820139449")</f>
        <v>54820139449</v>
      </c>
      <c r="K2804" s="3" t="s">
        <v>33</v>
      </c>
      <c r="L2804" s="3"/>
      <c r="M2804" s="3" t="s">
        <v>131</v>
      </c>
      <c r="N2804" s="3" t="str">
        <f>CONCATENATE("PTRRTT69R67A366H")</f>
        <v>PTRRTT69R67A366H</v>
      </c>
      <c r="O2804" s="3" t="s">
        <v>2932</v>
      </c>
      <c r="P2804" s="3" t="s">
        <v>36</v>
      </c>
      <c r="Q2804" s="3"/>
      <c r="R2804" s="4">
        <v>45996</v>
      </c>
      <c r="S2804" s="3" t="s">
        <v>37</v>
      </c>
      <c r="T2804" s="3" t="s">
        <v>38</v>
      </c>
      <c r="U2804" s="3" t="s">
        <v>39</v>
      </c>
      <c r="V2804" s="3">
        <v>117.23</v>
      </c>
      <c r="W2804" s="3">
        <v>49.82</v>
      </c>
      <c r="X2804" s="3">
        <v>47.19</v>
      </c>
      <c r="Y2804" s="3">
        <v>20.22</v>
      </c>
    </row>
    <row r="2805" spans="1:25" ht="60.75" x14ac:dyDescent="0.25">
      <c r="A2805" s="3" t="s">
        <v>26</v>
      </c>
      <c r="B2805" s="3" t="s">
        <v>27</v>
      </c>
      <c r="C2805" s="3" t="s">
        <v>28</v>
      </c>
      <c r="D2805" s="3" t="s">
        <v>50</v>
      </c>
      <c r="E2805" s="3" t="s">
        <v>147</v>
      </c>
      <c r="F2805" s="3" t="s">
        <v>52</v>
      </c>
      <c r="G2805" s="3" t="s">
        <v>147</v>
      </c>
      <c r="H2805" s="3" t="s">
        <v>45</v>
      </c>
      <c r="I2805" s="3">
        <v>2025</v>
      </c>
      <c r="J2805" s="3" t="str">
        <f>CONCATENATE("54820149729")</f>
        <v>54820149729</v>
      </c>
      <c r="K2805" s="3" t="s">
        <v>33</v>
      </c>
      <c r="L2805" s="3"/>
      <c r="M2805" s="3" t="s">
        <v>131</v>
      </c>
      <c r="N2805" s="3" t="str">
        <f>CONCATENATE("GNNRFO55D11L500N")</f>
        <v>GNNRFO55D11L500N</v>
      </c>
      <c r="O2805" s="3" t="s">
        <v>2933</v>
      </c>
      <c r="P2805" s="3" t="s">
        <v>36</v>
      </c>
      <c r="Q2805" s="3"/>
      <c r="R2805" s="4">
        <v>45996</v>
      </c>
      <c r="S2805" s="3" t="s">
        <v>37</v>
      </c>
      <c r="T2805" s="3" t="s">
        <v>38</v>
      </c>
      <c r="U2805" s="3" t="s">
        <v>39</v>
      </c>
      <c r="V2805" s="3">
        <v>232.5</v>
      </c>
      <c r="W2805" s="3">
        <v>98.81</v>
      </c>
      <c r="X2805" s="3">
        <v>93.58</v>
      </c>
      <c r="Y2805" s="3">
        <v>40.11</v>
      </c>
    </row>
    <row r="2806" spans="1:25" ht="60.75" x14ac:dyDescent="0.25">
      <c r="A2806" s="3" t="s">
        <v>26</v>
      </c>
      <c r="B2806" s="3" t="s">
        <v>27</v>
      </c>
      <c r="C2806" s="3" t="s">
        <v>28</v>
      </c>
      <c r="D2806" s="3" t="s">
        <v>29</v>
      </c>
      <c r="E2806" s="3" t="s">
        <v>101</v>
      </c>
      <c r="F2806" s="3" t="s">
        <v>31</v>
      </c>
      <c r="G2806" s="3" t="s">
        <v>101</v>
      </c>
      <c r="H2806" s="3" t="s">
        <v>32</v>
      </c>
      <c r="I2806" s="3">
        <v>2025</v>
      </c>
      <c r="J2806" s="3" t="str">
        <f>CONCATENATE("54820154083")</f>
        <v>54820154083</v>
      </c>
      <c r="K2806" s="3" t="s">
        <v>33</v>
      </c>
      <c r="L2806" s="3"/>
      <c r="M2806" s="3" t="s">
        <v>131</v>
      </c>
      <c r="N2806" s="3" t="str">
        <f>CONCATENATE("CRVLCU78D53I156K")</f>
        <v>CRVLCU78D53I156K</v>
      </c>
      <c r="O2806" s="3" t="s">
        <v>2934</v>
      </c>
      <c r="P2806" s="3" t="s">
        <v>36</v>
      </c>
      <c r="Q2806" s="3"/>
      <c r="R2806" s="4">
        <v>45996</v>
      </c>
      <c r="S2806" s="3" t="s">
        <v>37</v>
      </c>
      <c r="T2806" s="3" t="s">
        <v>38</v>
      </c>
      <c r="U2806" s="3" t="s">
        <v>39</v>
      </c>
      <c r="V2806" s="3">
        <v>105.79</v>
      </c>
      <c r="W2806" s="3">
        <v>44.96</v>
      </c>
      <c r="X2806" s="3">
        <v>42.58</v>
      </c>
      <c r="Y2806" s="3">
        <v>18.25</v>
      </c>
    </row>
    <row r="2807" spans="1:25" ht="60.75" x14ac:dyDescent="0.25">
      <c r="A2807" s="3" t="s">
        <v>26</v>
      </c>
      <c r="B2807" s="3" t="s">
        <v>27</v>
      </c>
      <c r="C2807" s="3" t="s">
        <v>28</v>
      </c>
      <c r="D2807" s="3" t="s">
        <v>29</v>
      </c>
      <c r="E2807" s="3" t="s">
        <v>47</v>
      </c>
      <c r="F2807" s="3" t="s">
        <v>31</v>
      </c>
      <c r="G2807" s="3" t="s">
        <v>47</v>
      </c>
      <c r="H2807" s="3" t="s">
        <v>48</v>
      </c>
      <c r="I2807" s="3">
        <v>2025</v>
      </c>
      <c r="J2807" s="3" t="str">
        <f>CONCATENATE("54820148200")</f>
        <v>54820148200</v>
      </c>
      <c r="K2807" s="3" t="s">
        <v>33</v>
      </c>
      <c r="L2807" s="3"/>
      <c r="M2807" s="3" t="s">
        <v>131</v>
      </c>
      <c r="N2807" s="3" t="str">
        <f>CONCATENATE("CRNBRN47S10D451H")</f>
        <v>CRNBRN47S10D451H</v>
      </c>
      <c r="O2807" s="3" t="s">
        <v>2935</v>
      </c>
      <c r="P2807" s="3" t="s">
        <v>36</v>
      </c>
      <c r="Q2807" s="3"/>
      <c r="R2807" s="4">
        <v>45996</v>
      </c>
      <c r="S2807" s="3" t="s">
        <v>37</v>
      </c>
      <c r="T2807" s="3" t="s">
        <v>38</v>
      </c>
      <c r="U2807" s="3" t="s">
        <v>39</v>
      </c>
      <c r="V2807" s="5">
        <v>1064.3800000000001</v>
      </c>
      <c r="W2807" s="3">
        <v>452.36</v>
      </c>
      <c r="X2807" s="3">
        <v>428.41</v>
      </c>
      <c r="Y2807" s="3">
        <v>183.61</v>
      </c>
    </row>
    <row r="2808" spans="1:25" ht="60.75" x14ac:dyDescent="0.25">
      <c r="A2808" s="3" t="s">
        <v>26</v>
      </c>
      <c r="B2808" s="3" t="s">
        <v>27</v>
      </c>
      <c r="C2808" s="3" t="s">
        <v>28</v>
      </c>
      <c r="D2808" s="3" t="s">
        <v>29</v>
      </c>
      <c r="E2808" s="3" t="s">
        <v>80</v>
      </c>
      <c r="F2808" s="3" t="s">
        <v>31</v>
      </c>
      <c r="G2808" s="3" t="s">
        <v>80</v>
      </c>
      <c r="H2808" s="3" t="s">
        <v>45</v>
      </c>
      <c r="I2808" s="3">
        <v>2025</v>
      </c>
      <c r="J2808" s="3" t="str">
        <f>CONCATENATE("54820131925")</f>
        <v>54820131925</v>
      </c>
      <c r="K2808" s="3" t="s">
        <v>33</v>
      </c>
      <c r="L2808" s="3"/>
      <c r="M2808" s="3" t="s">
        <v>131</v>
      </c>
      <c r="N2808" s="3" t="str">
        <f>CONCATENATE("PTRRNI80C66L500P")</f>
        <v>PTRRNI80C66L500P</v>
      </c>
      <c r="O2808" s="3" t="s">
        <v>2936</v>
      </c>
      <c r="P2808" s="3" t="s">
        <v>36</v>
      </c>
      <c r="Q2808" s="3"/>
      <c r="R2808" s="4">
        <v>45996</v>
      </c>
      <c r="S2808" s="3" t="s">
        <v>37</v>
      </c>
      <c r="T2808" s="3" t="s">
        <v>38</v>
      </c>
      <c r="U2808" s="3" t="s">
        <v>39</v>
      </c>
      <c r="V2808" s="3">
        <v>62.68</v>
      </c>
      <c r="W2808" s="3">
        <v>26.64</v>
      </c>
      <c r="X2808" s="3">
        <v>25.23</v>
      </c>
      <c r="Y2808" s="3">
        <v>10.81</v>
      </c>
    </row>
    <row r="2809" spans="1:25" ht="72.75" x14ac:dyDescent="0.25">
      <c r="A2809" s="3" t="s">
        <v>26</v>
      </c>
      <c r="B2809" s="3" t="s">
        <v>27</v>
      </c>
      <c r="C2809" s="3" t="s">
        <v>28</v>
      </c>
      <c r="D2809" s="3" t="s">
        <v>29</v>
      </c>
      <c r="E2809" s="3" t="s">
        <v>80</v>
      </c>
      <c r="F2809" s="3" t="s">
        <v>31</v>
      </c>
      <c r="G2809" s="3" t="s">
        <v>80</v>
      </c>
      <c r="H2809" s="3" t="s">
        <v>45</v>
      </c>
      <c r="I2809" s="3">
        <v>2025</v>
      </c>
      <c r="J2809" s="3" t="str">
        <f>CONCATENATE("54820069760")</f>
        <v>54820069760</v>
      </c>
      <c r="K2809" s="3" t="s">
        <v>33</v>
      </c>
      <c r="L2809" s="3"/>
      <c r="M2809" s="3" t="s">
        <v>131</v>
      </c>
      <c r="N2809" s="3" t="str">
        <f>CONCATENATE("TGNRST34H20D809G")</f>
        <v>TGNRST34H20D809G</v>
      </c>
      <c r="O2809" s="3" t="s">
        <v>2937</v>
      </c>
      <c r="P2809" s="3" t="s">
        <v>36</v>
      </c>
      <c r="Q2809" s="3"/>
      <c r="R2809" s="4">
        <v>45996</v>
      </c>
      <c r="S2809" s="3" t="s">
        <v>37</v>
      </c>
      <c r="T2809" s="3" t="s">
        <v>38</v>
      </c>
      <c r="U2809" s="3" t="s">
        <v>39</v>
      </c>
      <c r="V2809" s="3">
        <v>60.12</v>
      </c>
      <c r="W2809" s="3">
        <v>25.55</v>
      </c>
      <c r="X2809" s="3">
        <v>24.2</v>
      </c>
      <c r="Y2809" s="3">
        <v>10.37</v>
      </c>
    </row>
    <row r="2810" spans="1:25" ht="60.75" x14ac:dyDescent="0.25">
      <c r="A2810" s="3" t="s">
        <v>26</v>
      </c>
      <c r="B2810" s="3" t="s">
        <v>27</v>
      </c>
      <c r="C2810" s="3" t="s">
        <v>28</v>
      </c>
      <c r="D2810" s="3" t="s">
        <v>40</v>
      </c>
      <c r="E2810" s="3" t="s">
        <v>44</v>
      </c>
      <c r="F2810" s="3" t="s">
        <v>42</v>
      </c>
      <c r="G2810" s="3" t="s">
        <v>44</v>
      </c>
      <c r="H2810" s="3" t="s">
        <v>32</v>
      </c>
      <c r="I2810" s="3">
        <v>2025</v>
      </c>
      <c r="J2810" s="3" t="str">
        <f>CONCATENATE("54820079660")</f>
        <v>54820079660</v>
      </c>
      <c r="K2810" s="3" t="s">
        <v>33</v>
      </c>
      <c r="L2810" s="3"/>
      <c r="M2810" s="3" t="s">
        <v>131</v>
      </c>
      <c r="N2810" s="3" t="str">
        <f>CONCATENATE("SLTLCU82T63L191L")</f>
        <v>SLTLCU82T63L191L</v>
      </c>
      <c r="O2810" s="3" t="s">
        <v>2938</v>
      </c>
      <c r="P2810" s="3" t="s">
        <v>36</v>
      </c>
      <c r="Q2810" s="3"/>
      <c r="R2810" s="4">
        <v>45996</v>
      </c>
      <c r="S2810" s="3" t="s">
        <v>37</v>
      </c>
      <c r="T2810" s="3" t="s">
        <v>38</v>
      </c>
      <c r="U2810" s="3" t="s">
        <v>39</v>
      </c>
      <c r="V2810" s="3">
        <v>116.38</v>
      </c>
      <c r="W2810" s="3">
        <v>49.46</v>
      </c>
      <c r="X2810" s="3">
        <v>46.84</v>
      </c>
      <c r="Y2810" s="3">
        <v>20.079999999999998</v>
      </c>
    </row>
    <row r="2811" spans="1:25" ht="60.75" x14ac:dyDescent="0.25">
      <c r="A2811" s="3" t="s">
        <v>26</v>
      </c>
      <c r="B2811" s="3" t="s">
        <v>27</v>
      </c>
      <c r="C2811" s="3" t="s">
        <v>28</v>
      </c>
      <c r="D2811" s="3" t="s">
        <v>29</v>
      </c>
      <c r="E2811" s="3" t="s">
        <v>125</v>
      </c>
      <c r="F2811" s="3" t="s">
        <v>31</v>
      </c>
      <c r="G2811" s="3" t="s">
        <v>125</v>
      </c>
      <c r="H2811" s="3" t="s">
        <v>32</v>
      </c>
      <c r="I2811" s="3">
        <v>2025</v>
      </c>
      <c r="J2811" s="3" t="str">
        <f>CONCATENATE("54820104112")</f>
        <v>54820104112</v>
      </c>
      <c r="K2811" s="3" t="s">
        <v>33</v>
      </c>
      <c r="L2811" s="3"/>
      <c r="M2811" s="3" t="s">
        <v>131</v>
      </c>
      <c r="N2811" s="3" t="str">
        <f>CONCATENATE("PCCGNY80T70L366K")</f>
        <v>PCCGNY80T70L366K</v>
      </c>
      <c r="O2811" s="3" t="s">
        <v>2939</v>
      </c>
      <c r="P2811" s="3" t="s">
        <v>36</v>
      </c>
      <c r="Q2811" s="3"/>
      <c r="R2811" s="4">
        <v>45996</v>
      </c>
      <c r="S2811" s="3" t="s">
        <v>37</v>
      </c>
      <c r="T2811" s="3" t="s">
        <v>38</v>
      </c>
      <c r="U2811" s="3" t="s">
        <v>39</v>
      </c>
      <c r="V2811" s="3">
        <v>586.21</v>
      </c>
      <c r="W2811" s="3">
        <v>249.14</v>
      </c>
      <c r="X2811" s="3">
        <v>235.95</v>
      </c>
      <c r="Y2811" s="3">
        <v>101.12</v>
      </c>
    </row>
    <row r="2812" spans="1:25" ht="60.75" x14ac:dyDescent="0.25">
      <c r="A2812" s="3" t="s">
        <v>26</v>
      </c>
      <c r="B2812" s="3" t="s">
        <v>27</v>
      </c>
      <c r="C2812" s="3" t="s">
        <v>28</v>
      </c>
      <c r="D2812" s="3" t="s">
        <v>91</v>
      </c>
      <c r="E2812" s="3" t="s">
        <v>522</v>
      </c>
      <c r="F2812" s="3" t="s">
        <v>93</v>
      </c>
      <c r="G2812" s="3" t="s">
        <v>522</v>
      </c>
      <c r="H2812" s="3" t="s">
        <v>32</v>
      </c>
      <c r="I2812" s="3">
        <v>2025</v>
      </c>
      <c r="J2812" s="3" t="str">
        <f>CONCATENATE("54820141254")</f>
        <v>54820141254</v>
      </c>
      <c r="K2812" s="3" t="s">
        <v>33</v>
      </c>
      <c r="L2812" s="3"/>
      <c r="M2812" s="3" t="s">
        <v>131</v>
      </c>
      <c r="N2812" s="3" t="str">
        <f>CONCATENATE("SCGYRU76S05L191T")</f>
        <v>SCGYRU76S05L191T</v>
      </c>
      <c r="O2812" s="3" t="s">
        <v>2940</v>
      </c>
      <c r="P2812" s="3" t="s">
        <v>36</v>
      </c>
      <c r="Q2812" s="3"/>
      <c r="R2812" s="4">
        <v>45996</v>
      </c>
      <c r="S2812" s="3" t="s">
        <v>37</v>
      </c>
      <c r="T2812" s="3" t="s">
        <v>38</v>
      </c>
      <c r="U2812" s="3" t="s">
        <v>39</v>
      </c>
      <c r="V2812" s="3">
        <v>112.27</v>
      </c>
      <c r="W2812" s="3">
        <v>47.71</v>
      </c>
      <c r="X2812" s="3">
        <v>45.19</v>
      </c>
      <c r="Y2812" s="3">
        <v>19.37</v>
      </c>
    </row>
    <row r="2813" spans="1:25" ht="60.75" x14ac:dyDescent="0.25">
      <c r="A2813" s="3" t="s">
        <v>26</v>
      </c>
      <c r="B2813" s="3" t="s">
        <v>27</v>
      </c>
      <c r="C2813" s="3" t="s">
        <v>28</v>
      </c>
      <c r="D2813" s="3" t="s">
        <v>29</v>
      </c>
      <c r="E2813" s="3" t="s">
        <v>56</v>
      </c>
      <c r="F2813" s="3" t="s">
        <v>31</v>
      </c>
      <c r="G2813" s="3" t="s">
        <v>56</v>
      </c>
      <c r="H2813" s="3" t="s">
        <v>32</v>
      </c>
      <c r="I2813" s="3">
        <v>2025</v>
      </c>
      <c r="J2813" s="3" t="str">
        <f>CONCATENATE("54820115571")</f>
        <v>54820115571</v>
      </c>
      <c r="K2813" s="3" t="s">
        <v>33</v>
      </c>
      <c r="L2813" s="3"/>
      <c r="M2813" s="3" t="s">
        <v>131</v>
      </c>
      <c r="N2813" s="3" t="str">
        <f>CONCATENATE("PGNSRG48T27B474H")</f>
        <v>PGNSRG48T27B474H</v>
      </c>
      <c r="O2813" s="3" t="s">
        <v>2941</v>
      </c>
      <c r="P2813" s="3" t="s">
        <v>36</v>
      </c>
      <c r="Q2813" s="3"/>
      <c r="R2813" s="4">
        <v>45996</v>
      </c>
      <c r="S2813" s="3" t="s">
        <v>37</v>
      </c>
      <c r="T2813" s="3" t="s">
        <v>38</v>
      </c>
      <c r="U2813" s="3" t="s">
        <v>39</v>
      </c>
      <c r="V2813" s="3">
        <v>138.34</v>
      </c>
      <c r="W2813" s="3">
        <v>58.79</v>
      </c>
      <c r="X2813" s="3">
        <v>55.68</v>
      </c>
      <c r="Y2813" s="3">
        <v>23.87</v>
      </c>
    </row>
    <row r="2814" spans="1:25" ht="60.75" x14ac:dyDescent="0.25">
      <c r="A2814" s="3" t="s">
        <v>26</v>
      </c>
      <c r="B2814" s="3" t="s">
        <v>27</v>
      </c>
      <c r="C2814" s="3" t="s">
        <v>28</v>
      </c>
      <c r="D2814" s="3" t="s">
        <v>50</v>
      </c>
      <c r="E2814" s="3" t="s">
        <v>147</v>
      </c>
      <c r="F2814" s="3" t="s">
        <v>52</v>
      </c>
      <c r="G2814" s="3" t="s">
        <v>147</v>
      </c>
      <c r="H2814" s="3" t="s">
        <v>45</v>
      </c>
      <c r="I2814" s="3">
        <v>2025</v>
      </c>
      <c r="J2814" s="3" t="str">
        <f>CONCATENATE("54820086954")</f>
        <v>54820086954</v>
      </c>
      <c r="K2814" s="3" t="s">
        <v>33</v>
      </c>
      <c r="L2814" s="3"/>
      <c r="M2814" s="3" t="s">
        <v>131</v>
      </c>
      <c r="N2814" s="3" t="str">
        <f>CONCATENATE("GVNMRT61M68L500X")</f>
        <v>GVNMRT61M68L500X</v>
      </c>
      <c r="O2814" s="3" t="s">
        <v>2942</v>
      </c>
      <c r="P2814" s="3" t="s">
        <v>36</v>
      </c>
      <c r="Q2814" s="3"/>
      <c r="R2814" s="4">
        <v>45996</v>
      </c>
      <c r="S2814" s="3" t="s">
        <v>37</v>
      </c>
      <c r="T2814" s="3" t="s">
        <v>38</v>
      </c>
      <c r="U2814" s="3" t="s">
        <v>39</v>
      </c>
      <c r="V2814" s="3">
        <v>67.8</v>
      </c>
      <c r="W2814" s="3">
        <v>28.82</v>
      </c>
      <c r="X2814" s="3">
        <v>27.29</v>
      </c>
      <c r="Y2814" s="3">
        <v>11.69</v>
      </c>
    </row>
    <row r="2815" spans="1:25" ht="60.75" x14ac:dyDescent="0.25">
      <c r="A2815" s="3" t="s">
        <v>26</v>
      </c>
      <c r="B2815" s="3" t="s">
        <v>27</v>
      </c>
      <c r="C2815" s="3" t="s">
        <v>28</v>
      </c>
      <c r="D2815" s="3" t="s">
        <v>29</v>
      </c>
      <c r="E2815" s="3" t="s">
        <v>56</v>
      </c>
      <c r="F2815" s="3" t="s">
        <v>31</v>
      </c>
      <c r="G2815" s="3" t="s">
        <v>56</v>
      </c>
      <c r="H2815" s="3" t="s">
        <v>32</v>
      </c>
      <c r="I2815" s="3">
        <v>2025</v>
      </c>
      <c r="J2815" s="3" t="str">
        <f>CONCATENATE("54820090105")</f>
        <v>54820090105</v>
      </c>
      <c r="K2815" s="3" t="s">
        <v>33</v>
      </c>
      <c r="L2815" s="3"/>
      <c r="M2815" s="3" t="s">
        <v>131</v>
      </c>
      <c r="N2815" s="3" t="str">
        <f>CONCATENATE("GNTGLC82R08I156A")</f>
        <v>GNTGLC82R08I156A</v>
      </c>
      <c r="O2815" s="3" t="s">
        <v>2943</v>
      </c>
      <c r="P2815" s="3" t="s">
        <v>36</v>
      </c>
      <c r="Q2815" s="3"/>
      <c r="R2815" s="4">
        <v>45996</v>
      </c>
      <c r="S2815" s="3" t="s">
        <v>37</v>
      </c>
      <c r="T2815" s="3" t="s">
        <v>38</v>
      </c>
      <c r="U2815" s="3" t="s">
        <v>39</v>
      </c>
      <c r="V2815" s="3">
        <v>71.28</v>
      </c>
      <c r="W2815" s="3">
        <v>30.29</v>
      </c>
      <c r="X2815" s="3">
        <v>28.69</v>
      </c>
      <c r="Y2815" s="3">
        <v>12.3</v>
      </c>
    </row>
    <row r="2816" spans="1:25" ht="60.75" x14ac:dyDescent="0.25">
      <c r="A2816" s="3" t="s">
        <v>26</v>
      </c>
      <c r="B2816" s="3" t="s">
        <v>27</v>
      </c>
      <c r="C2816" s="3" t="s">
        <v>28</v>
      </c>
      <c r="D2816" s="3" t="s">
        <v>50</v>
      </c>
      <c r="E2816" s="3" t="s">
        <v>60</v>
      </c>
      <c r="F2816" s="3" t="s">
        <v>52</v>
      </c>
      <c r="G2816" s="3" t="s">
        <v>60</v>
      </c>
      <c r="H2816" s="3" t="s">
        <v>45</v>
      </c>
      <c r="I2816" s="3">
        <v>2025</v>
      </c>
      <c r="J2816" s="3" t="str">
        <f>CONCATENATE("54820091871")</f>
        <v>54820091871</v>
      </c>
      <c r="K2816" s="3" t="s">
        <v>33</v>
      </c>
      <c r="L2816" s="3"/>
      <c r="M2816" s="3" t="s">
        <v>131</v>
      </c>
      <c r="N2816" s="3" t="str">
        <f>CONCATENATE("BSSRTT60R63B352E")</f>
        <v>BSSRTT60R63B352E</v>
      </c>
      <c r="O2816" s="3" t="s">
        <v>2944</v>
      </c>
      <c r="P2816" s="3" t="s">
        <v>36</v>
      </c>
      <c r="Q2816" s="3"/>
      <c r="R2816" s="4">
        <v>45996</v>
      </c>
      <c r="S2816" s="3" t="s">
        <v>37</v>
      </c>
      <c r="T2816" s="3" t="s">
        <v>38</v>
      </c>
      <c r="U2816" s="3" t="s">
        <v>39</v>
      </c>
      <c r="V2816" s="3">
        <v>114.75</v>
      </c>
      <c r="W2816" s="3">
        <v>48.77</v>
      </c>
      <c r="X2816" s="3">
        <v>46.19</v>
      </c>
      <c r="Y2816" s="3">
        <v>19.79</v>
      </c>
    </row>
    <row r="2817" spans="1:25" ht="60.75" x14ac:dyDescent="0.25">
      <c r="A2817" s="3" t="s">
        <v>26</v>
      </c>
      <c r="B2817" s="3" t="s">
        <v>27</v>
      </c>
      <c r="C2817" s="3" t="s">
        <v>28</v>
      </c>
      <c r="D2817" s="3" t="s">
        <v>40</v>
      </c>
      <c r="E2817" s="3" t="s">
        <v>218</v>
      </c>
      <c r="F2817" s="3" t="s">
        <v>42</v>
      </c>
      <c r="G2817" s="3" t="s">
        <v>218</v>
      </c>
      <c r="H2817" s="3" t="s">
        <v>45</v>
      </c>
      <c r="I2817" s="3">
        <v>2025</v>
      </c>
      <c r="J2817" s="3" t="str">
        <f>CONCATENATE("54820089354")</f>
        <v>54820089354</v>
      </c>
      <c r="K2817" s="3" t="s">
        <v>33</v>
      </c>
      <c r="L2817" s="3"/>
      <c r="M2817" s="3" t="s">
        <v>131</v>
      </c>
      <c r="N2817" s="3" t="str">
        <f>CONCATENATE("VNNMLL62A55D488P")</f>
        <v>VNNMLL62A55D488P</v>
      </c>
      <c r="O2817" s="3" t="s">
        <v>2945</v>
      </c>
      <c r="P2817" s="3" t="s">
        <v>36</v>
      </c>
      <c r="Q2817" s="3"/>
      <c r="R2817" s="4">
        <v>45996</v>
      </c>
      <c r="S2817" s="3" t="s">
        <v>37</v>
      </c>
      <c r="T2817" s="3" t="s">
        <v>38</v>
      </c>
      <c r="U2817" s="3" t="s">
        <v>39</v>
      </c>
      <c r="V2817" s="3">
        <v>113.52</v>
      </c>
      <c r="W2817" s="3">
        <v>48.25</v>
      </c>
      <c r="X2817" s="3">
        <v>45.69</v>
      </c>
      <c r="Y2817" s="3">
        <v>19.579999999999998</v>
      </c>
    </row>
    <row r="2818" spans="1:25" ht="60.75" x14ac:dyDescent="0.25">
      <c r="A2818" s="3" t="s">
        <v>26</v>
      </c>
      <c r="B2818" s="3" t="s">
        <v>27</v>
      </c>
      <c r="C2818" s="3" t="s">
        <v>28</v>
      </c>
      <c r="D2818" s="3" t="s">
        <v>50</v>
      </c>
      <c r="E2818" s="3" t="s">
        <v>147</v>
      </c>
      <c r="F2818" s="3" t="s">
        <v>52</v>
      </c>
      <c r="G2818" s="3" t="s">
        <v>147</v>
      </c>
      <c r="H2818" s="3" t="s">
        <v>45</v>
      </c>
      <c r="I2818" s="3">
        <v>2025</v>
      </c>
      <c r="J2818" s="3" t="str">
        <f>CONCATENATE("54820104336")</f>
        <v>54820104336</v>
      </c>
      <c r="K2818" s="3" t="s">
        <v>33</v>
      </c>
      <c r="L2818" s="3"/>
      <c r="M2818" s="3" t="s">
        <v>131</v>
      </c>
      <c r="N2818" s="3" t="str">
        <f>CONCATENATE("LNGLRD52R10L500A")</f>
        <v>LNGLRD52R10L500A</v>
      </c>
      <c r="O2818" s="3" t="s">
        <v>2946</v>
      </c>
      <c r="P2818" s="3" t="s">
        <v>36</v>
      </c>
      <c r="Q2818" s="3"/>
      <c r="R2818" s="4">
        <v>45996</v>
      </c>
      <c r="S2818" s="3" t="s">
        <v>37</v>
      </c>
      <c r="T2818" s="3" t="s">
        <v>38</v>
      </c>
      <c r="U2818" s="3" t="s">
        <v>39</v>
      </c>
      <c r="V2818" s="3">
        <v>220.46</v>
      </c>
      <c r="W2818" s="3">
        <v>93.7</v>
      </c>
      <c r="X2818" s="3">
        <v>88.74</v>
      </c>
      <c r="Y2818" s="3">
        <v>38.020000000000003</v>
      </c>
    </row>
    <row r="2819" spans="1:25" ht="60.75" x14ac:dyDescent="0.25">
      <c r="A2819" s="3" t="s">
        <v>26</v>
      </c>
      <c r="B2819" s="3" t="s">
        <v>27</v>
      </c>
      <c r="C2819" s="3" t="s">
        <v>28</v>
      </c>
      <c r="D2819" s="3" t="s">
        <v>29</v>
      </c>
      <c r="E2819" s="3" t="s">
        <v>80</v>
      </c>
      <c r="F2819" s="3" t="s">
        <v>31</v>
      </c>
      <c r="G2819" s="3" t="s">
        <v>80</v>
      </c>
      <c r="H2819" s="3" t="s">
        <v>45</v>
      </c>
      <c r="I2819" s="3">
        <v>2025</v>
      </c>
      <c r="J2819" s="3" t="str">
        <f>CONCATENATE("54820062013")</f>
        <v>54820062013</v>
      </c>
      <c r="K2819" s="3" t="s">
        <v>33</v>
      </c>
      <c r="L2819" s="3"/>
      <c r="M2819" s="3" t="s">
        <v>131</v>
      </c>
      <c r="N2819" s="3" t="str">
        <f>CONCATENATE("PLZLSN55D12G453B")</f>
        <v>PLZLSN55D12G453B</v>
      </c>
      <c r="O2819" s="3" t="s">
        <v>2947</v>
      </c>
      <c r="P2819" s="3" t="s">
        <v>36</v>
      </c>
      <c r="Q2819" s="3"/>
      <c r="R2819" s="4">
        <v>45996</v>
      </c>
      <c r="S2819" s="3" t="s">
        <v>37</v>
      </c>
      <c r="T2819" s="3" t="s">
        <v>38</v>
      </c>
      <c r="U2819" s="3" t="s">
        <v>39</v>
      </c>
      <c r="V2819" s="3">
        <v>117.29</v>
      </c>
      <c r="W2819" s="3">
        <v>49.85</v>
      </c>
      <c r="X2819" s="3">
        <v>47.21</v>
      </c>
      <c r="Y2819" s="3">
        <v>20.23</v>
      </c>
    </row>
    <row r="2820" spans="1:25" ht="60.75" x14ac:dyDescent="0.25">
      <c r="A2820" s="3" t="s">
        <v>26</v>
      </c>
      <c r="B2820" s="3" t="s">
        <v>27</v>
      </c>
      <c r="C2820" s="3" t="s">
        <v>28</v>
      </c>
      <c r="D2820" s="3" t="s">
        <v>29</v>
      </c>
      <c r="E2820" s="3" t="s">
        <v>68</v>
      </c>
      <c r="F2820" s="3" t="s">
        <v>31</v>
      </c>
      <c r="G2820" s="3" t="s">
        <v>68</v>
      </c>
      <c r="H2820" s="3" t="s">
        <v>32</v>
      </c>
      <c r="I2820" s="3">
        <v>2025</v>
      </c>
      <c r="J2820" s="3" t="str">
        <f>CONCATENATE("54820135157")</f>
        <v>54820135157</v>
      </c>
      <c r="K2820" s="3" t="s">
        <v>33</v>
      </c>
      <c r="L2820" s="3"/>
      <c r="M2820" s="3" t="s">
        <v>131</v>
      </c>
      <c r="N2820" s="3" t="str">
        <f>CONCATENATE("PSRLCU97E28B474T")</f>
        <v>PSRLCU97E28B474T</v>
      </c>
      <c r="O2820" s="3" t="s">
        <v>2948</v>
      </c>
      <c r="P2820" s="3" t="s">
        <v>36</v>
      </c>
      <c r="Q2820" s="3"/>
      <c r="R2820" s="4">
        <v>45996</v>
      </c>
      <c r="S2820" s="3" t="s">
        <v>37</v>
      </c>
      <c r="T2820" s="3" t="s">
        <v>38</v>
      </c>
      <c r="U2820" s="3" t="s">
        <v>39</v>
      </c>
      <c r="V2820" s="3">
        <v>319.56</v>
      </c>
      <c r="W2820" s="3">
        <v>135.81</v>
      </c>
      <c r="X2820" s="3">
        <v>128.62</v>
      </c>
      <c r="Y2820" s="3">
        <v>55.13</v>
      </c>
    </row>
    <row r="2821" spans="1:25" ht="60.75" x14ac:dyDescent="0.25">
      <c r="A2821" s="3" t="s">
        <v>26</v>
      </c>
      <c r="B2821" s="3" t="s">
        <v>27</v>
      </c>
      <c r="C2821" s="3" t="s">
        <v>28</v>
      </c>
      <c r="D2821" s="3" t="s">
        <v>683</v>
      </c>
      <c r="E2821" s="3" t="s">
        <v>684</v>
      </c>
      <c r="F2821" s="3" t="s">
        <v>685</v>
      </c>
      <c r="G2821" s="3" t="s">
        <v>684</v>
      </c>
      <c r="H2821" s="3" t="s">
        <v>45</v>
      </c>
      <c r="I2821" s="3">
        <v>2025</v>
      </c>
      <c r="J2821" s="3" t="str">
        <f>CONCATENATE("54820158399")</f>
        <v>54820158399</v>
      </c>
      <c r="K2821" s="3" t="s">
        <v>33</v>
      </c>
      <c r="L2821" s="3"/>
      <c r="M2821" s="3" t="s">
        <v>131</v>
      </c>
      <c r="N2821" s="3" t="str">
        <f>CONCATENATE("MNTTZN57E66I681Z")</f>
        <v>MNTTZN57E66I681Z</v>
      </c>
      <c r="O2821" s="3" t="s">
        <v>2949</v>
      </c>
      <c r="P2821" s="3" t="s">
        <v>36</v>
      </c>
      <c r="Q2821" s="3"/>
      <c r="R2821" s="4">
        <v>45996</v>
      </c>
      <c r="S2821" s="3" t="s">
        <v>37</v>
      </c>
      <c r="T2821" s="3" t="s">
        <v>38</v>
      </c>
      <c r="U2821" s="3" t="s">
        <v>39</v>
      </c>
      <c r="V2821" s="3">
        <v>388.96</v>
      </c>
      <c r="W2821" s="3">
        <v>165.31</v>
      </c>
      <c r="X2821" s="3">
        <v>156.56</v>
      </c>
      <c r="Y2821" s="3">
        <v>67.09</v>
      </c>
    </row>
    <row r="2822" spans="1:25" ht="60.75" x14ac:dyDescent="0.25">
      <c r="A2822" s="3" t="s">
        <v>26</v>
      </c>
      <c r="B2822" s="3" t="s">
        <v>27</v>
      </c>
      <c r="C2822" s="3" t="s">
        <v>28</v>
      </c>
      <c r="D2822" s="3" t="s">
        <v>29</v>
      </c>
      <c r="E2822" s="3" t="s">
        <v>119</v>
      </c>
      <c r="F2822" s="3" t="s">
        <v>31</v>
      </c>
      <c r="G2822" s="3" t="s">
        <v>119</v>
      </c>
      <c r="H2822" s="3" t="s">
        <v>96</v>
      </c>
      <c r="I2822" s="3">
        <v>2025</v>
      </c>
      <c r="J2822" s="3" t="str">
        <f>CONCATENATE("54820170717")</f>
        <v>54820170717</v>
      </c>
      <c r="K2822" s="3" t="s">
        <v>33</v>
      </c>
      <c r="L2822" s="3"/>
      <c r="M2822" s="3" t="s">
        <v>131</v>
      </c>
      <c r="N2822" s="3" t="str">
        <f>CONCATENATE("SCRFNC49H67H588Y")</f>
        <v>SCRFNC49H67H588Y</v>
      </c>
      <c r="O2822" s="3" t="s">
        <v>2950</v>
      </c>
      <c r="P2822" s="3" t="s">
        <v>36</v>
      </c>
      <c r="Q2822" s="3"/>
      <c r="R2822" s="4">
        <v>45996</v>
      </c>
      <c r="S2822" s="3" t="s">
        <v>37</v>
      </c>
      <c r="T2822" s="3" t="s">
        <v>38</v>
      </c>
      <c r="U2822" s="3" t="s">
        <v>39</v>
      </c>
      <c r="V2822" s="3">
        <v>315.27999999999997</v>
      </c>
      <c r="W2822" s="3">
        <v>133.99</v>
      </c>
      <c r="X2822" s="3">
        <v>126.9</v>
      </c>
      <c r="Y2822" s="3">
        <v>54.39</v>
      </c>
    </row>
    <row r="2823" spans="1:25" ht="60.75" x14ac:dyDescent="0.25">
      <c r="A2823" s="3" t="s">
        <v>26</v>
      </c>
      <c r="B2823" s="3" t="s">
        <v>27</v>
      </c>
      <c r="C2823" s="3" t="s">
        <v>28</v>
      </c>
      <c r="D2823" s="3" t="s">
        <v>29</v>
      </c>
      <c r="E2823" s="3" t="s">
        <v>68</v>
      </c>
      <c r="F2823" s="3" t="s">
        <v>31</v>
      </c>
      <c r="G2823" s="3" t="s">
        <v>68</v>
      </c>
      <c r="H2823" s="3" t="s">
        <v>32</v>
      </c>
      <c r="I2823" s="3">
        <v>2025</v>
      </c>
      <c r="J2823" s="3" t="str">
        <f>CONCATENATE("54820167630")</f>
        <v>54820167630</v>
      </c>
      <c r="K2823" s="3" t="s">
        <v>33</v>
      </c>
      <c r="L2823" s="3"/>
      <c r="M2823" s="3" t="s">
        <v>131</v>
      </c>
      <c r="N2823" s="3" t="str">
        <f>CONCATENATE("PRTSNT65T59H501P")</f>
        <v>PRTSNT65T59H501P</v>
      </c>
      <c r="O2823" s="3" t="s">
        <v>2951</v>
      </c>
      <c r="P2823" s="3" t="s">
        <v>36</v>
      </c>
      <c r="Q2823" s="3"/>
      <c r="R2823" s="4">
        <v>45996</v>
      </c>
      <c r="S2823" s="3" t="s">
        <v>37</v>
      </c>
      <c r="T2823" s="3" t="s">
        <v>38</v>
      </c>
      <c r="U2823" s="3" t="s">
        <v>39</v>
      </c>
      <c r="V2823" s="3">
        <v>183.81</v>
      </c>
      <c r="W2823" s="3">
        <v>78.12</v>
      </c>
      <c r="X2823" s="3">
        <v>73.98</v>
      </c>
      <c r="Y2823" s="3">
        <v>31.71</v>
      </c>
    </row>
    <row r="2824" spans="1:25" ht="36.75" x14ac:dyDescent="0.25">
      <c r="A2824" s="3" t="s">
        <v>26</v>
      </c>
      <c r="B2824" s="3" t="s">
        <v>27</v>
      </c>
      <c r="C2824" s="3" t="s">
        <v>28</v>
      </c>
      <c r="D2824" s="3" t="s">
        <v>40</v>
      </c>
      <c r="E2824" s="3" t="s">
        <v>54</v>
      </c>
      <c r="F2824" s="3" t="s">
        <v>42</v>
      </c>
      <c r="G2824" s="3" t="s">
        <v>54</v>
      </c>
      <c r="H2824" s="3" t="s">
        <v>45</v>
      </c>
      <c r="I2824" s="3">
        <v>2025</v>
      </c>
      <c r="J2824" s="3" t="str">
        <f>CONCATENATE("54820170014")</f>
        <v>54820170014</v>
      </c>
      <c r="K2824" s="3" t="s">
        <v>33</v>
      </c>
      <c r="L2824" s="3"/>
      <c r="M2824" s="3" t="s">
        <v>131</v>
      </c>
      <c r="N2824" s="3" t="str">
        <f>CONCATENATE("02683880419")</f>
        <v>02683880419</v>
      </c>
      <c r="O2824" s="3" t="s">
        <v>2952</v>
      </c>
      <c r="P2824" s="3" t="s">
        <v>36</v>
      </c>
      <c r="Q2824" s="3"/>
      <c r="R2824" s="4">
        <v>45996</v>
      </c>
      <c r="S2824" s="3" t="s">
        <v>37</v>
      </c>
      <c r="T2824" s="3" t="s">
        <v>38</v>
      </c>
      <c r="U2824" s="3" t="s">
        <v>39</v>
      </c>
      <c r="V2824" s="3">
        <v>247.24</v>
      </c>
      <c r="W2824" s="3">
        <v>105.08</v>
      </c>
      <c r="X2824" s="3">
        <v>99.51</v>
      </c>
      <c r="Y2824" s="3">
        <v>42.65</v>
      </c>
    </row>
    <row r="2825" spans="1:25" ht="60.75" x14ac:dyDescent="0.25">
      <c r="A2825" s="3" t="s">
        <v>26</v>
      </c>
      <c r="B2825" s="3" t="s">
        <v>27</v>
      </c>
      <c r="C2825" s="3" t="s">
        <v>28</v>
      </c>
      <c r="D2825" s="3" t="s">
        <v>29</v>
      </c>
      <c r="E2825" s="3" t="s">
        <v>136</v>
      </c>
      <c r="F2825" s="3" t="s">
        <v>31</v>
      </c>
      <c r="G2825" s="3" t="s">
        <v>136</v>
      </c>
      <c r="H2825" s="3" t="s">
        <v>48</v>
      </c>
      <c r="I2825" s="3">
        <v>2025</v>
      </c>
      <c r="J2825" s="3" t="str">
        <f>CONCATENATE("54820201348")</f>
        <v>54820201348</v>
      </c>
      <c r="K2825" s="3" t="s">
        <v>33</v>
      </c>
      <c r="L2825" s="3"/>
      <c r="M2825" s="3" t="s">
        <v>131</v>
      </c>
      <c r="N2825" s="3" t="str">
        <f>CONCATENATE("STFFNC41T15I461C")</f>
        <v>STFFNC41T15I461C</v>
      </c>
      <c r="O2825" s="3" t="s">
        <v>2953</v>
      </c>
      <c r="P2825" s="3" t="s">
        <v>36</v>
      </c>
      <c r="Q2825" s="3"/>
      <c r="R2825" s="4">
        <v>45996</v>
      </c>
      <c r="S2825" s="3" t="s">
        <v>37</v>
      </c>
      <c r="T2825" s="3" t="s">
        <v>38</v>
      </c>
      <c r="U2825" s="3" t="s">
        <v>39</v>
      </c>
      <c r="V2825" s="3">
        <v>110.1</v>
      </c>
      <c r="W2825" s="3">
        <v>46.79</v>
      </c>
      <c r="X2825" s="3">
        <v>44.32</v>
      </c>
      <c r="Y2825" s="3">
        <v>18.989999999999998</v>
      </c>
    </row>
    <row r="2826" spans="1:25" ht="60.75" x14ac:dyDescent="0.25">
      <c r="A2826" s="3" t="s">
        <v>26</v>
      </c>
      <c r="B2826" s="3" t="s">
        <v>27</v>
      </c>
      <c r="C2826" s="3" t="s">
        <v>28</v>
      </c>
      <c r="D2826" s="3" t="s">
        <v>50</v>
      </c>
      <c r="E2826" s="3" t="s">
        <v>51</v>
      </c>
      <c r="F2826" s="3" t="s">
        <v>52</v>
      </c>
      <c r="G2826" s="3" t="s">
        <v>51</v>
      </c>
      <c r="H2826" s="3" t="s">
        <v>48</v>
      </c>
      <c r="I2826" s="3">
        <v>2025</v>
      </c>
      <c r="J2826" s="3" t="str">
        <f>CONCATENATE("54820160718")</f>
        <v>54820160718</v>
      </c>
      <c r="K2826" s="3" t="s">
        <v>33</v>
      </c>
      <c r="L2826" s="3"/>
      <c r="M2826" s="3" t="s">
        <v>131</v>
      </c>
      <c r="N2826" s="3" t="str">
        <f>CONCATENATE("CSVSDN75R47G453T")</f>
        <v>CSVSDN75R47G453T</v>
      </c>
      <c r="O2826" s="3" t="s">
        <v>2954</v>
      </c>
      <c r="P2826" s="3" t="s">
        <v>36</v>
      </c>
      <c r="Q2826" s="3"/>
      <c r="R2826" s="4">
        <v>45996</v>
      </c>
      <c r="S2826" s="3" t="s">
        <v>37</v>
      </c>
      <c r="T2826" s="3" t="s">
        <v>38</v>
      </c>
      <c r="U2826" s="3" t="s">
        <v>39</v>
      </c>
      <c r="V2826" s="3">
        <v>197.17</v>
      </c>
      <c r="W2826" s="3">
        <v>83.8</v>
      </c>
      <c r="X2826" s="3">
        <v>79.36</v>
      </c>
      <c r="Y2826" s="3">
        <v>34.01</v>
      </c>
    </row>
    <row r="2827" spans="1:25" ht="60.75" x14ac:dyDescent="0.25">
      <c r="A2827" s="3" t="s">
        <v>26</v>
      </c>
      <c r="B2827" s="3" t="s">
        <v>27</v>
      </c>
      <c r="C2827" s="3" t="s">
        <v>28</v>
      </c>
      <c r="D2827" s="3" t="s">
        <v>50</v>
      </c>
      <c r="E2827" s="3" t="s">
        <v>60</v>
      </c>
      <c r="F2827" s="3" t="s">
        <v>52</v>
      </c>
      <c r="G2827" s="3" t="s">
        <v>60</v>
      </c>
      <c r="H2827" s="3" t="s">
        <v>45</v>
      </c>
      <c r="I2827" s="3">
        <v>2025</v>
      </c>
      <c r="J2827" s="3" t="str">
        <f>CONCATENATE("54820207337")</f>
        <v>54820207337</v>
      </c>
      <c r="K2827" s="3" t="s">
        <v>33</v>
      </c>
      <c r="L2827" s="3"/>
      <c r="M2827" s="3" t="s">
        <v>131</v>
      </c>
      <c r="N2827" s="3" t="str">
        <f>CONCATENATE("CTNGLN59A56I654R")</f>
        <v>CTNGLN59A56I654R</v>
      </c>
      <c r="O2827" s="3" t="s">
        <v>2955</v>
      </c>
      <c r="P2827" s="3" t="s">
        <v>36</v>
      </c>
      <c r="Q2827" s="3"/>
      <c r="R2827" s="4">
        <v>45996</v>
      </c>
      <c r="S2827" s="3" t="s">
        <v>37</v>
      </c>
      <c r="T2827" s="3" t="s">
        <v>38</v>
      </c>
      <c r="U2827" s="3" t="s">
        <v>39</v>
      </c>
      <c r="V2827" s="3">
        <v>211.13</v>
      </c>
      <c r="W2827" s="3">
        <v>89.73</v>
      </c>
      <c r="X2827" s="3">
        <v>84.98</v>
      </c>
      <c r="Y2827" s="3">
        <v>36.42</v>
      </c>
    </row>
    <row r="2828" spans="1:25" ht="36.75" x14ac:dyDescent="0.25">
      <c r="A2828" s="3" t="s">
        <v>26</v>
      </c>
      <c r="B2828" s="3" t="s">
        <v>27</v>
      </c>
      <c r="C2828" s="3" t="s">
        <v>28</v>
      </c>
      <c r="D2828" s="3" t="s">
        <v>50</v>
      </c>
      <c r="E2828" s="3" t="s">
        <v>147</v>
      </c>
      <c r="F2828" s="3" t="s">
        <v>52</v>
      </c>
      <c r="G2828" s="3" t="s">
        <v>147</v>
      </c>
      <c r="H2828" s="3" t="s">
        <v>45</v>
      </c>
      <c r="I2828" s="3">
        <v>2025</v>
      </c>
      <c r="J2828" s="3" t="str">
        <f>CONCATENATE("54820136643")</f>
        <v>54820136643</v>
      </c>
      <c r="K2828" s="3" t="s">
        <v>33</v>
      </c>
      <c r="L2828" s="3"/>
      <c r="M2828" s="3" t="s">
        <v>131</v>
      </c>
      <c r="N2828" s="3" t="str">
        <f>CONCATENATE("00653460410")</f>
        <v>00653460410</v>
      </c>
      <c r="O2828" s="3" t="s">
        <v>2956</v>
      </c>
      <c r="P2828" s="3" t="s">
        <v>36</v>
      </c>
      <c r="Q2828" s="3"/>
      <c r="R2828" s="4">
        <v>45996</v>
      </c>
      <c r="S2828" s="3" t="s">
        <v>37</v>
      </c>
      <c r="T2828" s="3" t="s">
        <v>38</v>
      </c>
      <c r="U2828" s="3" t="s">
        <v>39</v>
      </c>
      <c r="V2828" s="3">
        <v>810.82</v>
      </c>
      <c r="W2828" s="3">
        <v>344.6</v>
      </c>
      <c r="X2828" s="3">
        <v>326.36</v>
      </c>
      <c r="Y2828" s="3">
        <v>139.86000000000001</v>
      </c>
    </row>
    <row r="2829" spans="1:25" ht="60.75" x14ac:dyDescent="0.25">
      <c r="A2829" s="3" t="s">
        <v>26</v>
      </c>
      <c r="B2829" s="3" t="s">
        <v>27</v>
      </c>
      <c r="C2829" s="3" t="s">
        <v>28</v>
      </c>
      <c r="D2829" s="3" t="s">
        <v>50</v>
      </c>
      <c r="E2829" s="3" t="s">
        <v>147</v>
      </c>
      <c r="F2829" s="3" t="s">
        <v>52</v>
      </c>
      <c r="G2829" s="3" t="s">
        <v>147</v>
      </c>
      <c r="H2829" s="3" t="s">
        <v>45</v>
      </c>
      <c r="I2829" s="3">
        <v>2025</v>
      </c>
      <c r="J2829" s="3" t="str">
        <f>CONCATENATE("54820132725")</f>
        <v>54820132725</v>
      </c>
      <c r="K2829" s="3" t="s">
        <v>33</v>
      </c>
      <c r="L2829" s="3"/>
      <c r="M2829" s="3" t="s">
        <v>131</v>
      </c>
      <c r="N2829" s="3" t="str">
        <f>CONCATENATE("TMNPRZ58M14L500M")</f>
        <v>TMNPRZ58M14L500M</v>
      </c>
      <c r="O2829" s="3" t="s">
        <v>2957</v>
      </c>
      <c r="P2829" s="3" t="s">
        <v>36</v>
      </c>
      <c r="Q2829" s="3"/>
      <c r="R2829" s="4">
        <v>45996</v>
      </c>
      <c r="S2829" s="3" t="s">
        <v>37</v>
      </c>
      <c r="T2829" s="3" t="s">
        <v>38</v>
      </c>
      <c r="U2829" s="3" t="s">
        <v>39</v>
      </c>
      <c r="V2829" s="3">
        <v>101.96</v>
      </c>
      <c r="W2829" s="3">
        <v>43.33</v>
      </c>
      <c r="X2829" s="3">
        <v>41.04</v>
      </c>
      <c r="Y2829" s="3">
        <v>17.59</v>
      </c>
    </row>
    <row r="2830" spans="1:25" ht="36.75" x14ac:dyDescent="0.25">
      <c r="A2830" s="3" t="s">
        <v>26</v>
      </c>
      <c r="B2830" s="3" t="s">
        <v>27</v>
      </c>
      <c r="C2830" s="3" t="s">
        <v>28</v>
      </c>
      <c r="D2830" s="3" t="s">
        <v>50</v>
      </c>
      <c r="E2830" s="3" t="s">
        <v>147</v>
      </c>
      <c r="F2830" s="3" t="s">
        <v>52</v>
      </c>
      <c r="G2830" s="3" t="s">
        <v>147</v>
      </c>
      <c r="H2830" s="3" t="s">
        <v>45</v>
      </c>
      <c r="I2830" s="3">
        <v>2025</v>
      </c>
      <c r="J2830" s="3" t="str">
        <f>CONCATENATE("54820145750")</f>
        <v>54820145750</v>
      </c>
      <c r="K2830" s="3" t="s">
        <v>33</v>
      </c>
      <c r="L2830" s="3"/>
      <c r="M2830" s="3" t="s">
        <v>131</v>
      </c>
      <c r="N2830" s="3" t="str">
        <f>CONCATENATE("02620580411")</f>
        <v>02620580411</v>
      </c>
      <c r="O2830" s="3" t="s">
        <v>184</v>
      </c>
      <c r="P2830" s="3" t="s">
        <v>36</v>
      </c>
      <c r="Q2830" s="3"/>
      <c r="R2830" s="4">
        <v>45996</v>
      </c>
      <c r="S2830" s="3" t="s">
        <v>37</v>
      </c>
      <c r="T2830" s="3" t="s">
        <v>38</v>
      </c>
      <c r="U2830" s="3" t="s">
        <v>39</v>
      </c>
      <c r="V2830" s="3">
        <v>290.94</v>
      </c>
      <c r="W2830" s="3">
        <v>123.65</v>
      </c>
      <c r="X2830" s="3">
        <v>117.1</v>
      </c>
      <c r="Y2830" s="3">
        <v>50.19</v>
      </c>
    </row>
    <row r="2831" spans="1:25" ht="60.75" x14ac:dyDescent="0.25">
      <c r="A2831" s="3" t="s">
        <v>26</v>
      </c>
      <c r="B2831" s="3" t="s">
        <v>27</v>
      </c>
      <c r="C2831" s="3" t="s">
        <v>28</v>
      </c>
      <c r="D2831" s="3" t="s">
        <v>29</v>
      </c>
      <c r="E2831" s="3" t="s">
        <v>182</v>
      </c>
      <c r="F2831" s="3" t="s">
        <v>31</v>
      </c>
      <c r="G2831" s="3" t="s">
        <v>182</v>
      </c>
      <c r="H2831" s="3" t="s">
        <v>45</v>
      </c>
      <c r="I2831" s="3">
        <v>2025</v>
      </c>
      <c r="J2831" s="3" t="str">
        <f>CONCATENATE("54820153655")</f>
        <v>54820153655</v>
      </c>
      <c r="K2831" s="3" t="s">
        <v>33</v>
      </c>
      <c r="L2831" s="3"/>
      <c r="M2831" s="3" t="s">
        <v>131</v>
      </c>
      <c r="N2831" s="3" t="str">
        <f>CONCATENATE("FRMGLC79E12L500W")</f>
        <v>FRMGLC79E12L500W</v>
      </c>
      <c r="O2831" s="3" t="s">
        <v>2958</v>
      </c>
      <c r="P2831" s="3" t="s">
        <v>36</v>
      </c>
      <c r="Q2831" s="3"/>
      <c r="R2831" s="4">
        <v>45996</v>
      </c>
      <c r="S2831" s="3" t="s">
        <v>37</v>
      </c>
      <c r="T2831" s="3" t="s">
        <v>38</v>
      </c>
      <c r="U2831" s="3" t="s">
        <v>39</v>
      </c>
      <c r="V2831" s="3">
        <v>389.01</v>
      </c>
      <c r="W2831" s="3">
        <v>165.33</v>
      </c>
      <c r="X2831" s="3">
        <v>156.58000000000001</v>
      </c>
      <c r="Y2831" s="3">
        <v>67.099999999999994</v>
      </c>
    </row>
    <row r="2832" spans="1:25" ht="60.75" x14ac:dyDescent="0.25">
      <c r="A2832" s="3" t="s">
        <v>26</v>
      </c>
      <c r="B2832" s="3" t="s">
        <v>27</v>
      </c>
      <c r="C2832" s="3" t="s">
        <v>28</v>
      </c>
      <c r="D2832" s="3" t="s">
        <v>29</v>
      </c>
      <c r="E2832" s="3" t="s">
        <v>80</v>
      </c>
      <c r="F2832" s="3" t="s">
        <v>31</v>
      </c>
      <c r="G2832" s="3" t="s">
        <v>80</v>
      </c>
      <c r="H2832" s="3" t="s">
        <v>45</v>
      </c>
      <c r="I2832" s="3">
        <v>2025</v>
      </c>
      <c r="J2832" s="3" t="str">
        <f>CONCATENATE("54820134788")</f>
        <v>54820134788</v>
      </c>
      <c r="K2832" s="3" t="s">
        <v>33</v>
      </c>
      <c r="L2832" s="3"/>
      <c r="M2832" s="3" t="s">
        <v>131</v>
      </c>
      <c r="N2832" s="3" t="str">
        <f>CONCATENATE("GMBGPP40C58F347S")</f>
        <v>GMBGPP40C58F347S</v>
      </c>
      <c r="O2832" s="3" t="s">
        <v>2959</v>
      </c>
      <c r="P2832" s="3" t="s">
        <v>36</v>
      </c>
      <c r="Q2832" s="3"/>
      <c r="R2832" s="4">
        <v>45996</v>
      </c>
      <c r="S2832" s="3" t="s">
        <v>37</v>
      </c>
      <c r="T2832" s="3" t="s">
        <v>38</v>
      </c>
      <c r="U2832" s="3" t="s">
        <v>39</v>
      </c>
      <c r="V2832" s="3">
        <v>530.73</v>
      </c>
      <c r="W2832" s="3">
        <v>225.56</v>
      </c>
      <c r="X2832" s="3">
        <v>213.62</v>
      </c>
      <c r="Y2832" s="3">
        <v>91.55</v>
      </c>
    </row>
    <row r="2833" spans="1:25" ht="60.75" x14ac:dyDescent="0.25">
      <c r="A2833" s="3" t="s">
        <v>26</v>
      </c>
      <c r="B2833" s="3" t="s">
        <v>27</v>
      </c>
      <c r="C2833" s="3" t="s">
        <v>28</v>
      </c>
      <c r="D2833" s="3" t="s">
        <v>29</v>
      </c>
      <c r="E2833" s="3" t="s">
        <v>80</v>
      </c>
      <c r="F2833" s="3" t="s">
        <v>31</v>
      </c>
      <c r="G2833" s="3" t="s">
        <v>80</v>
      </c>
      <c r="H2833" s="3" t="s">
        <v>45</v>
      </c>
      <c r="I2833" s="3">
        <v>2025</v>
      </c>
      <c r="J2833" s="3" t="str">
        <f>CONCATENATE("54820146220")</f>
        <v>54820146220</v>
      </c>
      <c r="K2833" s="3" t="s">
        <v>33</v>
      </c>
      <c r="L2833" s="3"/>
      <c r="M2833" s="3" t="s">
        <v>131</v>
      </c>
      <c r="N2833" s="3" t="str">
        <f>CONCATENATE("MCCSMN70D67G453S")</f>
        <v>MCCSMN70D67G453S</v>
      </c>
      <c r="O2833" s="3" t="s">
        <v>2960</v>
      </c>
      <c r="P2833" s="3" t="s">
        <v>36</v>
      </c>
      <c r="Q2833" s="3"/>
      <c r="R2833" s="4">
        <v>45996</v>
      </c>
      <c r="S2833" s="3" t="s">
        <v>37</v>
      </c>
      <c r="T2833" s="3" t="s">
        <v>38</v>
      </c>
      <c r="U2833" s="3" t="s">
        <v>39</v>
      </c>
      <c r="V2833" s="3">
        <v>502.02</v>
      </c>
      <c r="W2833" s="3">
        <v>213.36</v>
      </c>
      <c r="X2833" s="3">
        <v>202.06</v>
      </c>
      <c r="Y2833" s="3">
        <v>86.6</v>
      </c>
    </row>
    <row r="2834" spans="1:25" ht="72.75" x14ac:dyDescent="0.25">
      <c r="A2834" s="3" t="s">
        <v>26</v>
      </c>
      <c r="B2834" s="3" t="s">
        <v>27</v>
      </c>
      <c r="C2834" s="3" t="s">
        <v>28</v>
      </c>
      <c r="D2834" s="3" t="s">
        <v>50</v>
      </c>
      <c r="E2834" s="3" t="s">
        <v>60</v>
      </c>
      <c r="F2834" s="3" t="s">
        <v>52</v>
      </c>
      <c r="G2834" s="3" t="s">
        <v>60</v>
      </c>
      <c r="H2834" s="3" t="s">
        <v>45</v>
      </c>
      <c r="I2834" s="3">
        <v>2025</v>
      </c>
      <c r="J2834" s="3" t="str">
        <f>CONCATENATE("54820156203")</f>
        <v>54820156203</v>
      </c>
      <c r="K2834" s="3" t="s">
        <v>33</v>
      </c>
      <c r="L2834" s="3"/>
      <c r="M2834" s="3" t="s">
        <v>131</v>
      </c>
      <c r="N2834" s="3" t="str">
        <f>CONCATENATE("MRTLCN51M51G618A")</f>
        <v>MRTLCN51M51G618A</v>
      </c>
      <c r="O2834" s="3" t="s">
        <v>2961</v>
      </c>
      <c r="P2834" s="3" t="s">
        <v>36</v>
      </c>
      <c r="Q2834" s="3"/>
      <c r="R2834" s="4">
        <v>45996</v>
      </c>
      <c r="S2834" s="3" t="s">
        <v>37</v>
      </c>
      <c r="T2834" s="3" t="s">
        <v>38</v>
      </c>
      <c r="U2834" s="3" t="s">
        <v>39</v>
      </c>
      <c r="V2834" s="3">
        <v>60.49</v>
      </c>
      <c r="W2834" s="3">
        <v>25.71</v>
      </c>
      <c r="X2834" s="3">
        <v>24.35</v>
      </c>
      <c r="Y2834" s="3">
        <v>10.43</v>
      </c>
    </row>
    <row r="2835" spans="1:25" ht="60.75" x14ac:dyDescent="0.25">
      <c r="A2835" s="3" t="s">
        <v>26</v>
      </c>
      <c r="B2835" s="3" t="s">
        <v>27</v>
      </c>
      <c r="C2835" s="3" t="s">
        <v>28</v>
      </c>
      <c r="D2835" s="3" t="s">
        <v>29</v>
      </c>
      <c r="E2835" s="3" t="s">
        <v>136</v>
      </c>
      <c r="F2835" s="3" t="s">
        <v>31</v>
      </c>
      <c r="G2835" s="3" t="s">
        <v>136</v>
      </c>
      <c r="H2835" s="3" t="s">
        <v>48</v>
      </c>
      <c r="I2835" s="3">
        <v>2025</v>
      </c>
      <c r="J2835" s="3" t="str">
        <f>CONCATENATE("54820123237")</f>
        <v>54820123237</v>
      </c>
      <c r="K2835" s="3" t="s">
        <v>33</v>
      </c>
      <c r="L2835" s="3"/>
      <c r="M2835" s="3" t="s">
        <v>131</v>
      </c>
      <c r="N2835" s="3" t="str">
        <f>CONCATENATE("PRNTLI40M44D965Y")</f>
        <v>PRNTLI40M44D965Y</v>
      </c>
      <c r="O2835" s="3" t="s">
        <v>2962</v>
      </c>
      <c r="P2835" s="3" t="s">
        <v>36</v>
      </c>
      <c r="Q2835" s="3"/>
      <c r="R2835" s="4">
        <v>45996</v>
      </c>
      <c r="S2835" s="3" t="s">
        <v>37</v>
      </c>
      <c r="T2835" s="3" t="s">
        <v>38</v>
      </c>
      <c r="U2835" s="3" t="s">
        <v>39</v>
      </c>
      <c r="V2835" s="3">
        <v>70.39</v>
      </c>
      <c r="W2835" s="3">
        <v>29.92</v>
      </c>
      <c r="X2835" s="3">
        <v>28.33</v>
      </c>
      <c r="Y2835" s="3">
        <v>12.14</v>
      </c>
    </row>
    <row r="2836" spans="1:25" ht="60.75" x14ac:dyDescent="0.25">
      <c r="A2836" s="3" t="s">
        <v>26</v>
      </c>
      <c r="B2836" s="3" t="s">
        <v>27</v>
      </c>
      <c r="C2836" s="3" t="s">
        <v>28</v>
      </c>
      <c r="D2836" s="3" t="s">
        <v>29</v>
      </c>
      <c r="E2836" s="3" t="s">
        <v>47</v>
      </c>
      <c r="F2836" s="3" t="s">
        <v>31</v>
      </c>
      <c r="G2836" s="3" t="s">
        <v>47</v>
      </c>
      <c r="H2836" s="3" t="s">
        <v>45</v>
      </c>
      <c r="I2836" s="3">
        <v>2025</v>
      </c>
      <c r="J2836" s="3" t="str">
        <f>CONCATENATE("54820211396")</f>
        <v>54820211396</v>
      </c>
      <c r="K2836" s="3" t="s">
        <v>33</v>
      </c>
      <c r="L2836" s="3"/>
      <c r="M2836" s="3" t="s">
        <v>131</v>
      </c>
      <c r="N2836" s="3" t="str">
        <f>CONCATENATE("PSCMSN41T71I251I")</f>
        <v>PSCMSN41T71I251I</v>
      </c>
      <c r="O2836" s="3" t="s">
        <v>2963</v>
      </c>
      <c r="P2836" s="3" t="s">
        <v>36</v>
      </c>
      <c r="Q2836" s="3"/>
      <c r="R2836" s="4">
        <v>45996</v>
      </c>
      <c r="S2836" s="3" t="s">
        <v>37</v>
      </c>
      <c r="T2836" s="3" t="s">
        <v>38</v>
      </c>
      <c r="U2836" s="3" t="s">
        <v>39</v>
      </c>
      <c r="V2836" s="3">
        <v>69.599999999999994</v>
      </c>
      <c r="W2836" s="3">
        <v>29.58</v>
      </c>
      <c r="X2836" s="3">
        <v>28.01</v>
      </c>
      <c r="Y2836" s="3">
        <v>12.01</v>
      </c>
    </row>
    <row r="2837" spans="1:25" ht="60.75" x14ac:dyDescent="0.25">
      <c r="A2837" s="3" t="s">
        <v>26</v>
      </c>
      <c r="B2837" s="3" t="s">
        <v>27</v>
      </c>
      <c r="C2837" s="3" t="s">
        <v>28</v>
      </c>
      <c r="D2837" s="3" t="s">
        <v>29</v>
      </c>
      <c r="E2837" s="3" t="s">
        <v>72</v>
      </c>
      <c r="F2837" s="3" t="s">
        <v>31</v>
      </c>
      <c r="G2837" s="3" t="s">
        <v>72</v>
      </c>
      <c r="H2837" s="3" t="s">
        <v>45</v>
      </c>
      <c r="I2837" s="3">
        <v>2025</v>
      </c>
      <c r="J2837" s="3" t="str">
        <f>CONCATENATE("54820239132")</f>
        <v>54820239132</v>
      </c>
      <c r="K2837" s="3" t="s">
        <v>33</v>
      </c>
      <c r="L2837" s="3"/>
      <c r="M2837" s="3" t="s">
        <v>131</v>
      </c>
      <c r="N2837" s="3" t="str">
        <f>CONCATENATE("FRRCHR86M54B352T")</f>
        <v>FRRCHR86M54B352T</v>
      </c>
      <c r="O2837" s="3" t="s">
        <v>2964</v>
      </c>
      <c r="P2837" s="3" t="s">
        <v>36</v>
      </c>
      <c r="Q2837" s="3"/>
      <c r="R2837" s="4">
        <v>45996</v>
      </c>
      <c r="S2837" s="3" t="s">
        <v>37</v>
      </c>
      <c r="T2837" s="3" t="s">
        <v>38</v>
      </c>
      <c r="U2837" s="3" t="s">
        <v>39</v>
      </c>
      <c r="V2837" s="5">
        <v>1050.18</v>
      </c>
      <c r="W2837" s="3">
        <v>446.33</v>
      </c>
      <c r="X2837" s="3">
        <v>422.7</v>
      </c>
      <c r="Y2837" s="3">
        <v>181.15</v>
      </c>
    </row>
    <row r="2838" spans="1:25" ht="60.75" x14ac:dyDescent="0.25">
      <c r="A2838" s="3" t="s">
        <v>26</v>
      </c>
      <c r="B2838" s="3" t="s">
        <v>27</v>
      </c>
      <c r="C2838" s="3" t="s">
        <v>28</v>
      </c>
      <c r="D2838" s="3" t="s">
        <v>29</v>
      </c>
      <c r="E2838" s="3" t="s">
        <v>228</v>
      </c>
      <c r="F2838" s="3" t="s">
        <v>31</v>
      </c>
      <c r="G2838" s="3" t="s">
        <v>228</v>
      </c>
      <c r="H2838" s="3" t="s">
        <v>45</v>
      </c>
      <c r="I2838" s="3">
        <v>2025</v>
      </c>
      <c r="J2838" s="3" t="str">
        <f>CONCATENATE("54820033261")</f>
        <v>54820033261</v>
      </c>
      <c r="K2838" s="3" t="s">
        <v>33</v>
      </c>
      <c r="L2838" s="3"/>
      <c r="M2838" s="3" t="s">
        <v>131</v>
      </c>
      <c r="N2838" s="3" t="str">
        <f>CONCATENATE("BNCFNC76L11D749O")</f>
        <v>BNCFNC76L11D749O</v>
      </c>
      <c r="O2838" s="3" t="s">
        <v>2965</v>
      </c>
      <c r="P2838" s="3" t="s">
        <v>36</v>
      </c>
      <c r="Q2838" s="3"/>
      <c r="R2838" s="4">
        <v>45996</v>
      </c>
      <c r="S2838" s="3" t="s">
        <v>37</v>
      </c>
      <c r="T2838" s="3" t="s">
        <v>38</v>
      </c>
      <c r="U2838" s="3" t="s">
        <v>39</v>
      </c>
      <c r="V2838" s="3">
        <v>127.91</v>
      </c>
      <c r="W2838" s="3">
        <v>54.36</v>
      </c>
      <c r="X2838" s="3">
        <v>51.48</v>
      </c>
      <c r="Y2838" s="3">
        <v>22.07</v>
      </c>
    </row>
    <row r="2839" spans="1:25" ht="60.75" x14ac:dyDescent="0.25">
      <c r="A2839" s="3" t="s">
        <v>26</v>
      </c>
      <c r="B2839" s="3" t="s">
        <v>27</v>
      </c>
      <c r="C2839" s="3" t="s">
        <v>28</v>
      </c>
      <c r="D2839" s="3" t="s">
        <v>50</v>
      </c>
      <c r="E2839" s="3" t="s">
        <v>107</v>
      </c>
      <c r="F2839" s="3" t="s">
        <v>52</v>
      </c>
      <c r="G2839" s="3" t="s">
        <v>107</v>
      </c>
      <c r="H2839" s="3" t="s">
        <v>48</v>
      </c>
      <c r="I2839" s="3">
        <v>2025</v>
      </c>
      <c r="J2839" s="3" t="str">
        <f>CONCATENATE("54820016589")</f>
        <v>54820016589</v>
      </c>
      <c r="K2839" s="3" t="s">
        <v>33</v>
      </c>
      <c r="L2839" s="3"/>
      <c r="M2839" s="3" t="s">
        <v>131</v>
      </c>
      <c r="N2839" s="3" t="str">
        <f>CONCATENATE("NCNDGI81P17E388R")</f>
        <v>NCNDGI81P17E388R</v>
      </c>
      <c r="O2839" s="3" t="s">
        <v>2966</v>
      </c>
      <c r="P2839" s="3" t="s">
        <v>36</v>
      </c>
      <c r="Q2839" s="3"/>
      <c r="R2839" s="4">
        <v>45996</v>
      </c>
      <c r="S2839" s="3" t="s">
        <v>37</v>
      </c>
      <c r="T2839" s="3" t="s">
        <v>38</v>
      </c>
      <c r="U2839" s="3" t="s">
        <v>39</v>
      </c>
      <c r="V2839" s="3">
        <v>111.57</v>
      </c>
      <c r="W2839" s="3">
        <v>47.42</v>
      </c>
      <c r="X2839" s="3">
        <v>44.91</v>
      </c>
      <c r="Y2839" s="3">
        <v>19.239999999999998</v>
      </c>
    </row>
    <row r="2840" spans="1:25" ht="60.75" x14ac:dyDescent="0.25">
      <c r="A2840" s="3" t="s">
        <v>26</v>
      </c>
      <c r="B2840" s="3" t="s">
        <v>27</v>
      </c>
      <c r="C2840" s="3" t="s">
        <v>28</v>
      </c>
      <c r="D2840" s="3" t="s">
        <v>29</v>
      </c>
      <c r="E2840" s="3" t="s">
        <v>80</v>
      </c>
      <c r="F2840" s="3" t="s">
        <v>31</v>
      </c>
      <c r="G2840" s="3" t="s">
        <v>80</v>
      </c>
      <c r="H2840" s="3" t="s">
        <v>45</v>
      </c>
      <c r="I2840" s="3">
        <v>2025</v>
      </c>
      <c r="J2840" s="3" t="str">
        <f>CONCATENATE("54820048889")</f>
        <v>54820048889</v>
      </c>
      <c r="K2840" s="3" t="s">
        <v>33</v>
      </c>
      <c r="L2840" s="3"/>
      <c r="M2840" s="3" t="s">
        <v>131</v>
      </c>
      <c r="N2840" s="3" t="str">
        <f>CONCATENATE("TNTNDR81R28G453Y")</f>
        <v>TNTNDR81R28G453Y</v>
      </c>
      <c r="O2840" s="3" t="s">
        <v>2967</v>
      </c>
      <c r="P2840" s="3" t="s">
        <v>36</v>
      </c>
      <c r="Q2840" s="3"/>
      <c r="R2840" s="4">
        <v>45996</v>
      </c>
      <c r="S2840" s="3" t="s">
        <v>37</v>
      </c>
      <c r="T2840" s="3" t="s">
        <v>38</v>
      </c>
      <c r="U2840" s="3" t="s">
        <v>39</v>
      </c>
      <c r="V2840" s="3">
        <v>605.62</v>
      </c>
      <c r="W2840" s="3">
        <v>257.39</v>
      </c>
      <c r="X2840" s="3">
        <v>243.76</v>
      </c>
      <c r="Y2840" s="3">
        <v>104.47</v>
      </c>
    </row>
    <row r="2841" spans="1:25" ht="60.75" x14ac:dyDescent="0.25">
      <c r="A2841" s="3" t="s">
        <v>26</v>
      </c>
      <c r="B2841" s="3" t="s">
        <v>27</v>
      </c>
      <c r="C2841" s="3" t="s">
        <v>28</v>
      </c>
      <c r="D2841" s="3" t="s">
        <v>29</v>
      </c>
      <c r="E2841" s="3" t="s">
        <v>72</v>
      </c>
      <c r="F2841" s="3" t="s">
        <v>31</v>
      </c>
      <c r="G2841" s="3" t="s">
        <v>72</v>
      </c>
      <c r="H2841" s="3" t="s">
        <v>45</v>
      </c>
      <c r="I2841" s="3">
        <v>2025</v>
      </c>
      <c r="J2841" s="3" t="str">
        <f>CONCATENATE("54820081369")</f>
        <v>54820081369</v>
      </c>
      <c r="K2841" s="3" t="s">
        <v>33</v>
      </c>
      <c r="L2841" s="3"/>
      <c r="M2841" s="3" t="s">
        <v>131</v>
      </c>
      <c r="N2841" s="3" t="str">
        <f>CONCATENATE("CPPMTT78H01B352Y")</f>
        <v>CPPMTT78H01B352Y</v>
      </c>
      <c r="O2841" s="3" t="s">
        <v>2968</v>
      </c>
      <c r="P2841" s="3" t="s">
        <v>36</v>
      </c>
      <c r="Q2841" s="3"/>
      <c r="R2841" s="4">
        <v>45996</v>
      </c>
      <c r="S2841" s="3" t="s">
        <v>37</v>
      </c>
      <c r="T2841" s="3" t="s">
        <v>38</v>
      </c>
      <c r="U2841" s="3" t="s">
        <v>39</v>
      </c>
      <c r="V2841" s="3">
        <v>204.26</v>
      </c>
      <c r="W2841" s="3">
        <v>86.81</v>
      </c>
      <c r="X2841" s="3">
        <v>82.21</v>
      </c>
      <c r="Y2841" s="3">
        <v>35.24</v>
      </c>
    </row>
    <row r="2842" spans="1:25" ht="60.75" x14ac:dyDescent="0.25">
      <c r="A2842" s="3" t="s">
        <v>26</v>
      </c>
      <c r="B2842" s="3" t="s">
        <v>27</v>
      </c>
      <c r="C2842" s="3" t="s">
        <v>28</v>
      </c>
      <c r="D2842" s="3" t="s">
        <v>91</v>
      </c>
      <c r="E2842" s="3" t="s">
        <v>151</v>
      </c>
      <c r="F2842" s="3" t="s">
        <v>93</v>
      </c>
      <c r="G2842" s="3" t="s">
        <v>151</v>
      </c>
      <c r="H2842" s="3" t="s">
        <v>45</v>
      </c>
      <c r="I2842" s="3">
        <v>2025</v>
      </c>
      <c r="J2842" s="3" t="str">
        <f>CONCATENATE("54820233036")</f>
        <v>54820233036</v>
      </c>
      <c r="K2842" s="3" t="s">
        <v>33</v>
      </c>
      <c r="L2842" s="3"/>
      <c r="M2842" s="3" t="s">
        <v>131</v>
      </c>
      <c r="N2842" s="3" t="str">
        <f>CONCATENATE("BLDLTT62C65A944H")</f>
        <v>BLDLTT62C65A944H</v>
      </c>
      <c r="O2842" s="3" t="s">
        <v>2969</v>
      </c>
      <c r="P2842" s="3" t="s">
        <v>36</v>
      </c>
      <c r="Q2842" s="3"/>
      <c r="R2842" s="4">
        <v>45996</v>
      </c>
      <c r="S2842" s="3" t="s">
        <v>37</v>
      </c>
      <c r="T2842" s="3" t="s">
        <v>38</v>
      </c>
      <c r="U2842" s="3" t="s">
        <v>39</v>
      </c>
      <c r="V2842" s="3">
        <v>767.03</v>
      </c>
      <c r="W2842" s="3">
        <v>325.99</v>
      </c>
      <c r="X2842" s="3">
        <v>308.73</v>
      </c>
      <c r="Y2842" s="3">
        <v>132.31</v>
      </c>
    </row>
    <row r="2843" spans="1:25" ht="60.75" x14ac:dyDescent="0.25">
      <c r="A2843" s="3" t="s">
        <v>26</v>
      </c>
      <c r="B2843" s="3" t="s">
        <v>27</v>
      </c>
      <c r="C2843" s="3" t="s">
        <v>28</v>
      </c>
      <c r="D2843" s="3" t="s">
        <v>50</v>
      </c>
      <c r="E2843" s="3" t="s">
        <v>51</v>
      </c>
      <c r="F2843" s="3" t="s">
        <v>52</v>
      </c>
      <c r="G2843" s="3" t="s">
        <v>51</v>
      </c>
      <c r="H2843" s="3" t="s">
        <v>48</v>
      </c>
      <c r="I2843" s="3">
        <v>2025</v>
      </c>
      <c r="J2843" s="3" t="str">
        <f>CONCATENATE("54820170808")</f>
        <v>54820170808</v>
      </c>
      <c r="K2843" s="3" t="s">
        <v>33</v>
      </c>
      <c r="L2843" s="3"/>
      <c r="M2843" s="3" t="s">
        <v>131</v>
      </c>
      <c r="N2843" s="3" t="str">
        <f>CONCATENATE("BRNSMN74C20G453M")</f>
        <v>BRNSMN74C20G453M</v>
      </c>
      <c r="O2843" s="3" t="s">
        <v>2970</v>
      </c>
      <c r="P2843" s="3" t="s">
        <v>36</v>
      </c>
      <c r="Q2843" s="3"/>
      <c r="R2843" s="4">
        <v>45996</v>
      </c>
      <c r="S2843" s="3" t="s">
        <v>37</v>
      </c>
      <c r="T2843" s="3" t="s">
        <v>38</v>
      </c>
      <c r="U2843" s="3" t="s">
        <v>39</v>
      </c>
      <c r="V2843" s="3">
        <v>647.41999999999996</v>
      </c>
      <c r="W2843" s="3">
        <v>275.14999999999998</v>
      </c>
      <c r="X2843" s="3">
        <v>260.58999999999997</v>
      </c>
      <c r="Y2843" s="3">
        <v>111.68</v>
      </c>
    </row>
    <row r="2844" spans="1:25" ht="60.75" x14ac:dyDescent="0.25">
      <c r="A2844" s="3" t="s">
        <v>26</v>
      </c>
      <c r="B2844" s="3" t="s">
        <v>27</v>
      </c>
      <c r="C2844" s="3" t="s">
        <v>28</v>
      </c>
      <c r="D2844" s="3" t="s">
        <v>91</v>
      </c>
      <c r="E2844" s="3" t="s">
        <v>151</v>
      </c>
      <c r="F2844" s="3" t="s">
        <v>93</v>
      </c>
      <c r="G2844" s="3" t="s">
        <v>151</v>
      </c>
      <c r="H2844" s="3" t="s">
        <v>45</v>
      </c>
      <c r="I2844" s="3">
        <v>2025</v>
      </c>
      <c r="J2844" s="3" t="str">
        <f>CONCATENATE("54820233168")</f>
        <v>54820233168</v>
      </c>
      <c r="K2844" s="3" t="s">
        <v>33</v>
      </c>
      <c r="L2844" s="3"/>
      <c r="M2844" s="3" t="s">
        <v>131</v>
      </c>
      <c r="N2844" s="3" t="str">
        <f>CONCATENATE("BRCDRO58S61D749B")</f>
        <v>BRCDRO58S61D749B</v>
      </c>
      <c r="O2844" s="3" t="s">
        <v>2971</v>
      </c>
      <c r="P2844" s="3" t="s">
        <v>36</v>
      </c>
      <c r="Q2844" s="3"/>
      <c r="R2844" s="4">
        <v>45996</v>
      </c>
      <c r="S2844" s="3" t="s">
        <v>37</v>
      </c>
      <c r="T2844" s="3" t="s">
        <v>38</v>
      </c>
      <c r="U2844" s="3" t="s">
        <v>39</v>
      </c>
      <c r="V2844" s="5">
        <v>1207.78</v>
      </c>
      <c r="W2844" s="3">
        <v>513.30999999999995</v>
      </c>
      <c r="X2844" s="3">
        <v>486.13</v>
      </c>
      <c r="Y2844" s="3">
        <v>208.34</v>
      </c>
    </row>
    <row r="2845" spans="1:25" ht="60.75" x14ac:dyDescent="0.25">
      <c r="A2845" s="3" t="s">
        <v>26</v>
      </c>
      <c r="B2845" s="3" t="s">
        <v>27</v>
      </c>
      <c r="C2845" s="3" t="s">
        <v>28</v>
      </c>
      <c r="D2845" s="3" t="s">
        <v>50</v>
      </c>
      <c r="E2845" s="3" t="s">
        <v>290</v>
      </c>
      <c r="F2845" s="3" t="s">
        <v>52</v>
      </c>
      <c r="G2845" s="3" t="s">
        <v>290</v>
      </c>
      <c r="H2845" s="3" t="s">
        <v>96</v>
      </c>
      <c r="I2845" s="3">
        <v>2025</v>
      </c>
      <c r="J2845" s="3" t="str">
        <f>CONCATENATE("54820266788")</f>
        <v>54820266788</v>
      </c>
      <c r="K2845" s="3" t="s">
        <v>33</v>
      </c>
      <c r="L2845" s="3"/>
      <c r="M2845" s="3" t="s">
        <v>131</v>
      </c>
      <c r="N2845" s="3" t="str">
        <f>CONCATENATE("DSNQNT46B04F509H")</f>
        <v>DSNQNT46B04F509H</v>
      </c>
      <c r="O2845" s="3" t="s">
        <v>2972</v>
      </c>
      <c r="P2845" s="3" t="s">
        <v>36</v>
      </c>
      <c r="Q2845" s="3"/>
      <c r="R2845" s="4">
        <v>45996</v>
      </c>
      <c r="S2845" s="3" t="s">
        <v>37</v>
      </c>
      <c r="T2845" s="3" t="s">
        <v>38</v>
      </c>
      <c r="U2845" s="3" t="s">
        <v>39</v>
      </c>
      <c r="V2845" s="3">
        <v>179.52</v>
      </c>
      <c r="W2845" s="3">
        <v>76.3</v>
      </c>
      <c r="X2845" s="3">
        <v>72.260000000000005</v>
      </c>
      <c r="Y2845" s="3">
        <v>30.96</v>
      </c>
    </row>
    <row r="2846" spans="1:25" ht="60.75" x14ac:dyDescent="0.25">
      <c r="A2846" s="3" t="s">
        <v>26</v>
      </c>
      <c r="B2846" s="3" t="s">
        <v>27</v>
      </c>
      <c r="C2846" s="3" t="s">
        <v>28</v>
      </c>
      <c r="D2846" s="3" t="s">
        <v>50</v>
      </c>
      <c r="E2846" s="3" t="s">
        <v>147</v>
      </c>
      <c r="F2846" s="3" t="s">
        <v>52</v>
      </c>
      <c r="G2846" s="3" t="s">
        <v>147</v>
      </c>
      <c r="H2846" s="3" t="s">
        <v>45</v>
      </c>
      <c r="I2846" s="3">
        <v>2025</v>
      </c>
      <c r="J2846" s="3" t="str">
        <f>CONCATENATE("54820181276")</f>
        <v>54820181276</v>
      </c>
      <c r="K2846" s="3" t="s">
        <v>33</v>
      </c>
      <c r="L2846" s="3"/>
      <c r="M2846" s="3" t="s">
        <v>131</v>
      </c>
      <c r="N2846" s="3" t="str">
        <f>CONCATENATE("VCHGRL55C10G479S")</f>
        <v>VCHGRL55C10G479S</v>
      </c>
      <c r="O2846" s="3" t="s">
        <v>2973</v>
      </c>
      <c r="P2846" s="3" t="s">
        <v>36</v>
      </c>
      <c r="Q2846" s="3"/>
      <c r="R2846" s="4">
        <v>45996</v>
      </c>
      <c r="S2846" s="3" t="s">
        <v>37</v>
      </c>
      <c r="T2846" s="3" t="s">
        <v>38</v>
      </c>
      <c r="U2846" s="3" t="s">
        <v>39</v>
      </c>
      <c r="V2846" s="3">
        <v>72.13</v>
      </c>
      <c r="W2846" s="3">
        <v>30.66</v>
      </c>
      <c r="X2846" s="3">
        <v>29.03</v>
      </c>
      <c r="Y2846" s="3">
        <v>12.44</v>
      </c>
    </row>
    <row r="2847" spans="1:25" ht="60.75" x14ac:dyDescent="0.25">
      <c r="A2847" s="3" t="s">
        <v>26</v>
      </c>
      <c r="B2847" s="3" t="s">
        <v>27</v>
      </c>
      <c r="C2847" s="3" t="s">
        <v>28</v>
      </c>
      <c r="D2847" s="3" t="s">
        <v>40</v>
      </c>
      <c r="E2847" s="3" t="s">
        <v>41</v>
      </c>
      <c r="F2847" s="3" t="s">
        <v>42</v>
      </c>
      <c r="G2847" s="3" t="s">
        <v>41</v>
      </c>
      <c r="H2847" s="3" t="s">
        <v>32</v>
      </c>
      <c r="I2847" s="3">
        <v>2025</v>
      </c>
      <c r="J2847" s="3" t="str">
        <f>CONCATENATE("54820206222")</f>
        <v>54820206222</v>
      </c>
      <c r="K2847" s="3" t="s">
        <v>33</v>
      </c>
      <c r="L2847" s="3"/>
      <c r="M2847" s="3" t="s">
        <v>131</v>
      </c>
      <c r="N2847" s="3" t="str">
        <f>CONCATENATE("CPPLND97A55B474A")</f>
        <v>CPPLND97A55B474A</v>
      </c>
      <c r="O2847" s="3" t="s">
        <v>2974</v>
      </c>
      <c r="P2847" s="3" t="s">
        <v>36</v>
      </c>
      <c r="Q2847" s="3"/>
      <c r="R2847" s="4">
        <v>45996</v>
      </c>
      <c r="S2847" s="3" t="s">
        <v>37</v>
      </c>
      <c r="T2847" s="3" t="s">
        <v>38</v>
      </c>
      <c r="U2847" s="3" t="s">
        <v>39</v>
      </c>
      <c r="V2847" s="3">
        <v>99.52</v>
      </c>
      <c r="W2847" s="3">
        <v>42.3</v>
      </c>
      <c r="X2847" s="3">
        <v>40.06</v>
      </c>
      <c r="Y2847" s="3">
        <v>17.16</v>
      </c>
    </row>
    <row r="2848" spans="1:25" ht="60.75" x14ac:dyDescent="0.25">
      <c r="A2848" s="3" t="s">
        <v>26</v>
      </c>
      <c r="B2848" s="3" t="s">
        <v>27</v>
      </c>
      <c r="C2848" s="3" t="s">
        <v>28</v>
      </c>
      <c r="D2848" s="3" t="s">
        <v>29</v>
      </c>
      <c r="E2848" s="3" t="s">
        <v>47</v>
      </c>
      <c r="F2848" s="3" t="s">
        <v>31</v>
      </c>
      <c r="G2848" s="3" t="s">
        <v>47</v>
      </c>
      <c r="H2848" s="3" t="s">
        <v>48</v>
      </c>
      <c r="I2848" s="3">
        <v>2025</v>
      </c>
      <c r="J2848" s="3" t="str">
        <f>CONCATENATE("54820203286")</f>
        <v>54820203286</v>
      </c>
      <c r="K2848" s="3" t="s">
        <v>33</v>
      </c>
      <c r="L2848" s="3"/>
      <c r="M2848" s="3" t="s">
        <v>131</v>
      </c>
      <c r="N2848" s="3" t="str">
        <f>CONCATENATE("MNTNRS42S41F051S")</f>
        <v>MNTNRS42S41F051S</v>
      </c>
      <c r="O2848" s="3" t="s">
        <v>2975</v>
      </c>
      <c r="P2848" s="3" t="s">
        <v>36</v>
      </c>
      <c r="Q2848" s="3"/>
      <c r="R2848" s="4">
        <v>45996</v>
      </c>
      <c r="S2848" s="3" t="s">
        <v>37</v>
      </c>
      <c r="T2848" s="3" t="s">
        <v>38</v>
      </c>
      <c r="U2848" s="3" t="s">
        <v>39</v>
      </c>
      <c r="V2848" s="3">
        <v>209.02</v>
      </c>
      <c r="W2848" s="3">
        <v>88.83</v>
      </c>
      <c r="X2848" s="3">
        <v>84.13</v>
      </c>
      <c r="Y2848" s="3">
        <v>36.06</v>
      </c>
    </row>
    <row r="2849" spans="1:25" ht="72.75" x14ac:dyDescent="0.25">
      <c r="A2849" s="3" t="s">
        <v>26</v>
      </c>
      <c r="B2849" s="3" t="s">
        <v>27</v>
      </c>
      <c r="C2849" s="3" t="s">
        <v>28</v>
      </c>
      <c r="D2849" s="3" t="s">
        <v>29</v>
      </c>
      <c r="E2849" s="3" t="s">
        <v>101</v>
      </c>
      <c r="F2849" s="3" t="s">
        <v>31</v>
      </c>
      <c r="G2849" s="3" t="s">
        <v>101</v>
      </c>
      <c r="H2849" s="3" t="s">
        <v>32</v>
      </c>
      <c r="I2849" s="3">
        <v>2025</v>
      </c>
      <c r="J2849" s="3" t="str">
        <f>CONCATENATE("54820253240")</f>
        <v>54820253240</v>
      </c>
      <c r="K2849" s="3" t="s">
        <v>33</v>
      </c>
      <c r="L2849" s="3"/>
      <c r="M2849" s="3" t="s">
        <v>131</v>
      </c>
      <c r="N2849" s="3" t="str">
        <f>CONCATENATE("SNTNMR53B51I651G")</f>
        <v>SNTNMR53B51I651G</v>
      </c>
      <c r="O2849" s="3" t="s">
        <v>2976</v>
      </c>
      <c r="P2849" s="3" t="s">
        <v>36</v>
      </c>
      <c r="Q2849" s="3"/>
      <c r="R2849" s="4">
        <v>45996</v>
      </c>
      <c r="S2849" s="3" t="s">
        <v>37</v>
      </c>
      <c r="T2849" s="3" t="s">
        <v>38</v>
      </c>
      <c r="U2849" s="3" t="s">
        <v>39</v>
      </c>
      <c r="V2849" s="3">
        <v>139.81</v>
      </c>
      <c r="W2849" s="3">
        <v>59.42</v>
      </c>
      <c r="X2849" s="3">
        <v>56.27</v>
      </c>
      <c r="Y2849" s="3">
        <v>24.12</v>
      </c>
    </row>
    <row r="2850" spans="1:25" ht="72.75" x14ac:dyDescent="0.25">
      <c r="A2850" s="3" t="s">
        <v>26</v>
      </c>
      <c r="B2850" s="3" t="s">
        <v>27</v>
      </c>
      <c r="C2850" s="3" t="s">
        <v>28</v>
      </c>
      <c r="D2850" s="3" t="s">
        <v>50</v>
      </c>
      <c r="E2850" s="3" t="s">
        <v>147</v>
      </c>
      <c r="F2850" s="3" t="s">
        <v>52</v>
      </c>
      <c r="G2850" s="3" t="s">
        <v>147</v>
      </c>
      <c r="H2850" s="3" t="s">
        <v>45</v>
      </c>
      <c r="I2850" s="3">
        <v>2025</v>
      </c>
      <c r="J2850" s="3" t="str">
        <f>CONCATENATE("54820234869")</f>
        <v>54820234869</v>
      </c>
      <c r="K2850" s="3" t="s">
        <v>33</v>
      </c>
      <c r="L2850" s="3"/>
      <c r="M2850" s="3" t="s">
        <v>131</v>
      </c>
      <c r="N2850" s="3" t="str">
        <f>CONCATENATE("CNDSMN72H54B352M")</f>
        <v>CNDSMN72H54B352M</v>
      </c>
      <c r="O2850" s="3" t="s">
        <v>2977</v>
      </c>
      <c r="P2850" s="3" t="s">
        <v>36</v>
      </c>
      <c r="Q2850" s="3"/>
      <c r="R2850" s="4">
        <v>45996</v>
      </c>
      <c r="S2850" s="3" t="s">
        <v>37</v>
      </c>
      <c r="T2850" s="3" t="s">
        <v>38</v>
      </c>
      <c r="U2850" s="3" t="s">
        <v>39</v>
      </c>
      <c r="V2850" s="3">
        <v>739.52</v>
      </c>
      <c r="W2850" s="3">
        <v>314.3</v>
      </c>
      <c r="X2850" s="3">
        <v>297.66000000000003</v>
      </c>
      <c r="Y2850" s="3">
        <v>127.56</v>
      </c>
    </row>
    <row r="2851" spans="1:25" ht="60.75" x14ac:dyDescent="0.25">
      <c r="A2851" s="3" t="s">
        <v>26</v>
      </c>
      <c r="B2851" s="3" t="s">
        <v>27</v>
      </c>
      <c r="C2851" s="3" t="s">
        <v>28</v>
      </c>
      <c r="D2851" s="3" t="s">
        <v>29</v>
      </c>
      <c r="E2851" s="3" t="s">
        <v>47</v>
      </c>
      <c r="F2851" s="3" t="s">
        <v>31</v>
      </c>
      <c r="G2851" s="3" t="s">
        <v>47</v>
      </c>
      <c r="H2851" s="3" t="s">
        <v>48</v>
      </c>
      <c r="I2851" s="3">
        <v>2025</v>
      </c>
      <c r="J2851" s="3" t="str">
        <f>CONCATENATE("54820179114")</f>
        <v>54820179114</v>
      </c>
      <c r="K2851" s="3" t="s">
        <v>33</v>
      </c>
      <c r="L2851" s="3"/>
      <c r="M2851" s="3" t="s">
        <v>131</v>
      </c>
      <c r="N2851" s="3" t="str">
        <f>CONCATENATE("GLMMRA73C43D451N")</f>
        <v>GLMMRA73C43D451N</v>
      </c>
      <c r="O2851" s="3" t="s">
        <v>2978</v>
      </c>
      <c r="P2851" s="3" t="s">
        <v>36</v>
      </c>
      <c r="Q2851" s="3"/>
      <c r="R2851" s="4">
        <v>45996</v>
      </c>
      <c r="S2851" s="3" t="s">
        <v>37</v>
      </c>
      <c r="T2851" s="3" t="s">
        <v>38</v>
      </c>
      <c r="U2851" s="3" t="s">
        <v>39</v>
      </c>
      <c r="V2851" s="3">
        <v>135.22</v>
      </c>
      <c r="W2851" s="3">
        <v>57.47</v>
      </c>
      <c r="X2851" s="3">
        <v>54.43</v>
      </c>
      <c r="Y2851" s="3">
        <v>23.32</v>
      </c>
    </row>
    <row r="2852" spans="1:25" ht="60.75" x14ac:dyDescent="0.25">
      <c r="A2852" s="3" t="s">
        <v>26</v>
      </c>
      <c r="B2852" s="3" t="s">
        <v>27</v>
      </c>
      <c r="C2852" s="3" t="s">
        <v>28</v>
      </c>
      <c r="D2852" s="3" t="s">
        <v>91</v>
      </c>
      <c r="E2852" s="3" t="s">
        <v>151</v>
      </c>
      <c r="F2852" s="3" t="s">
        <v>93</v>
      </c>
      <c r="G2852" s="3" t="s">
        <v>151</v>
      </c>
      <c r="H2852" s="3" t="s">
        <v>45</v>
      </c>
      <c r="I2852" s="3">
        <v>2025</v>
      </c>
      <c r="J2852" s="3" t="str">
        <f>CONCATENATE("54820205703")</f>
        <v>54820205703</v>
      </c>
      <c r="K2852" s="3" t="s">
        <v>33</v>
      </c>
      <c r="L2852" s="3"/>
      <c r="M2852" s="3" t="s">
        <v>131</v>
      </c>
      <c r="N2852" s="3" t="str">
        <f>CONCATENATE("BRTPLA43R41G453X")</f>
        <v>BRTPLA43R41G453X</v>
      </c>
      <c r="O2852" s="3" t="s">
        <v>2979</v>
      </c>
      <c r="P2852" s="3" t="s">
        <v>36</v>
      </c>
      <c r="Q2852" s="3"/>
      <c r="R2852" s="4">
        <v>45996</v>
      </c>
      <c r="S2852" s="3" t="s">
        <v>37</v>
      </c>
      <c r="T2852" s="3" t="s">
        <v>38</v>
      </c>
      <c r="U2852" s="3" t="s">
        <v>39</v>
      </c>
      <c r="V2852" s="3">
        <v>102.71</v>
      </c>
      <c r="W2852" s="3">
        <v>43.65</v>
      </c>
      <c r="X2852" s="3">
        <v>41.34</v>
      </c>
      <c r="Y2852" s="3">
        <v>17.72</v>
      </c>
    </row>
    <row r="2853" spans="1:25" ht="36.75" x14ac:dyDescent="0.25">
      <c r="A2853" s="3" t="s">
        <v>26</v>
      </c>
      <c r="B2853" s="3" t="s">
        <v>27</v>
      </c>
      <c r="C2853" s="3" t="s">
        <v>28</v>
      </c>
      <c r="D2853" s="3" t="s">
        <v>50</v>
      </c>
      <c r="E2853" s="3" t="s">
        <v>147</v>
      </c>
      <c r="F2853" s="3" t="s">
        <v>52</v>
      </c>
      <c r="G2853" s="3" t="s">
        <v>147</v>
      </c>
      <c r="H2853" s="3" t="s">
        <v>45</v>
      </c>
      <c r="I2853" s="3">
        <v>2025</v>
      </c>
      <c r="J2853" s="3" t="str">
        <f>CONCATENATE("54820167887")</f>
        <v>54820167887</v>
      </c>
      <c r="K2853" s="3" t="s">
        <v>33</v>
      </c>
      <c r="L2853" s="3"/>
      <c r="M2853" s="3" t="s">
        <v>131</v>
      </c>
      <c r="N2853" s="3" t="str">
        <f>CONCATENATE("00645400417")</f>
        <v>00645400417</v>
      </c>
      <c r="O2853" s="3" t="s">
        <v>2980</v>
      </c>
      <c r="P2853" s="3" t="s">
        <v>36</v>
      </c>
      <c r="Q2853" s="3"/>
      <c r="R2853" s="4">
        <v>45996</v>
      </c>
      <c r="S2853" s="3" t="s">
        <v>37</v>
      </c>
      <c r="T2853" s="3" t="s">
        <v>38</v>
      </c>
      <c r="U2853" s="3" t="s">
        <v>39</v>
      </c>
      <c r="V2853" s="3">
        <v>239.48</v>
      </c>
      <c r="W2853" s="3">
        <v>101.78</v>
      </c>
      <c r="X2853" s="3">
        <v>96.39</v>
      </c>
      <c r="Y2853" s="3">
        <v>41.31</v>
      </c>
    </row>
    <row r="2854" spans="1:25" ht="72.75" x14ac:dyDescent="0.25">
      <c r="A2854" s="3" t="s">
        <v>26</v>
      </c>
      <c r="B2854" s="3" t="s">
        <v>27</v>
      </c>
      <c r="C2854" s="3" t="s">
        <v>28</v>
      </c>
      <c r="D2854" s="3" t="s">
        <v>50</v>
      </c>
      <c r="E2854" s="3" t="s">
        <v>252</v>
      </c>
      <c r="F2854" s="3" t="s">
        <v>52</v>
      </c>
      <c r="G2854" s="3" t="s">
        <v>252</v>
      </c>
      <c r="H2854" s="3" t="s">
        <v>45</v>
      </c>
      <c r="I2854" s="3">
        <v>2025</v>
      </c>
      <c r="J2854" s="3" t="str">
        <f>CONCATENATE("54820203377")</f>
        <v>54820203377</v>
      </c>
      <c r="K2854" s="3" t="s">
        <v>33</v>
      </c>
      <c r="L2854" s="3"/>
      <c r="M2854" s="3" t="s">
        <v>131</v>
      </c>
      <c r="N2854" s="3" t="str">
        <f>CONCATENATE("PRPBNI56D14D749D")</f>
        <v>PRPBNI56D14D749D</v>
      </c>
      <c r="O2854" s="3" t="s">
        <v>2981</v>
      </c>
      <c r="P2854" s="3" t="s">
        <v>36</v>
      </c>
      <c r="Q2854" s="3"/>
      <c r="R2854" s="4">
        <v>45996</v>
      </c>
      <c r="S2854" s="3" t="s">
        <v>37</v>
      </c>
      <c r="T2854" s="3" t="s">
        <v>38</v>
      </c>
      <c r="U2854" s="3" t="s">
        <v>39</v>
      </c>
      <c r="V2854" s="3">
        <v>56.02</v>
      </c>
      <c r="W2854" s="3">
        <v>23.81</v>
      </c>
      <c r="X2854" s="3">
        <v>22.55</v>
      </c>
      <c r="Y2854" s="3">
        <v>9.66</v>
      </c>
    </row>
    <row r="2855" spans="1:25" ht="60.75" x14ac:dyDescent="0.25">
      <c r="A2855" s="3" t="s">
        <v>26</v>
      </c>
      <c r="B2855" s="3" t="s">
        <v>27</v>
      </c>
      <c r="C2855" s="3" t="s">
        <v>28</v>
      </c>
      <c r="D2855" s="3" t="s">
        <v>50</v>
      </c>
      <c r="E2855" s="3" t="s">
        <v>147</v>
      </c>
      <c r="F2855" s="3" t="s">
        <v>52</v>
      </c>
      <c r="G2855" s="3" t="s">
        <v>147</v>
      </c>
      <c r="H2855" s="3" t="s">
        <v>45</v>
      </c>
      <c r="I2855" s="3">
        <v>2025</v>
      </c>
      <c r="J2855" s="3" t="str">
        <f>CONCATENATE("54820204490")</f>
        <v>54820204490</v>
      </c>
      <c r="K2855" s="3" t="s">
        <v>33</v>
      </c>
      <c r="L2855" s="3"/>
      <c r="M2855" s="3" t="s">
        <v>131</v>
      </c>
      <c r="N2855" s="3" t="str">
        <f>CONCATENATE("BTTLND42B62L500K")</f>
        <v>BTTLND42B62L500K</v>
      </c>
      <c r="O2855" s="3" t="s">
        <v>2982</v>
      </c>
      <c r="P2855" s="3" t="s">
        <v>36</v>
      </c>
      <c r="Q2855" s="3"/>
      <c r="R2855" s="4">
        <v>45996</v>
      </c>
      <c r="S2855" s="3" t="s">
        <v>37</v>
      </c>
      <c r="T2855" s="3" t="s">
        <v>38</v>
      </c>
      <c r="U2855" s="3" t="s">
        <v>39</v>
      </c>
      <c r="V2855" s="3">
        <v>859.15</v>
      </c>
      <c r="W2855" s="3">
        <v>365.14</v>
      </c>
      <c r="X2855" s="3">
        <v>345.81</v>
      </c>
      <c r="Y2855" s="3">
        <v>148.19999999999999</v>
      </c>
    </row>
    <row r="2856" spans="1:25" ht="72.75" x14ac:dyDescent="0.25">
      <c r="A2856" s="3" t="s">
        <v>26</v>
      </c>
      <c r="B2856" s="3" t="s">
        <v>27</v>
      </c>
      <c r="C2856" s="3" t="s">
        <v>28</v>
      </c>
      <c r="D2856" s="3" t="s">
        <v>91</v>
      </c>
      <c r="E2856" s="3" t="s">
        <v>151</v>
      </c>
      <c r="F2856" s="3" t="s">
        <v>93</v>
      </c>
      <c r="G2856" s="3" t="s">
        <v>151</v>
      </c>
      <c r="H2856" s="3" t="s">
        <v>45</v>
      </c>
      <c r="I2856" s="3">
        <v>2025</v>
      </c>
      <c r="J2856" s="3" t="str">
        <f>CONCATENATE("54820261193")</f>
        <v>54820261193</v>
      </c>
      <c r="K2856" s="3" t="s">
        <v>33</v>
      </c>
      <c r="L2856" s="3"/>
      <c r="M2856" s="3" t="s">
        <v>131</v>
      </c>
      <c r="N2856" s="3" t="str">
        <f>CONCATENATE("RLNNTN54R09B636D")</f>
        <v>RLNNTN54R09B636D</v>
      </c>
      <c r="O2856" s="3" t="s">
        <v>2983</v>
      </c>
      <c r="P2856" s="3" t="s">
        <v>36</v>
      </c>
      <c r="Q2856" s="3"/>
      <c r="R2856" s="4">
        <v>45996</v>
      </c>
      <c r="S2856" s="3" t="s">
        <v>37</v>
      </c>
      <c r="T2856" s="3" t="s">
        <v>38</v>
      </c>
      <c r="U2856" s="3" t="s">
        <v>39</v>
      </c>
      <c r="V2856" s="3">
        <v>908.76</v>
      </c>
      <c r="W2856" s="3">
        <v>386.22</v>
      </c>
      <c r="X2856" s="3">
        <v>365.78</v>
      </c>
      <c r="Y2856" s="3">
        <v>156.76</v>
      </c>
    </row>
    <row r="2857" spans="1:25" ht="60.75" x14ac:dyDescent="0.25">
      <c r="A2857" s="3" t="s">
        <v>26</v>
      </c>
      <c r="B2857" s="3" t="s">
        <v>27</v>
      </c>
      <c r="C2857" s="3" t="s">
        <v>28</v>
      </c>
      <c r="D2857" s="3" t="s">
        <v>91</v>
      </c>
      <c r="E2857" s="3" t="s">
        <v>151</v>
      </c>
      <c r="F2857" s="3" t="s">
        <v>93</v>
      </c>
      <c r="G2857" s="3" t="s">
        <v>151</v>
      </c>
      <c r="H2857" s="3" t="s">
        <v>45</v>
      </c>
      <c r="I2857" s="3">
        <v>2025</v>
      </c>
      <c r="J2857" s="3" t="str">
        <f>CONCATENATE("54820239439")</f>
        <v>54820239439</v>
      </c>
      <c r="K2857" s="3" t="s">
        <v>33</v>
      </c>
      <c r="L2857" s="3"/>
      <c r="M2857" s="3" t="s">
        <v>131</v>
      </c>
      <c r="N2857" s="3" t="str">
        <f>CONCATENATE("GBRLLN52S51G453H")</f>
        <v>GBRLLN52S51G453H</v>
      </c>
      <c r="O2857" s="3" t="s">
        <v>2984</v>
      </c>
      <c r="P2857" s="3" t="s">
        <v>36</v>
      </c>
      <c r="Q2857" s="3"/>
      <c r="R2857" s="4">
        <v>45996</v>
      </c>
      <c r="S2857" s="3" t="s">
        <v>37</v>
      </c>
      <c r="T2857" s="3" t="s">
        <v>38</v>
      </c>
      <c r="U2857" s="3" t="s">
        <v>39</v>
      </c>
      <c r="V2857" s="3">
        <v>386.71</v>
      </c>
      <c r="W2857" s="3">
        <v>164.35</v>
      </c>
      <c r="X2857" s="3">
        <v>155.65</v>
      </c>
      <c r="Y2857" s="3">
        <v>66.709999999999994</v>
      </c>
    </row>
    <row r="2858" spans="1:25" ht="60.75" x14ac:dyDescent="0.25">
      <c r="A2858" s="3" t="s">
        <v>26</v>
      </c>
      <c r="B2858" s="3" t="s">
        <v>27</v>
      </c>
      <c r="C2858" s="3" t="s">
        <v>28</v>
      </c>
      <c r="D2858" s="3" t="s">
        <v>50</v>
      </c>
      <c r="E2858" s="3" t="s">
        <v>60</v>
      </c>
      <c r="F2858" s="3" t="s">
        <v>52</v>
      </c>
      <c r="G2858" s="3" t="s">
        <v>60</v>
      </c>
      <c r="H2858" s="3" t="s">
        <v>45</v>
      </c>
      <c r="I2858" s="3">
        <v>2025</v>
      </c>
      <c r="J2858" s="3" t="str">
        <f>CONCATENATE("54820213392")</f>
        <v>54820213392</v>
      </c>
      <c r="K2858" s="3" t="s">
        <v>33</v>
      </c>
      <c r="L2858" s="3"/>
      <c r="M2858" s="3" t="s">
        <v>131</v>
      </c>
      <c r="N2858" s="3" t="str">
        <f>CONCATENATE("PLDVND46E50A327R")</f>
        <v>PLDVND46E50A327R</v>
      </c>
      <c r="O2858" s="3" t="s">
        <v>2985</v>
      </c>
      <c r="P2858" s="3" t="s">
        <v>36</v>
      </c>
      <c r="Q2858" s="3"/>
      <c r="R2858" s="4">
        <v>45996</v>
      </c>
      <c r="S2858" s="3" t="s">
        <v>37</v>
      </c>
      <c r="T2858" s="3" t="s">
        <v>38</v>
      </c>
      <c r="U2858" s="3" t="s">
        <v>39</v>
      </c>
      <c r="V2858" s="3">
        <v>149.55000000000001</v>
      </c>
      <c r="W2858" s="3">
        <v>63.56</v>
      </c>
      <c r="X2858" s="3">
        <v>60.19</v>
      </c>
      <c r="Y2858" s="3">
        <v>25.8</v>
      </c>
    </row>
    <row r="2859" spans="1:25" ht="60.75" x14ac:dyDescent="0.25">
      <c r="A2859" s="3" t="s">
        <v>26</v>
      </c>
      <c r="B2859" s="3" t="s">
        <v>27</v>
      </c>
      <c r="C2859" s="3" t="s">
        <v>28</v>
      </c>
      <c r="D2859" s="3" t="s">
        <v>50</v>
      </c>
      <c r="E2859" s="3" t="s">
        <v>51</v>
      </c>
      <c r="F2859" s="3" t="s">
        <v>52</v>
      </c>
      <c r="G2859" s="3" t="s">
        <v>51</v>
      </c>
      <c r="H2859" s="3" t="s">
        <v>48</v>
      </c>
      <c r="I2859" s="3">
        <v>2025</v>
      </c>
      <c r="J2859" s="3" t="str">
        <f>CONCATENATE("54820184767")</f>
        <v>54820184767</v>
      </c>
      <c r="K2859" s="3" t="s">
        <v>33</v>
      </c>
      <c r="L2859" s="3"/>
      <c r="M2859" s="3" t="s">
        <v>131</v>
      </c>
      <c r="N2859" s="3" t="str">
        <f>CONCATENATE("SBBMLL43R50I461L")</f>
        <v>SBBMLL43R50I461L</v>
      </c>
      <c r="O2859" s="3" t="s">
        <v>2986</v>
      </c>
      <c r="P2859" s="3" t="s">
        <v>36</v>
      </c>
      <c r="Q2859" s="3"/>
      <c r="R2859" s="4">
        <v>45996</v>
      </c>
      <c r="S2859" s="3" t="s">
        <v>37</v>
      </c>
      <c r="T2859" s="3" t="s">
        <v>38</v>
      </c>
      <c r="U2859" s="3" t="s">
        <v>39</v>
      </c>
      <c r="V2859" s="3">
        <v>82.51</v>
      </c>
      <c r="W2859" s="3">
        <v>35.07</v>
      </c>
      <c r="X2859" s="3">
        <v>33.21</v>
      </c>
      <c r="Y2859" s="3">
        <v>14.23</v>
      </c>
    </row>
    <row r="2860" spans="1:25" ht="60.75" x14ac:dyDescent="0.25">
      <c r="A2860" s="3" t="s">
        <v>26</v>
      </c>
      <c r="B2860" s="3" t="s">
        <v>27</v>
      </c>
      <c r="C2860" s="3" t="s">
        <v>28</v>
      </c>
      <c r="D2860" s="3" t="s">
        <v>29</v>
      </c>
      <c r="E2860" s="3" t="s">
        <v>136</v>
      </c>
      <c r="F2860" s="3" t="s">
        <v>31</v>
      </c>
      <c r="G2860" s="3" t="s">
        <v>136</v>
      </c>
      <c r="H2860" s="3" t="s">
        <v>48</v>
      </c>
      <c r="I2860" s="3">
        <v>2025</v>
      </c>
      <c r="J2860" s="3" t="str">
        <f>CONCATENATE("54820232251")</f>
        <v>54820232251</v>
      </c>
      <c r="K2860" s="3" t="s">
        <v>33</v>
      </c>
      <c r="L2860" s="3"/>
      <c r="M2860" s="3" t="s">
        <v>131</v>
      </c>
      <c r="N2860" s="3" t="str">
        <f>CONCATENATE("VNCSVS49E06I461J")</f>
        <v>VNCSVS49E06I461J</v>
      </c>
      <c r="O2860" s="3" t="s">
        <v>2987</v>
      </c>
      <c r="P2860" s="3" t="s">
        <v>36</v>
      </c>
      <c r="Q2860" s="3"/>
      <c r="R2860" s="4">
        <v>45996</v>
      </c>
      <c r="S2860" s="3" t="s">
        <v>37</v>
      </c>
      <c r="T2860" s="3" t="s">
        <v>38</v>
      </c>
      <c r="U2860" s="3" t="s">
        <v>39</v>
      </c>
      <c r="V2860" s="3">
        <v>174.2</v>
      </c>
      <c r="W2860" s="3">
        <v>74.040000000000006</v>
      </c>
      <c r="X2860" s="3">
        <v>70.12</v>
      </c>
      <c r="Y2860" s="3">
        <v>30.04</v>
      </c>
    </row>
    <row r="2861" spans="1:25" ht="60.75" x14ac:dyDescent="0.25">
      <c r="A2861" s="3" t="s">
        <v>26</v>
      </c>
      <c r="B2861" s="3" t="s">
        <v>27</v>
      </c>
      <c r="C2861" s="3" t="s">
        <v>28</v>
      </c>
      <c r="D2861" s="3" t="s">
        <v>29</v>
      </c>
      <c r="E2861" s="3" t="s">
        <v>228</v>
      </c>
      <c r="F2861" s="3" t="s">
        <v>31</v>
      </c>
      <c r="G2861" s="3" t="s">
        <v>228</v>
      </c>
      <c r="H2861" s="3" t="s">
        <v>45</v>
      </c>
      <c r="I2861" s="3">
        <v>2025</v>
      </c>
      <c r="J2861" s="3" t="str">
        <f>CONCATENATE("54820209416")</f>
        <v>54820209416</v>
      </c>
      <c r="K2861" s="3" t="s">
        <v>33</v>
      </c>
      <c r="L2861" s="3"/>
      <c r="M2861" s="3" t="s">
        <v>131</v>
      </c>
      <c r="N2861" s="3" t="str">
        <f>CONCATENATE("LTNFBA85C01D749S")</f>
        <v>LTNFBA85C01D749S</v>
      </c>
      <c r="O2861" s="3" t="s">
        <v>2988</v>
      </c>
      <c r="P2861" s="3" t="s">
        <v>36</v>
      </c>
      <c r="Q2861" s="3"/>
      <c r="R2861" s="4">
        <v>45996</v>
      </c>
      <c r="S2861" s="3" t="s">
        <v>37</v>
      </c>
      <c r="T2861" s="3" t="s">
        <v>38</v>
      </c>
      <c r="U2861" s="3" t="s">
        <v>39</v>
      </c>
      <c r="V2861" s="3">
        <v>131.16</v>
      </c>
      <c r="W2861" s="3">
        <v>55.74</v>
      </c>
      <c r="X2861" s="3">
        <v>52.79</v>
      </c>
      <c r="Y2861" s="3">
        <v>22.63</v>
      </c>
    </row>
    <row r="2862" spans="1:25" ht="60.75" x14ac:dyDescent="0.25">
      <c r="A2862" s="3" t="s">
        <v>26</v>
      </c>
      <c r="B2862" s="3" t="s">
        <v>27</v>
      </c>
      <c r="C2862" s="3" t="s">
        <v>28</v>
      </c>
      <c r="D2862" s="3" t="s">
        <v>29</v>
      </c>
      <c r="E2862" s="3" t="s">
        <v>47</v>
      </c>
      <c r="F2862" s="3" t="s">
        <v>31</v>
      </c>
      <c r="G2862" s="3" t="s">
        <v>47</v>
      </c>
      <c r="H2862" s="3" t="s">
        <v>48</v>
      </c>
      <c r="I2862" s="3">
        <v>2025</v>
      </c>
      <c r="J2862" s="3" t="str">
        <f>CONCATENATE("54820215280")</f>
        <v>54820215280</v>
      </c>
      <c r="K2862" s="3" t="s">
        <v>33</v>
      </c>
      <c r="L2862" s="3"/>
      <c r="M2862" s="3" t="s">
        <v>131</v>
      </c>
      <c r="N2862" s="3" t="str">
        <f>CONCATENATE("TSSFNC74B08D451Y")</f>
        <v>TSSFNC74B08D451Y</v>
      </c>
      <c r="O2862" s="3" t="s">
        <v>2989</v>
      </c>
      <c r="P2862" s="3" t="s">
        <v>36</v>
      </c>
      <c r="Q2862" s="3"/>
      <c r="R2862" s="4">
        <v>45996</v>
      </c>
      <c r="S2862" s="3" t="s">
        <v>37</v>
      </c>
      <c r="T2862" s="3" t="s">
        <v>38</v>
      </c>
      <c r="U2862" s="3" t="s">
        <v>39</v>
      </c>
      <c r="V2862" s="3">
        <v>147.18</v>
      </c>
      <c r="W2862" s="3">
        <v>62.55</v>
      </c>
      <c r="X2862" s="3">
        <v>59.24</v>
      </c>
      <c r="Y2862" s="3">
        <v>25.39</v>
      </c>
    </row>
    <row r="2863" spans="1:25" ht="60.75" x14ac:dyDescent="0.25">
      <c r="A2863" s="3" t="s">
        <v>26</v>
      </c>
      <c r="B2863" s="3" t="s">
        <v>27</v>
      </c>
      <c r="C2863" s="3" t="s">
        <v>28</v>
      </c>
      <c r="D2863" s="3" t="s">
        <v>50</v>
      </c>
      <c r="E2863" s="3" t="s">
        <v>60</v>
      </c>
      <c r="F2863" s="3" t="s">
        <v>52</v>
      </c>
      <c r="G2863" s="3" t="s">
        <v>60</v>
      </c>
      <c r="H2863" s="3" t="s">
        <v>45</v>
      </c>
      <c r="I2863" s="3">
        <v>2025</v>
      </c>
      <c r="J2863" s="3" t="str">
        <f>CONCATENATE("54820240791")</f>
        <v>54820240791</v>
      </c>
      <c r="K2863" s="3" t="s">
        <v>33</v>
      </c>
      <c r="L2863" s="3"/>
      <c r="M2863" s="3" t="s">
        <v>131</v>
      </c>
      <c r="N2863" s="3" t="str">
        <f>CONCATENATE("CTNMLV63E56D808N")</f>
        <v>CTNMLV63E56D808N</v>
      </c>
      <c r="O2863" s="3" t="s">
        <v>2990</v>
      </c>
      <c r="P2863" s="3" t="s">
        <v>36</v>
      </c>
      <c r="Q2863" s="3"/>
      <c r="R2863" s="4">
        <v>45996</v>
      </c>
      <c r="S2863" s="3" t="s">
        <v>37</v>
      </c>
      <c r="T2863" s="3" t="s">
        <v>38</v>
      </c>
      <c r="U2863" s="3" t="s">
        <v>39</v>
      </c>
      <c r="V2863" s="3">
        <v>747.37</v>
      </c>
      <c r="W2863" s="3">
        <v>317.63</v>
      </c>
      <c r="X2863" s="3">
        <v>300.82</v>
      </c>
      <c r="Y2863" s="3">
        <v>128.91999999999999</v>
      </c>
    </row>
    <row r="2864" spans="1:25" ht="60.75" x14ac:dyDescent="0.25">
      <c r="A2864" s="3" t="s">
        <v>26</v>
      </c>
      <c r="B2864" s="3" t="s">
        <v>27</v>
      </c>
      <c r="C2864" s="3" t="s">
        <v>28</v>
      </c>
      <c r="D2864" s="3" t="s">
        <v>104</v>
      </c>
      <c r="E2864" s="3" t="s">
        <v>141</v>
      </c>
      <c r="F2864" s="3" t="s">
        <v>104</v>
      </c>
      <c r="G2864" s="3" t="s">
        <v>141</v>
      </c>
      <c r="H2864" s="3" t="s">
        <v>96</v>
      </c>
      <c r="I2864" s="3">
        <v>2025</v>
      </c>
      <c r="J2864" s="3" t="str">
        <f>CONCATENATE("54820276860")</f>
        <v>54820276860</v>
      </c>
      <c r="K2864" s="3" t="s">
        <v>33</v>
      </c>
      <c r="L2864" s="3"/>
      <c r="M2864" s="3" t="s">
        <v>131</v>
      </c>
      <c r="N2864" s="3" t="str">
        <f>CONCATENATE("CHRLGU50E17A252R")</f>
        <v>CHRLGU50E17A252R</v>
      </c>
      <c r="O2864" s="3" t="s">
        <v>2991</v>
      </c>
      <c r="P2864" s="3" t="s">
        <v>36</v>
      </c>
      <c r="Q2864" s="3"/>
      <c r="R2864" s="4">
        <v>45996</v>
      </c>
      <c r="S2864" s="3" t="s">
        <v>37</v>
      </c>
      <c r="T2864" s="3" t="s">
        <v>38</v>
      </c>
      <c r="U2864" s="3" t="s">
        <v>39</v>
      </c>
      <c r="V2864" s="3">
        <v>70.930000000000007</v>
      </c>
      <c r="W2864" s="3">
        <v>30.15</v>
      </c>
      <c r="X2864" s="3">
        <v>28.55</v>
      </c>
      <c r="Y2864" s="3">
        <v>12.23</v>
      </c>
    </row>
    <row r="2865" spans="1:25" ht="36.75" x14ac:dyDescent="0.25">
      <c r="A2865" s="3" t="s">
        <v>26</v>
      </c>
      <c r="B2865" s="3" t="s">
        <v>27</v>
      </c>
      <c r="C2865" s="3" t="s">
        <v>28</v>
      </c>
      <c r="D2865" s="3" t="s">
        <v>50</v>
      </c>
      <c r="E2865" s="3" t="s">
        <v>60</v>
      </c>
      <c r="F2865" s="3" t="s">
        <v>52</v>
      </c>
      <c r="G2865" s="3" t="s">
        <v>60</v>
      </c>
      <c r="H2865" s="3" t="s">
        <v>45</v>
      </c>
      <c r="I2865" s="3">
        <v>2025</v>
      </c>
      <c r="J2865" s="3" t="str">
        <f>CONCATENATE("54820232434")</f>
        <v>54820232434</v>
      </c>
      <c r="K2865" s="3" t="s">
        <v>33</v>
      </c>
      <c r="L2865" s="3"/>
      <c r="M2865" s="3" t="s">
        <v>131</v>
      </c>
      <c r="N2865" s="3" t="str">
        <f>CONCATENATE("02812680417")</f>
        <v>02812680417</v>
      </c>
      <c r="O2865" s="3" t="s">
        <v>2992</v>
      </c>
      <c r="P2865" s="3" t="s">
        <v>36</v>
      </c>
      <c r="Q2865" s="3"/>
      <c r="R2865" s="4">
        <v>45996</v>
      </c>
      <c r="S2865" s="3" t="s">
        <v>37</v>
      </c>
      <c r="T2865" s="3" t="s">
        <v>38</v>
      </c>
      <c r="U2865" s="3" t="s">
        <v>39</v>
      </c>
      <c r="V2865" s="3">
        <v>103.18</v>
      </c>
      <c r="W2865" s="3">
        <v>43.85</v>
      </c>
      <c r="X2865" s="3">
        <v>41.53</v>
      </c>
      <c r="Y2865" s="3">
        <v>17.8</v>
      </c>
    </row>
    <row r="2866" spans="1:25" ht="60.75" x14ac:dyDescent="0.25">
      <c r="A2866" s="3" t="s">
        <v>26</v>
      </c>
      <c r="B2866" s="3" t="s">
        <v>27</v>
      </c>
      <c r="C2866" s="3" t="s">
        <v>28</v>
      </c>
      <c r="D2866" s="3" t="s">
        <v>157</v>
      </c>
      <c r="E2866" s="3" t="s">
        <v>158</v>
      </c>
      <c r="F2866" s="3" t="s">
        <v>159</v>
      </c>
      <c r="G2866" s="3" t="s">
        <v>158</v>
      </c>
      <c r="H2866" s="3" t="s">
        <v>45</v>
      </c>
      <c r="I2866" s="3">
        <v>2025</v>
      </c>
      <c r="J2866" s="3" t="str">
        <f>CONCATENATE("54820175716")</f>
        <v>54820175716</v>
      </c>
      <c r="K2866" s="3" t="s">
        <v>33</v>
      </c>
      <c r="L2866" s="3"/>
      <c r="M2866" s="3" t="s">
        <v>131</v>
      </c>
      <c r="N2866" s="3" t="str">
        <f>CONCATENATE("MGGLNI58T51G479F")</f>
        <v>MGGLNI58T51G479F</v>
      </c>
      <c r="O2866" s="3" t="s">
        <v>2993</v>
      </c>
      <c r="P2866" s="3" t="s">
        <v>36</v>
      </c>
      <c r="Q2866" s="3"/>
      <c r="R2866" s="4">
        <v>45996</v>
      </c>
      <c r="S2866" s="3" t="s">
        <v>37</v>
      </c>
      <c r="T2866" s="3" t="s">
        <v>38</v>
      </c>
      <c r="U2866" s="3" t="s">
        <v>39</v>
      </c>
      <c r="V2866" s="3">
        <v>98.36</v>
      </c>
      <c r="W2866" s="3">
        <v>41.8</v>
      </c>
      <c r="X2866" s="3">
        <v>39.590000000000003</v>
      </c>
      <c r="Y2866" s="3">
        <v>16.97</v>
      </c>
    </row>
    <row r="2867" spans="1:25" ht="60.75" x14ac:dyDescent="0.25">
      <c r="A2867" s="3" t="s">
        <v>26</v>
      </c>
      <c r="B2867" s="3" t="s">
        <v>27</v>
      </c>
      <c r="C2867" s="3" t="s">
        <v>28</v>
      </c>
      <c r="D2867" s="3" t="s">
        <v>29</v>
      </c>
      <c r="E2867" s="3" t="s">
        <v>136</v>
      </c>
      <c r="F2867" s="3" t="s">
        <v>31</v>
      </c>
      <c r="G2867" s="3" t="s">
        <v>136</v>
      </c>
      <c r="H2867" s="3" t="s">
        <v>48</v>
      </c>
      <c r="I2867" s="3">
        <v>2025</v>
      </c>
      <c r="J2867" s="3" t="str">
        <f>CONCATENATE("54820238100")</f>
        <v>54820238100</v>
      </c>
      <c r="K2867" s="3" t="s">
        <v>33</v>
      </c>
      <c r="L2867" s="3"/>
      <c r="M2867" s="3" t="s">
        <v>131</v>
      </c>
      <c r="N2867" s="3" t="str">
        <f>CONCATENATE("LLESMN70S15I461J")</f>
        <v>LLESMN70S15I461J</v>
      </c>
      <c r="O2867" s="3" t="s">
        <v>2994</v>
      </c>
      <c r="P2867" s="3" t="s">
        <v>36</v>
      </c>
      <c r="Q2867" s="3"/>
      <c r="R2867" s="4">
        <v>45996</v>
      </c>
      <c r="S2867" s="3" t="s">
        <v>37</v>
      </c>
      <c r="T2867" s="3" t="s">
        <v>38</v>
      </c>
      <c r="U2867" s="3" t="s">
        <v>39</v>
      </c>
      <c r="V2867" s="3">
        <v>107.62</v>
      </c>
      <c r="W2867" s="3">
        <v>45.74</v>
      </c>
      <c r="X2867" s="3">
        <v>43.32</v>
      </c>
      <c r="Y2867" s="3">
        <v>18.559999999999999</v>
      </c>
    </row>
    <row r="2868" spans="1:25" ht="60.75" x14ac:dyDescent="0.25">
      <c r="A2868" s="3" t="s">
        <v>26</v>
      </c>
      <c r="B2868" s="3" t="s">
        <v>27</v>
      </c>
      <c r="C2868" s="3" t="s">
        <v>28</v>
      </c>
      <c r="D2868" s="3" t="s">
        <v>29</v>
      </c>
      <c r="E2868" s="3" t="s">
        <v>80</v>
      </c>
      <c r="F2868" s="3" t="s">
        <v>31</v>
      </c>
      <c r="G2868" s="3" t="s">
        <v>80</v>
      </c>
      <c r="H2868" s="3" t="s">
        <v>45</v>
      </c>
      <c r="I2868" s="3">
        <v>2025</v>
      </c>
      <c r="J2868" s="3" t="str">
        <f>CONCATENATE("54820200571")</f>
        <v>54820200571</v>
      </c>
      <c r="K2868" s="3" t="s">
        <v>33</v>
      </c>
      <c r="L2868" s="3"/>
      <c r="M2868" s="3" t="s">
        <v>131</v>
      </c>
      <c r="N2868" s="3" t="str">
        <f>CONCATENATE("STRCSR62A12D791T")</f>
        <v>STRCSR62A12D791T</v>
      </c>
      <c r="O2868" s="3" t="s">
        <v>2995</v>
      </c>
      <c r="P2868" s="3" t="s">
        <v>36</v>
      </c>
      <c r="Q2868" s="3"/>
      <c r="R2868" s="4">
        <v>45996</v>
      </c>
      <c r="S2868" s="3" t="s">
        <v>37</v>
      </c>
      <c r="T2868" s="3" t="s">
        <v>38</v>
      </c>
      <c r="U2868" s="3" t="s">
        <v>39</v>
      </c>
      <c r="V2868" s="3">
        <v>373.31</v>
      </c>
      <c r="W2868" s="3">
        <v>158.66</v>
      </c>
      <c r="X2868" s="3">
        <v>150.26</v>
      </c>
      <c r="Y2868" s="3">
        <v>64.39</v>
      </c>
    </row>
    <row r="2869" spans="1:25" ht="60.75" x14ac:dyDescent="0.25">
      <c r="A2869" s="3" t="s">
        <v>26</v>
      </c>
      <c r="B2869" s="3" t="s">
        <v>27</v>
      </c>
      <c r="C2869" s="3" t="s">
        <v>28</v>
      </c>
      <c r="D2869" s="3" t="s">
        <v>50</v>
      </c>
      <c r="E2869" s="3" t="s">
        <v>252</v>
      </c>
      <c r="F2869" s="3" t="s">
        <v>52</v>
      </c>
      <c r="G2869" s="3" t="s">
        <v>252</v>
      </c>
      <c r="H2869" s="3" t="s">
        <v>45</v>
      </c>
      <c r="I2869" s="3">
        <v>2025</v>
      </c>
      <c r="J2869" s="3" t="str">
        <f>CONCATENATE("54820202833")</f>
        <v>54820202833</v>
      </c>
      <c r="K2869" s="3" t="s">
        <v>33</v>
      </c>
      <c r="L2869" s="3"/>
      <c r="M2869" s="3" t="s">
        <v>131</v>
      </c>
      <c r="N2869" s="3" t="str">
        <f>CONCATENATE("PSQNRC42D25D749Y")</f>
        <v>PSQNRC42D25D749Y</v>
      </c>
      <c r="O2869" s="3" t="s">
        <v>2996</v>
      </c>
      <c r="P2869" s="3" t="s">
        <v>36</v>
      </c>
      <c r="Q2869" s="3"/>
      <c r="R2869" s="4">
        <v>45996</v>
      </c>
      <c r="S2869" s="3" t="s">
        <v>37</v>
      </c>
      <c r="T2869" s="3" t="s">
        <v>38</v>
      </c>
      <c r="U2869" s="3" t="s">
        <v>39</v>
      </c>
      <c r="V2869" s="3">
        <v>104.27</v>
      </c>
      <c r="W2869" s="3">
        <v>44.31</v>
      </c>
      <c r="X2869" s="3">
        <v>41.97</v>
      </c>
      <c r="Y2869" s="3">
        <v>17.989999999999998</v>
      </c>
    </row>
    <row r="2870" spans="1:25" ht="60.75" x14ac:dyDescent="0.25">
      <c r="A2870" s="3" t="s">
        <v>26</v>
      </c>
      <c r="B2870" s="3" t="s">
        <v>27</v>
      </c>
      <c r="C2870" s="3" t="s">
        <v>28</v>
      </c>
      <c r="D2870" s="3" t="s">
        <v>50</v>
      </c>
      <c r="E2870" s="3" t="s">
        <v>147</v>
      </c>
      <c r="F2870" s="3" t="s">
        <v>52</v>
      </c>
      <c r="G2870" s="3" t="s">
        <v>147</v>
      </c>
      <c r="H2870" s="3" t="s">
        <v>45</v>
      </c>
      <c r="I2870" s="3">
        <v>2025</v>
      </c>
      <c r="J2870" s="3" t="str">
        <f>CONCATENATE("54820193206")</f>
        <v>54820193206</v>
      </c>
      <c r="K2870" s="3" t="s">
        <v>33</v>
      </c>
      <c r="L2870" s="3"/>
      <c r="M2870" s="3" t="s">
        <v>131</v>
      </c>
      <c r="N2870" s="3" t="str">
        <f>CONCATENATE("VCHWTR75E13L500Q")</f>
        <v>VCHWTR75E13L500Q</v>
      </c>
      <c r="O2870" s="3" t="s">
        <v>2997</v>
      </c>
      <c r="P2870" s="3" t="s">
        <v>36</v>
      </c>
      <c r="Q2870" s="3"/>
      <c r="R2870" s="4">
        <v>45996</v>
      </c>
      <c r="S2870" s="3" t="s">
        <v>37</v>
      </c>
      <c r="T2870" s="3" t="s">
        <v>38</v>
      </c>
      <c r="U2870" s="3" t="s">
        <v>39</v>
      </c>
      <c r="V2870" s="3">
        <v>321.67</v>
      </c>
      <c r="W2870" s="3">
        <v>136.71</v>
      </c>
      <c r="X2870" s="3">
        <v>129.47</v>
      </c>
      <c r="Y2870" s="3">
        <v>55.49</v>
      </c>
    </row>
    <row r="2871" spans="1:25" ht="60.75" x14ac:dyDescent="0.25">
      <c r="A2871" s="3" t="s">
        <v>26</v>
      </c>
      <c r="B2871" s="3" t="s">
        <v>27</v>
      </c>
      <c r="C2871" s="3" t="s">
        <v>28</v>
      </c>
      <c r="D2871" s="3" t="s">
        <v>29</v>
      </c>
      <c r="E2871" s="3" t="s">
        <v>47</v>
      </c>
      <c r="F2871" s="3" t="s">
        <v>31</v>
      </c>
      <c r="G2871" s="3" t="s">
        <v>47</v>
      </c>
      <c r="H2871" s="3" t="s">
        <v>48</v>
      </c>
      <c r="I2871" s="3">
        <v>2025</v>
      </c>
      <c r="J2871" s="3" t="str">
        <f>CONCATENATE("54820200043")</f>
        <v>54820200043</v>
      </c>
      <c r="K2871" s="3" t="s">
        <v>33</v>
      </c>
      <c r="L2871" s="3"/>
      <c r="M2871" s="3" t="s">
        <v>131</v>
      </c>
      <c r="N2871" s="3" t="str">
        <f>CONCATENATE("LLSRCR89R03D451W")</f>
        <v>LLSRCR89R03D451W</v>
      </c>
      <c r="O2871" s="3" t="s">
        <v>2998</v>
      </c>
      <c r="P2871" s="3" t="s">
        <v>36</v>
      </c>
      <c r="Q2871" s="3"/>
      <c r="R2871" s="4">
        <v>45996</v>
      </c>
      <c r="S2871" s="3" t="s">
        <v>37</v>
      </c>
      <c r="T2871" s="3" t="s">
        <v>38</v>
      </c>
      <c r="U2871" s="3" t="s">
        <v>39</v>
      </c>
      <c r="V2871" s="3">
        <v>603.38</v>
      </c>
      <c r="W2871" s="3">
        <v>256.44</v>
      </c>
      <c r="X2871" s="3">
        <v>242.86</v>
      </c>
      <c r="Y2871" s="3">
        <v>104.08</v>
      </c>
    </row>
    <row r="2872" spans="1:25" ht="60.75" x14ac:dyDescent="0.25">
      <c r="A2872" s="3" t="s">
        <v>26</v>
      </c>
      <c r="B2872" s="3" t="s">
        <v>27</v>
      </c>
      <c r="C2872" s="3" t="s">
        <v>28</v>
      </c>
      <c r="D2872" s="3" t="s">
        <v>29</v>
      </c>
      <c r="E2872" s="3" t="s">
        <v>47</v>
      </c>
      <c r="F2872" s="3" t="s">
        <v>31</v>
      </c>
      <c r="G2872" s="3" t="s">
        <v>47</v>
      </c>
      <c r="H2872" s="3" t="s">
        <v>48</v>
      </c>
      <c r="I2872" s="3">
        <v>2025</v>
      </c>
      <c r="J2872" s="3" t="str">
        <f>CONCATENATE("54820203179")</f>
        <v>54820203179</v>
      </c>
      <c r="K2872" s="3" t="s">
        <v>33</v>
      </c>
      <c r="L2872" s="3"/>
      <c r="M2872" s="3" t="s">
        <v>131</v>
      </c>
      <c r="N2872" s="3" t="str">
        <f>CONCATENATE("MSCCRL86C28D451A")</f>
        <v>MSCCRL86C28D451A</v>
      </c>
      <c r="O2872" s="3" t="s">
        <v>2999</v>
      </c>
      <c r="P2872" s="3" t="s">
        <v>36</v>
      </c>
      <c r="Q2872" s="3"/>
      <c r="R2872" s="4">
        <v>45996</v>
      </c>
      <c r="S2872" s="3" t="s">
        <v>37</v>
      </c>
      <c r="T2872" s="3" t="s">
        <v>38</v>
      </c>
      <c r="U2872" s="3" t="s">
        <v>39</v>
      </c>
      <c r="V2872" s="3">
        <v>60.12</v>
      </c>
      <c r="W2872" s="3">
        <v>25.55</v>
      </c>
      <c r="X2872" s="3">
        <v>24.2</v>
      </c>
      <c r="Y2872" s="3">
        <v>10.37</v>
      </c>
    </row>
    <row r="2873" spans="1:25" ht="60.75" x14ac:dyDescent="0.25">
      <c r="A2873" s="3" t="s">
        <v>26</v>
      </c>
      <c r="B2873" s="3" t="s">
        <v>27</v>
      </c>
      <c r="C2873" s="3" t="s">
        <v>28</v>
      </c>
      <c r="D2873" s="3" t="s">
        <v>104</v>
      </c>
      <c r="E2873" s="3" t="s">
        <v>141</v>
      </c>
      <c r="F2873" s="3" t="s">
        <v>104</v>
      </c>
      <c r="G2873" s="3" t="s">
        <v>141</v>
      </c>
      <c r="H2873" s="3" t="s">
        <v>96</v>
      </c>
      <c r="I2873" s="3">
        <v>2025</v>
      </c>
      <c r="J2873" s="3" t="str">
        <f>CONCATENATE("54820281449")</f>
        <v>54820281449</v>
      </c>
      <c r="K2873" s="3" t="s">
        <v>33</v>
      </c>
      <c r="L2873" s="3"/>
      <c r="M2873" s="3" t="s">
        <v>131</v>
      </c>
      <c r="N2873" s="3" t="str">
        <f>CONCATENATE("TSRMRA72R19C935S")</f>
        <v>TSRMRA72R19C935S</v>
      </c>
      <c r="O2873" s="3" t="s">
        <v>3000</v>
      </c>
      <c r="P2873" s="3" t="s">
        <v>36</v>
      </c>
      <c r="Q2873" s="3"/>
      <c r="R2873" s="4">
        <v>45996</v>
      </c>
      <c r="S2873" s="3" t="s">
        <v>37</v>
      </c>
      <c r="T2873" s="3" t="s">
        <v>38</v>
      </c>
      <c r="U2873" s="3" t="s">
        <v>39</v>
      </c>
      <c r="V2873" s="3">
        <v>49.59</v>
      </c>
      <c r="W2873" s="3">
        <v>21.08</v>
      </c>
      <c r="X2873" s="3">
        <v>19.96</v>
      </c>
      <c r="Y2873" s="3">
        <v>8.5500000000000007</v>
      </c>
    </row>
    <row r="2874" spans="1:25" ht="36.75" x14ac:dyDescent="0.25">
      <c r="A2874" s="3" t="s">
        <v>26</v>
      </c>
      <c r="B2874" s="3" t="s">
        <v>27</v>
      </c>
      <c r="C2874" s="3" t="s">
        <v>28</v>
      </c>
      <c r="D2874" s="3" t="s">
        <v>40</v>
      </c>
      <c r="E2874" s="3" t="s">
        <v>44</v>
      </c>
      <c r="F2874" s="3" t="s">
        <v>42</v>
      </c>
      <c r="G2874" s="3" t="s">
        <v>44</v>
      </c>
      <c r="H2874" s="3" t="s">
        <v>32</v>
      </c>
      <c r="I2874" s="3">
        <v>2025</v>
      </c>
      <c r="J2874" s="3" t="str">
        <f>CONCATENATE("54820280862")</f>
        <v>54820280862</v>
      </c>
      <c r="K2874" s="3" t="s">
        <v>33</v>
      </c>
      <c r="L2874" s="3"/>
      <c r="M2874" s="3" t="s">
        <v>131</v>
      </c>
      <c r="N2874" s="3" t="str">
        <f>CONCATENATE("01910340437")</f>
        <v>01910340437</v>
      </c>
      <c r="O2874" s="3" t="s">
        <v>3001</v>
      </c>
      <c r="P2874" s="3" t="s">
        <v>36</v>
      </c>
      <c r="Q2874" s="3"/>
      <c r="R2874" s="4">
        <v>45996</v>
      </c>
      <c r="S2874" s="3" t="s">
        <v>37</v>
      </c>
      <c r="T2874" s="3" t="s">
        <v>38</v>
      </c>
      <c r="U2874" s="3" t="s">
        <v>39</v>
      </c>
      <c r="V2874" s="3">
        <v>360.11</v>
      </c>
      <c r="W2874" s="3">
        <v>153.05000000000001</v>
      </c>
      <c r="X2874" s="3">
        <v>144.94</v>
      </c>
      <c r="Y2874" s="3">
        <v>62.12</v>
      </c>
    </row>
    <row r="2875" spans="1:25" ht="60.75" x14ac:dyDescent="0.25">
      <c r="A2875" s="3" t="s">
        <v>26</v>
      </c>
      <c r="B2875" s="3" t="s">
        <v>27</v>
      </c>
      <c r="C2875" s="3" t="s">
        <v>28</v>
      </c>
      <c r="D2875" s="3" t="s">
        <v>40</v>
      </c>
      <c r="E2875" s="3" t="s">
        <v>54</v>
      </c>
      <c r="F2875" s="3" t="s">
        <v>42</v>
      </c>
      <c r="G2875" s="3" t="s">
        <v>54</v>
      </c>
      <c r="H2875" s="3" t="s">
        <v>45</v>
      </c>
      <c r="I2875" s="3">
        <v>2025</v>
      </c>
      <c r="J2875" s="3" t="str">
        <f>CONCATENATE("54820019146")</f>
        <v>54820019146</v>
      </c>
      <c r="K2875" s="3" t="s">
        <v>33</v>
      </c>
      <c r="L2875" s="3"/>
      <c r="M2875" s="3" t="s">
        <v>131</v>
      </c>
      <c r="N2875" s="3" t="str">
        <f>CONCATENATE("MRLLSS67E47G453D")</f>
        <v>MRLLSS67E47G453D</v>
      </c>
      <c r="O2875" s="3" t="s">
        <v>3002</v>
      </c>
      <c r="P2875" s="3" t="s">
        <v>36</v>
      </c>
      <c r="Q2875" s="3"/>
      <c r="R2875" s="4">
        <v>45996</v>
      </c>
      <c r="S2875" s="3" t="s">
        <v>37</v>
      </c>
      <c r="T2875" s="3" t="s">
        <v>38</v>
      </c>
      <c r="U2875" s="3" t="s">
        <v>39</v>
      </c>
      <c r="V2875" s="3">
        <v>99.66</v>
      </c>
      <c r="W2875" s="3">
        <v>42.36</v>
      </c>
      <c r="X2875" s="3">
        <v>40.11</v>
      </c>
      <c r="Y2875" s="3">
        <v>17.190000000000001</v>
      </c>
    </row>
    <row r="2876" spans="1:25" ht="60.75" x14ac:dyDescent="0.25">
      <c r="A2876" s="3" t="s">
        <v>26</v>
      </c>
      <c r="B2876" s="3" t="s">
        <v>27</v>
      </c>
      <c r="C2876" s="3" t="s">
        <v>28</v>
      </c>
      <c r="D2876" s="3" t="s">
        <v>50</v>
      </c>
      <c r="E2876" s="3" t="s">
        <v>60</v>
      </c>
      <c r="F2876" s="3" t="s">
        <v>52</v>
      </c>
      <c r="G2876" s="3" t="s">
        <v>60</v>
      </c>
      <c r="H2876" s="3" t="s">
        <v>45</v>
      </c>
      <c r="I2876" s="3">
        <v>2025</v>
      </c>
      <c r="J2876" s="3" t="str">
        <f>CONCATENATE("54820149752")</f>
        <v>54820149752</v>
      </c>
      <c r="K2876" s="3" t="s">
        <v>33</v>
      </c>
      <c r="L2876" s="3"/>
      <c r="M2876" s="3" t="s">
        <v>131</v>
      </c>
      <c r="N2876" s="3" t="str">
        <f>CONCATENATE("PNZSNT60E68H501J")</f>
        <v>PNZSNT60E68H501J</v>
      </c>
      <c r="O2876" s="3" t="s">
        <v>3003</v>
      </c>
      <c r="P2876" s="3" t="s">
        <v>36</v>
      </c>
      <c r="Q2876" s="3"/>
      <c r="R2876" s="4">
        <v>45996</v>
      </c>
      <c r="S2876" s="3" t="s">
        <v>37</v>
      </c>
      <c r="T2876" s="3" t="s">
        <v>38</v>
      </c>
      <c r="U2876" s="3" t="s">
        <v>39</v>
      </c>
      <c r="V2876" s="3">
        <v>110.88</v>
      </c>
      <c r="W2876" s="3">
        <v>47.12</v>
      </c>
      <c r="X2876" s="3">
        <v>44.63</v>
      </c>
      <c r="Y2876" s="3">
        <v>19.13</v>
      </c>
    </row>
    <row r="2877" spans="1:25" ht="60.75" x14ac:dyDescent="0.25">
      <c r="A2877" s="3" t="s">
        <v>26</v>
      </c>
      <c r="B2877" s="3" t="s">
        <v>27</v>
      </c>
      <c r="C2877" s="3" t="s">
        <v>28</v>
      </c>
      <c r="D2877" s="3" t="s">
        <v>104</v>
      </c>
      <c r="E2877" s="3" t="s">
        <v>141</v>
      </c>
      <c r="F2877" s="3" t="s">
        <v>104</v>
      </c>
      <c r="G2877" s="3" t="s">
        <v>141</v>
      </c>
      <c r="H2877" s="3" t="s">
        <v>96</v>
      </c>
      <c r="I2877" s="3">
        <v>2025</v>
      </c>
      <c r="J2877" s="3" t="str">
        <f>CONCATENATE("54820117387")</f>
        <v>54820117387</v>
      </c>
      <c r="K2877" s="3" t="s">
        <v>33</v>
      </c>
      <c r="L2877" s="3"/>
      <c r="M2877" s="3" t="s">
        <v>131</v>
      </c>
      <c r="N2877" s="3" t="str">
        <f>CONCATENATE("DLDMRC85H20A252C")</f>
        <v>DLDMRC85H20A252C</v>
      </c>
      <c r="O2877" s="3" t="s">
        <v>3004</v>
      </c>
      <c r="P2877" s="3" t="s">
        <v>36</v>
      </c>
      <c r="Q2877" s="3"/>
      <c r="R2877" s="4">
        <v>45996</v>
      </c>
      <c r="S2877" s="3" t="s">
        <v>37</v>
      </c>
      <c r="T2877" s="3" t="s">
        <v>38</v>
      </c>
      <c r="U2877" s="3" t="s">
        <v>39</v>
      </c>
      <c r="V2877" s="3">
        <v>108.61</v>
      </c>
      <c r="W2877" s="3">
        <v>46.16</v>
      </c>
      <c r="X2877" s="3">
        <v>43.72</v>
      </c>
      <c r="Y2877" s="3">
        <v>18.73</v>
      </c>
    </row>
    <row r="2878" spans="1:25" ht="60.75" x14ac:dyDescent="0.25">
      <c r="A2878" s="3" t="s">
        <v>26</v>
      </c>
      <c r="B2878" s="3" t="s">
        <v>27</v>
      </c>
      <c r="C2878" s="3" t="s">
        <v>28</v>
      </c>
      <c r="D2878" s="3" t="s">
        <v>29</v>
      </c>
      <c r="E2878" s="3" t="s">
        <v>136</v>
      </c>
      <c r="F2878" s="3" t="s">
        <v>31</v>
      </c>
      <c r="G2878" s="3" t="s">
        <v>136</v>
      </c>
      <c r="H2878" s="3" t="s">
        <v>48</v>
      </c>
      <c r="I2878" s="3">
        <v>2025</v>
      </c>
      <c r="J2878" s="3" t="str">
        <f>CONCATENATE("54820172036")</f>
        <v>54820172036</v>
      </c>
      <c r="K2878" s="3" t="s">
        <v>33</v>
      </c>
      <c r="L2878" s="3"/>
      <c r="M2878" s="3" t="s">
        <v>131</v>
      </c>
      <c r="N2878" s="3" t="str">
        <f>CONCATENATE("RNCRRA51M45A366Y")</f>
        <v>RNCRRA51M45A366Y</v>
      </c>
      <c r="O2878" s="3" t="s">
        <v>3005</v>
      </c>
      <c r="P2878" s="3" t="s">
        <v>36</v>
      </c>
      <c r="Q2878" s="3"/>
      <c r="R2878" s="4">
        <v>45996</v>
      </c>
      <c r="S2878" s="3" t="s">
        <v>37</v>
      </c>
      <c r="T2878" s="3" t="s">
        <v>38</v>
      </c>
      <c r="U2878" s="3" t="s">
        <v>39</v>
      </c>
      <c r="V2878" s="3">
        <v>81.7</v>
      </c>
      <c r="W2878" s="3">
        <v>34.72</v>
      </c>
      <c r="X2878" s="3">
        <v>32.880000000000003</v>
      </c>
      <c r="Y2878" s="3">
        <v>14.1</v>
      </c>
    </row>
    <row r="2879" spans="1:25" ht="60.75" x14ac:dyDescent="0.25">
      <c r="A2879" s="3" t="s">
        <v>26</v>
      </c>
      <c r="B2879" s="3" t="s">
        <v>27</v>
      </c>
      <c r="C2879" s="3" t="s">
        <v>28</v>
      </c>
      <c r="D2879" s="3" t="s">
        <v>29</v>
      </c>
      <c r="E2879" s="3" t="s">
        <v>136</v>
      </c>
      <c r="F2879" s="3" t="s">
        <v>31</v>
      </c>
      <c r="G2879" s="3" t="s">
        <v>136</v>
      </c>
      <c r="H2879" s="3" t="s">
        <v>48</v>
      </c>
      <c r="I2879" s="3">
        <v>2025</v>
      </c>
      <c r="J2879" s="3" t="str">
        <f>CONCATENATE("54820174990")</f>
        <v>54820174990</v>
      </c>
      <c r="K2879" s="3" t="s">
        <v>33</v>
      </c>
      <c r="L2879" s="3"/>
      <c r="M2879" s="3" t="s">
        <v>131</v>
      </c>
      <c r="N2879" s="3" t="str">
        <f>CONCATENATE("RSTRRD83P04D451P")</f>
        <v>RSTRRD83P04D451P</v>
      </c>
      <c r="O2879" s="3" t="s">
        <v>3006</v>
      </c>
      <c r="P2879" s="3" t="s">
        <v>36</v>
      </c>
      <c r="Q2879" s="3"/>
      <c r="R2879" s="4">
        <v>45996</v>
      </c>
      <c r="S2879" s="3" t="s">
        <v>37</v>
      </c>
      <c r="T2879" s="3" t="s">
        <v>38</v>
      </c>
      <c r="U2879" s="3" t="s">
        <v>39</v>
      </c>
      <c r="V2879" s="3">
        <v>49.45</v>
      </c>
      <c r="W2879" s="3">
        <v>21.02</v>
      </c>
      <c r="X2879" s="3">
        <v>19.899999999999999</v>
      </c>
      <c r="Y2879" s="3">
        <v>8.5299999999999994</v>
      </c>
    </row>
    <row r="2880" spans="1:25" ht="72.75" x14ac:dyDescent="0.25">
      <c r="A2880" s="3" t="s">
        <v>26</v>
      </c>
      <c r="B2880" s="3" t="s">
        <v>27</v>
      </c>
      <c r="C2880" s="3" t="s">
        <v>28</v>
      </c>
      <c r="D2880" s="3" t="s">
        <v>29</v>
      </c>
      <c r="E2880" s="3" t="s">
        <v>3007</v>
      </c>
      <c r="F2880" s="3" t="s">
        <v>31</v>
      </c>
      <c r="G2880" s="3" t="s">
        <v>3007</v>
      </c>
      <c r="H2880" s="3" t="s">
        <v>32</v>
      </c>
      <c r="I2880" s="3">
        <v>2025</v>
      </c>
      <c r="J2880" s="3" t="str">
        <f>CONCATENATE("54820119086")</f>
        <v>54820119086</v>
      </c>
      <c r="K2880" s="3" t="s">
        <v>33</v>
      </c>
      <c r="L2880" s="3"/>
      <c r="M2880" s="3" t="s">
        <v>131</v>
      </c>
      <c r="N2880" s="3" t="str">
        <f>CONCATENATE("PCNMNL99D23A271W")</f>
        <v>PCNMNL99D23A271W</v>
      </c>
      <c r="O2880" s="3" t="s">
        <v>3008</v>
      </c>
      <c r="P2880" s="3" t="s">
        <v>36</v>
      </c>
      <c r="Q2880" s="3"/>
      <c r="R2880" s="4">
        <v>45996</v>
      </c>
      <c r="S2880" s="3" t="s">
        <v>37</v>
      </c>
      <c r="T2880" s="3" t="s">
        <v>38</v>
      </c>
      <c r="U2880" s="3" t="s">
        <v>39</v>
      </c>
      <c r="V2880" s="3">
        <v>183.45</v>
      </c>
      <c r="W2880" s="3">
        <v>77.97</v>
      </c>
      <c r="X2880" s="3">
        <v>73.84</v>
      </c>
      <c r="Y2880" s="3">
        <v>31.64</v>
      </c>
    </row>
    <row r="2881" spans="1:25" ht="60.75" x14ac:dyDescent="0.25">
      <c r="A2881" s="3" t="s">
        <v>26</v>
      </c>
      <c r="B2881" s="3" t="s">
        <v>27</v>
      </c>
      <c r="C2881" s="3" t="s">
        <v>28</v>
      </c>
      <c r="D2881" s="3" t="s">
        <v>29</v>
      </c>
      <c r="E2881" s="3" t="s">
        <v>119</v>
      </c>
      <c r="F2881" s="3" t="s">
        <v>31</v>
      </c>
      <c r="G2881" s="3" t="s">
        <v>119</v>
      </c>
      <c r="H2881" s="3" t="s">
        <v>96</v>
      </c>
      <c r="I2881" s="3">
        <v>2025</v>
      </c>
      <c r="J2881" s="3" t="str">
        <f>CONCATENATE("54820039029")</f>
        <v>54820039029</v>
      </c>
      <c r="K2881" s="3" t="s">
        <v>33</v>
      </c>
      <c r="L2881" s="3"/>
      <c r="M2881" s="3" t="s">
        <v>131</v>
      </c>
      <c r="N2881" s="3" t="str">
        <f>CONCATENATE("CRZNDR72M18A252Y")</f>
        <v>CRZNDR72M18A252Y</v>
      </c>
      <c r="O2881" s="3" t="s">
        <v>3009</v>
      </c>
      <c r="P2881" s="3" t="s">
        <v>36</v>
      </c>
      <c r="Q2881" s="3"/>
      <c r="R2881" s="4">
        <v>45996</v>
      </c>
      <c r="S2881" s="3" t="s">
        <v>37</v>
      </c>
      <c r="T2881" s="3" t="s">
        <v>38</v>
      </c>
      <c r="U2881" s="3" t="s">
        <v>39</v>
      </c>
      <c r="V2881" s="3">
        <v>108.69</v>
      </c>
      <c r="W2881" s="3">
        <v>46.19</v>
      </c>
      <c r="X2881" s="3">
        <v>43.75</v>
      </c>
      <c r="Y2881" s="3">
        <v>18.75</v>
      </c>
    </row>
    <row r="2882" spans="1:25" ht="36.75" x14ac:dyDescent="0.25">
      <c r="A2882" s="3" t="s">
        <v>26</v>
      </c>
      <c r="B2882" s="3" t="s">
        <v>27</v>
      </c>
      <c r="C2882" s="3" t="s">
        <v>28</v>
      </c>
      <c r="D2882" s="3" t="s">
        <v>29</v>
      </c>
      <c r="E2882" s="3" t="s">
        <v>56</v>
      </c>
      <c r="F2882" s="3" t="s">
        <v>31</v>
      </c>
      <c r="G2882" s="3" t="s">
        <v>56</v>
      </c>
      <c r="H2882" s="3" t="s">
        <v>32</v>
      </c>
      <c r="I2882" s="3">
        <v>2025</v>
      </c>
      <c r="J2882" s="3" t="str">
        <f>CONCATENATE("54820269600")</f>
        <v>54820269600</v>
      </c>
      <c r="K2882" s="3" t="s">
        <v>33</v>
      </c>
      <c r="L2882" s="3"/>
      <c r="M2882" s="3" t="s">
        <v>131</v>
      </c>
      <c r="N2882" s="3" t="str">
        <f>CONCATENATE("00608910436")</f>
        <v>00608910436</v>
      </c>
      <c r="O2882" s="3" t="s">
        <v>3010</v>
      </c>
      <c r="P2882" s="3" t="s">
        <v>36</v>
      </c>
      <c r="Q2882" s="3"/>
      <c r="R2882" s="4">
        <v>45996</v>
      </c>
      <c r="S2882" s="3" t="s">
        <v>37</v>
      </c>
      <c r="T2882" s="3" t="s">
        <v>38</v>
      </c>
      <c r="U2882" s="3" t="s">
        <v>39</v>
      </c>
      <c r="V2882" s="3">
        <v>920.62</v>
      </c>
      <c r="W2882" s="3">
        <v>391.26</v>
      </c>
      <c r="X2882" s="3">
        <v>370.55</v>
      </c>
      <c r="Y2882" s="3">
        <v>158.81</v>
      </c>
    </row>
    <row r="2883" spans="1:25" ht="36.75" x14ac:dyDescent="0.25">
      <c r="A2883" s="3" t="s">
        <v>26</v>
      </c>
      <c r="B2883" s="3" t="s">
        <v>27</v>
      </c>
      <c r="C2883" s="3" t="s">
        <v>28</v>
      </c>
      <c r="D2883" s="3" t="s">
        <v>50</v>
      </c>
      <c r="E2883" s="3" t="s">
        <v>51</v>
      </c>
      <c r="F2883" s="3" t="s">
        <v>52</v>
      </c>
      <c r="G2883" s="3" t="s">
        <v>51</v>
      </c>
      <c r="H2883" s="3" t="s">
        <v>48</v>
      </c>
      <c r="I2883" s="3">
        <v>2025</v>
      </c>
      <c r="J2883" s="3" t="str">
        <f>CONCATENATE("54820233770")</f>
        <v>54820233770</v>
      </c>
      <c r="K2883" s="3" t="s">
        <v>33</v>
      </c>
      <c r="L2883" s="3"/>
      <c r="M2883" s="3" t="s">
        <v>131</v>
      </c>
      <c r="N2883" s="3" t="str">
        <f>CONCATENATE("02770060420")</f>
        <v>02770060420</v>
      </c>
      <c r="O2883" s="3" t="s">
        <v>3011</v>
      </c>
      <c r="P2883" s="3" t="s">
        <v>36</v>
      </c>
      <c r="Q2883" s="3"/>
      <c r="R2883" s="4">
        <v>45996</v>
      </c>
      <c r="S2883" s="3" t="s">
        <v>37</v>
      </c>
      <c r="T2883" s="3" t="s">
        <v>38</v>
      </c>
      <c r="U2883" s="3" t="s">
        <v>39</v>
      </c>
      <c r="V2883" s="5">
        <v>1430.53</v>
      </c>
      <c r="W2883" s="3">
        <v>607.98</v>
      </c>
      <c r="X2883" s="3">
        <v>575.79</v>
      </c>
      <c r="Y2883" s="3">
        <v>246.76</v>
      </c>
    </row>
    <row r="2884" spans="1:25" ht="60.75" x14ac:dyDescent="0.25">
      <c r="A2884" s="3" t="s">
        <v>26</v>
      </c>
      <c r="B2884" s="3" t="s">
        <v>27</v>
      </c>
      <c r="C2884" s="3" t="s">
        <v>28</v>
      </c>
      <c r="D2884" s="3" t="s">
        <v>29</v>
      </c>
      <c r="E2884" s="3" t="s">
        <v>101</v>
      </c>
      <c r="F2884" s="3" t="s">
        <v>31</v>
      </c>
      <c r="G2884" s="3" t="s">
        <v>101</v>
      </c>
      <c r="H2884" s="3" t="s">
        <v>32</v>
      </c>
      <c r="I2884" s="3">
        <v>2025</v>
      </c>
      <c r="J2884" s="3" t="str">
        <f>CONCATENATE("54820234794")</f>
        <v>54820234794</v>
      </c>
      <c r="K2884" s="3" t="s">
        <v>33</v>
      </c>
      <c r="L2884" s="3"/>
      <c r="M2884" s="3" t="s">
        <v>131</v>
      </c>
      <c r="N2884" s="3" t="str">
        <f>CONCATENATE("GMNLRT72P15L191L")</f>
        <v>GMNLRT72P15L191L</v>
      </c>
      <c r="O2884" s="3" t="s">
        <v>3012</v>
      </c>
      <c r="P2884" s="3" t="s">
        <v>36</v>
      </c>
      <c r="Q2884" s="3"/>
      <c r="R2884" s="4">
        <v>45996</v>
      </c>
      <c r="S2884" s="3" t="s">
        <v>37</v>
      </c>
      <c r="T2884" s="3" t="s">
        <v>38</v>
      </c>
      <c r="U2884" s="3" t="s">
        <v>39</v>
      </c>
      <c r="V2884" s="3">
        <v>279.42</v>
      </c>
      <c r="W2884" s="3">
        <v>118.75</v>
      </c>
      <c r="X2884" s="3">
        <v>112.47</v>
      </c>
      <c r="Y2884" s="3">
        <v>48.2</v>
      </c>
    </row>
    <row r="2885" spans="1:25" ht="60.75" x14ac:dyDescent="0.25">
      <c r="A2885" s="3" t="s">
        <v>26</v>
      </c>
      <c r="B2885" s="3" t="s">
        <v>27</v>
      </c>
      <c r="C2885" s="3" t="s">
        <v>28</v>
      </c>
      <c r="D2885" s="3" t="s">
        <v>29</v>
      </c>
      <c r="E2885" s="3" t="s">
        <v>136</v>
      </c>
      <c r="F2885" s="3" t="s">
        <v>31</v>
      </c>
      <c r="G2885" s="3" t="s">
        <v>136</v>
      </c>
      <c r="H2885" s="3" t="s">
        <v>48</v>
      </c>
      <c r="I2885" s="3">
        <v>2025</v>
      </c>
      <c r="J2885" s="3" t="str">
        <f>CONCATENATE("54820180211")</f>
        <v>54820180211</v>
      </c>
      <c r="K2885" s="3" t="s">
        <v>33</v>
      </c>
      <c r="L2885" s="3"/>
      <c r="M2885" s="3" t="s">
        <v>131</v>
      </c>
      <c r="N2885" s="3" t="str">
        <f>CONCATENATE("SMRSRG65T20I461U")</f>
        <v>SMRSRG65T20I461U</v>
      </c>
      <c r="O2885" s="3" t="s">
        <v>3013</v>
      </c>
      <c r="P2885" s="3" t="s">
        <v>36</v>
      </c>
      <c r="Q2885" s="3"/>
      <c r="R2885" s="4">
        <v>45996</v>
      </c>
      <c r="S2885" s="3" t="s">
        <v>37</v>
      </c>
      <c r="T2885" s="3" t="s">
        <v>38</v>
      </c>
      <c r="U2885" s="3" t="s">
        <v>39</v>
      </c>
      <c r="V2885" s="3">
        <v>749.26</v>
      </c>
      <c r="W2885" s="3">
        <v>318.44</v>
      </c>
      <c r="X2885" s="3">
        <v>301.58</v>
      </c>
      <c r="Y2885" s="3">
        <v>129.24</v>
      </c>
    </row>
    <row r="2886" spans="1:25" ht="60.75" x14ac:dyDescent="0.25">
      <c r="A2886" s="3" t="s">
        <v>26</v>
      </c>
      <c r="B2886" s="3" t="s">
        <v>27</v>
      </c>
      <c r="C2886" s="3" t="s">
        <v>28</v>
      </c>
      <c r="D2886" s="3" t="s">
        <v>157</v>
      </c>
      <c r="E2886" s="3" t="s">
        <v>158</v>
      </c>
      <c r="F2886" s="3" t="s">
        <v>159</v>
      </c>
      <c r="G2886" s="3" t="s">
        <v>158</v>
      </c>
      <c r="H2886" s="3" t="s">
        <v>45</v>
      </c>
      <c r="I2886" s="3">
        <v>2025</v>
      </c>
      <c r="J2886" s="3" t="str">
        <f>CONCATENATE("54820256847")</f>
        <v>54820256847</v>
      </c>
      <c r="K2886" s="3" t="s">
        <v>33</v>
      </c>
      <c r="L2886" s="3"/>
      <c r="M2886" s="3" t="s">
        <v>131</v>
      </c>
      <c r="N2886" s="3" t="str">
        <f>CONCATENATE("CLNGPP48S20L500N")</f>
        <v>CLNGPP48S20L500N</v>
      </c>
      <c r="O2886" s="3" t="s">
        <v>3014</v>
      </c>
      <c r="P2886" s="3" t="s">
        <v>36</v>
      </c>
      <c r="Q2886" s="3"/>
      <c r="R2886" s="4">
        <v>45996</v>
      </c>
      <c r="S2886" s="3" t="s">
        <v>37</v>
      </c>
      <c r="T2886" s="3" t="s">
        <v>38</v>
      </c>
      <c r="U2886" s="3" t="s">
        <v>39</v>
      </c>
      <c r="V2886" s="3">
        <v>100.58</v>
      </c>
      <c r="W2886" s="3">
        <v>42.75</v>
      </c>
      <c r="X2886" s="3">
        <v>40.479999999999997</v>
      </c>
      <c r="Y2886" s="3">
        <v>17.350000000000001</v>
      </c>
    </row>
    <row r="2887" spans="1:25" ht="36.75" x14ac:dyDescent="0.25">
      <c r="A2887" s="3" t="s">
        <v>26</v>
      </c>
      <c r="B2887" s="3" t="s">
        <v>27</v>
      </c>
      <c r="C2887" s="3" t="s">
        <v>28</v>
      </c>
      <c r="D2887" s="3" t="s">
        <v>50</v>
      </c>
      <c r="E2887" s="3" t="s">
        <v>149</v>
      </c>
      <c r="F2887" s="3" t="s">
        <v>52</v>
      </c>
      <c r="G2887" s="3" t="s">
        <v>149</v>
      </c>
      <c r="H2887" s="3" t="s">
        <v>96</v>
      </c>
      <c r="I2887" s="3">
        <v>2025</v>
      </c>
      <c r="J2887" s="3" t="str">
        <f>CONCATENATE("54820208269")</f>
        <v>54820208269</v>
      </c>
      <c r="K2887" s="3" t="s">
        <v>33</v>
      </c>
      <c r="L2887" s="3"/>
      <c r="M2887" s="3" t="s">
        <v>131</v>
      </c>
      <c r="N2887" s="3" t="str">
        <f>CONCATENATE("01782470445")</f>
        <v>01782470445</v>
      </c>
      <c r="O2887" s="3" t="s">
        <v>3015</v>
      </c>
      <c r="P2887" s="3" t="s">
        <v>36</v>
      </c>
      <c r="Q2887" s="3"/>
      <c r="R2887" s="4">
        <v>45996</v>
      </c>
      <c r="S2887" s="3" t="s">
        <v>37</v>
      </c>
      <c r="T2887" s="3" t="s">
        <v>38</v>
      </c>
      <c r="U2887" s="3" t="s">
        <v>39</v>
      </c>
      <c r="V2887" s="3">
        <v>365.73</v>
      </c>
      <c r="W2887" s="3">
        <v>155.44</v>
      </c>
      <c r="X2887" s="3">
        <v>147.21</v>
      </c>
      <c r="Y2887" s="3">
        <v>63.08</v>
      </c>
    </row>
    <row r="2888" spans="1:25" ht="36.75" x14ac:dyDescent="0.25">
      <c r="A2888" s="3" t="s">
        <v>26</v>
      </c>
      <c r="B2888" s="3" t="s">
        <v>27</v>
      </c>
      <c r="C2888" s="3" t="s">
        <v>28</v>
      </c>
      <c r="D2888" s="3" t="s">
        <v>29</v>
      </c>
      <c r="E2888" s="3" t="s">
        <v>56</v>
      </c>
      <c r="F2888" s="3" t="s">
        <v>31</v>
      </c>
      <c r="G2888" s="3" t="s">
        <v>56</v>
      </c>
      <c r="H2888" s="3" t="s">
        <v>32</v>
      </c>
      <c r="I2888" s="3">
        <v>2025</v>
      </c>
      <c r="J2888" s="3" t="str">
        <f>CONCATENATE("54820278403")</f>
        <v>54820278403</v>
      </c>
      <c r="K2888" s="3" t="s">
        <v>33</v>
      </c>
      <c r="L2888" s="3"/>
      <c r="M2888" s="3" t="s">
        <v>131</v>
      </c>
      <c r="N2888" s="3" t="str">
        <f>CONCATENATE("01015260431")</f>
        <v>01015260431</v>
      </c>
      <c r="O2888" s="3" t="s">
        <v>3016</v>
      </c>
      <c r="P2888" s="3" t="s">
        <v>36</v>
      </c>
      <c r="Q2888" s="3"/>
      <c r="R2888" s="4">
        <v>45996</v>
      </c>
      <c r="S2888" s="3" t="s">
        <v>37</v>
      </c>
      <c r="T2888" s="3" t="s">
        <v>38</v>
      </c>
      <c r="U2888" s="3" t="s">
        <v>39</v>
      </c>
      <c r="V2888" s="5">
        <v>1071.4100000000001</v>
      </c>
      <c r="W2888" s="3">
        <v>455.35</v>
      </c>
      <c r="X2888" s="3">
        <v>431.24</v>
      </c>
      <c r="Y2888" s="3">
        <v>184.82</v>
      </c>
    </row>
    <row r="2889" spans="1:25" ht="60.75" x14ac:dyDescent="0.25">
      <c r="A2889" s="3" t="s">
        <v>26</v>
      </c>
      <c r="B2889" s="3" t="s">
        <v>27</v>
      </c>
      <c r="C2889" s="3" t="s">
        <v>28</v>
      </c>
      <c r="D2889" s="3" t="s">
        <v>50</v>
      </c>
      <c r="E2889" s="3" t="s">
        <v>51</v>
      </c>
      <c r="F2889" s="3" t="s">
        <v>52</v>
      </c>
      <c r="G2889" s="3" t="s">
        <v>51</v>
      </c>
      <c r="H2889" s="3" t="s">
        <v>48</v>
      </c>
      <c r="I2889" s="3">
        <v>2025</v>
      </c>
      <c r="J2889" s="3" t="str">
        <f>CONCATENATE("54820272687")</f>
        <v>54820272687</v>
      </c>
      <c r="K2889" s="3" t="s">
        <v>33</v>
      </c>
      <c r="L2889" s="3"/>
      <c r="M2889" s="3" t="s">
        <v>131</v>
      </c>
      <c r="N2889" s="3" t="str">
        <f>CONCATENATE("CTNLND88H68Z129N")</f>
        <v>CTNLND88H68Z129N</v>
      </c>
      <c r="O2889" s="3" t="s">
        <v>3017</v>
      </c>
      <c r="P2889" s="3" t="s">
        <v>36</v>
      </c>
      <c r="Q2889" s="3"/>
      <c r="R2889" s="4">
        <v>45996</v>
      </c>
      <c r="S2889" s="3" t="s">
        <v>37</v>
      </c>
      <c r="T2889" s="3" t="s">
        <v>38</v>
      </c>
      <c r="U2889" s="3" t="s">
        <v>39</v>
      </c>
      <c r="V2889" s="3">
        <v>667.86</v>
      </c>
      <c r="W2889" s="3">
        <v>283.83999999999997</v>
      </c>
      <c r="X2889" s="3">
        <v>268.81</v>
      </c>
      <c r="Y2889" s="3">
        <v>115.21</v>
      </c>
    </row>
    <row r="2890" spans="1:25" ht="72.75" x14ac:dyDescent="0.25">
      <c r="A2890" s="3" t="s">
        <v>26</v>
      </c>
      <c r="B2890" s="3" t="s">
        <v>27</v>
      </c>
      <c r="C2890" s="3" t="s">
        <v>28</v>
      </c>
      <c r="D2890" s="3" t="s">
        <v>50</v>
      </c>
      <c r="E2890" s="3" t="s">
        <v>60</v>
      </c>
      <c r="F2890" s="3" t="s">
        <v>52</v>
      </c>
      <c r="G2890" s="3" t="s">
        <v>60</v>
      </c>
      <c r="H2890" s="3" t="s">
        <v>45</v>
      </c>
      <c r="I2890" s="3">
        <v>2025</v>
      </c>
      <c r="J2890" s="3" t="str">
        <f>CONCATENATE("54820239090")</f>
        <v>54820239090</v>
      </c>
      <c r="K2890" s="3" t="s">
        <v>33</v>
      </c>
      <c r="L2890" s="3"/>
      <c r="M2890" s="3" t="s">
        <v>131</v>
      </c>
      <c r="N2890" s="3" t="str">
        <f>CONCATENATE("CNCNDR77R25D488Q")</f>
        <v>CNCNDR77R25D488Q</v>
      </c>
      <c r="O2890" s="3" t="s">
        <v>2240</v>
      </c>
      <c r="P2890" s="3" t="s">
        <v>36</v>
      </c>
      <c r="Q2890" s="3"/>
      <c r="R2890" s="4">
        <v>45996</v>
      </c>
      <c r="S2890" s="3" t="s">
        <v>37</v>
      </c>
      <c r="T2890" s="3" t="s">
        <v>38</v>
      </c>
      <c r="U2890" s="3" t="s">
        <v>39</v>
      </c>
      <c r="V2890" s="3">
        <v>970.78</v>
      </c>
      <c r="W2890" s="3">
        <v>412.58</v>
      </c>
      <c r="X2890" s="3">
        <v>390.74</v>
      </c>
      <c r="Y2890" s="3">
        <v>167.46</v>
      </c>
    </row>
    <row r="2891" spans="1:25" ht="60.75" x14ac:dyDescent="0.25">
      <c r="A2891" s="3" t="s">
        <v>26</v>
      </c>
      <c r="B2891" s="3" t="s">
        <v>27</v>
      </c>
      <c r="C2891" s="3" t="s">
        <v>28</v>
      </c>
      <c r="D2891" s="3" t="s">
        <v>40</v>
      </c>
      <c r="E2891" s="3" t="s">
        <v>496</v>
      </c>
      <c r="F2891" s="3" t="s">
        <v>42</v>
      </c>
      <c r="G2891" s="3" t="s">
        <v>496</v>
      </c>
      <c r="H2891" s="3" t="s">
        <v>32</v>
      </c>
      <c r="I2891" s="3">
        <v>2025</v>
      </c>
      <c r="J2891" s="3" t="str">
        <f>CONCATENATE("54820365762")</f>
        <v>54820365762</v>
      </c>
      <c r="K2891" s="3" t="s">
        <v>33</v>
      </c>
      <c r="L2891" s="3"/>
      <c r="M2891" s="3" t="s">
        <v>131</v>
      </c>
      <c r="N2891" s="3" t="str">
        <f>CONCATENATE("MNTDLN34E26H876U")</f>
        <v>MNTDLN34E26H876U</v>
      </c>
      <c r="O2891" s="3" t="s">
        <v>3018</v>
      </c>
      <c r="P2891" s="3" t="s">
        <v>36</v>
      </c>
      <c r="Q2891" s="3"/>
      <c r="R2891" s="4">
        <v>45996</v>
      </c>
      <c r="S2891" s="3" t="s">
        <v>37</v>
      </c>
      <c r="T2891" s="3" t="s">
        <v>38</v>
      </c>
      <c r="U2891" s="3" t="s">
        <v>39</v>
      </c>
      <c r="V2891" s="3">
        <v>81.45</v>
      </c>
      <c r="W2891" s="3">
        <v>34.619999999999997</v>
      </c>
      <c r="X2891" s="3">
        <v>32.78</v>
      </c>
      <c r="Y2891" s="3">
        <v>14.05</v>
      </c>
    </row>
    <row r="2892" spans="1:25" ht="60.75" x14ac:dyDescent="0.25">
      <c r="A2892" s="3" t="s">
        <v>26</v>
      </c>
      <c r="B2892" s="3" t="s">
        <v>27</v>
      </c>
      <c r="C2892" s="3" t="s">
        <v>28</v>
      </c>
      <c r="D2892" s="3" t="s">
        <v>50</v>
      </c>
      <c r="E2892" s="3" t="s">
        <v>147</v>
      </c>
      <c r="F2892" s="3" t="s">
        <v>52</v>
      </c>
      <c r="G2892" s="3" t="s">
        <v>147</v>
      </c>
      <c r="H2892" s="3" t="s">
        <v>45</v>
      </c>
      <c r="I2892" s="3">
        <v>2025</v>
      </c>
      <c r="J2892" s="3" t="str">
        <f>CONCATENATE("54820177985")</f>
        <v>54820177985</v>
      </c>
      <c r="K2892" s="3" t="s">
        <v>33</v>
      </c>
      <c r="L2892" s="3"/>
      <c r="M2892" s="3" t="s">
        <v>131</v>
      </c>
      <c r="N2892" s="3" t="str">
        <f>CONCATENATE("RCCLCU92T28L500E")</f>
        <v>RCCLCU92T28L500E</v>
      </c>
      <c r="O2892" s="3" t="s">
        <v>3019</v>
      </c>
      <c r="P2892" s="3" t="s">
        <v>36</v>
      </c>
      <c r="Q2892" s="3"/>
      <c r="R2892" s="4">
        <v>45996</v>
      </c>
      <c r="S2892" s="3" t="s">
        <v>37</v>
      </c>
      <c r="T2892" s="3" t="s">
        <v>38</v>
      </c>
      <c r="U2892" s="3" t="s">
        <v>39</v>
      </c>
      <c r="V2892" s="5">
        <v>1269.82</v>
      </c>
      <c r="W2892" s="3">
        <v>539.66999999999996</v>
      </c>
      <c r="X2892" s="3">
        <v>511.1</v>
      </c>
      <c r="Y2892" s="3">
        <v>219.05</v>
      </c>
    </row>
    <row r="2893" spans="1:25" ht="60.75" x14ac:dyDescent="0.25">
      <c r="A2893" s="3" t="s">
        <v>26</v>
      </c>
      <c r="B2893" s="3" t="s">
        <v>27</v>
      </c>
      <c r="C2893" s="3" t="s">
        <v>28</v>
      </c>
      <c r="D2893" s="3" t="s">
        <v>29</v>
      </c>
      <c r="E2893" s="3" t="s">
        <v>228</v>
      </c>
      <c r="F2893" s="3" t="s">
        <v>31</v>
      </c>
      <c r="G2893" s="3" t="s">
        <v>228</v>
      </c>
      <c r="H2893" s="3" t="s">
        <v>45</v>
      </c>
      <c r="I2893" s="3">
        <v>2025</v>
      </c>
      <c r="J2893" s="3" t="str">
        <f>CONCATENATE("54820375969")</f>
        <v>54820375969</v>
      </c>
      <c r="K2893" s="3" t="s">
        <v>33</v>
      </c>
      <c r="L2893" s="3"/>
      <c r="M2893" s="3" t="s">
        <v>131</v>
      </c>
      <c r="N2893" s="3" t="str">
        <f>CONCATENATE("BRCFLV57H06D749T")</f>
        <v>BRCFLV57H06D749T</v>
      </c>
      <c r="O2893" s="3" t="s">
        <v>3020</v>
      </c>
      <c r="P2893" s="3" t="s">
        <v>36</v>
      </c>
      <c r="Q2893" s="3"/>
      <c r="R2893" s="4">
        <v>45996</v>
      </c>
      <c r="S2893" s="3" t="s">
        <v>37</v>
      </c>
      <c r="T2893" s="3" t="s">
        <v>38</v>
      </c>
      <c r="U2893" s="3" t="s">
        <v>39</v>
      </c>
      <c r="V2893" s="3">
        <v>125.3</v>
      </c>
      <c r="W2893" s="3">
        <v>53.25</v>
      </c>
      <c r="X2893" s="3">
        <v>50.43</v>
      </c>
      <c r="Y2893" s="3">
        <v>21.62</v>
      </c>
    </row>
    <row r="2894" spans="1:25" ht="60.75" x14ac:dyDescent="0.25">
      <c r="A2894" s="3" t="s">
        <v>26</v>
      </c>
      <c r="B2894" s="3" t="s">
        <v>27</v>
      </c>
      <c r="C2894" s="3" t="s">
        <v>28</v>
      </c>
      <c r="D2894" s="3" t="s">
        <v>50</v>
      </c>
      <c r="E2894" s="3" t="s">
        <v>107</v>
      </c>
      <c r="F2894" s="3" t="s">
        <v>52</v>
      </c>
      <c r="G2894" s="3" t="s">
        <v>107</v>
      </c>
      <c r="H2894" s="3" t="s">
        <v>48</v>
      </c>
      <c r="I2894" s="3">
        <v>2025</v>
      </c>
      <c r="J2894" s="3" t="str">
        <f>CONCATENATE("54820368055")</f>
        <v>54820368055</v>
      </c>
      <c r="K2894" s="3" t="s">
        <v>33</v>
      </c>
      <c r="L2894" s="3"/>
      <c r="M2894" s="3" t="s">
        <v>131</v>
      </c>
      <c r="N2894" s="3" t="str">
        <f>CONCATENATE("ZRAMRK03L54E791T")</f>
        <v>ZRAMRK03L54E791T</v>
      </c>
      <c r="O2894" s="3" t="s">
        <v>3021</v>
      </c>
      <c r="P2894" s="3" t="s">
        <v>36</v>
      </c>
      <c r="Q2894" s="3"/>
      <c r="R2894" s="4">
        <v>45996</v>
      </c>
      <c r="S2894" s="3" t="s">
        <v>37</v>
      </c>
      <c r="T2894" s="3" t="s">
        <v>38</v>
      </c>
      <c r="U2894" s="3" t="s">
        <v>39</v>
      </c>
      <c r="V2894" s="3">
        <v>160.02000000000001</v>
      </c>
      <c r="W2894" s="3">
        <v>68.010000000000005</v>
      </c>
      <c r="X2894" s="3">
        <v>64.41</v>
      </c>
      <c r="Y2894" s="3">
        <v>27.6</v>
      </c>
    </row>
    <row r="2895" spans="1:25" ht="60.75" x14ac:dyDescent="0.25">
      <c r="A2895" s="3" t="s">
        <v>26</v>
      </c>
      <c r="B2895" s="3" t="s">
        <v>27</v>
      </c>
      <c r="C2895" s="3" t="s">
        <v>28</v>
      </c>
      <c r="D2895" s="3" t="s">
        <v>40</v>
      </c>
      <c r="E2895" s="3" t="s">
        <v>54</v>
      </c>
      <c r="F2895" s="3" t="s">
        <v>42</v>
      </c>
      <c r="G2895" s="3" t="s">
        <v>54</v>
      </c>
      <c r="H2895" s="3" t="s">
        <v>45</v>
      </c>
      <c r="I2895" s="3">
        <v>2025</v>
      </c>
      <c r="J2895" s="3" t="str">
        <f>CONCATENATE("54820126057")</f>
        <v>54820126057</v>
      </c>
      <c r="K2895" s="3" t="s">
        <v>33</v>
      </c>
      <c r="L2895" s="3"/>
      <c r="M2895" s="3" t="s">
        <v>131</v>
      </c>
      <c r="N2895" s="3" t="str">
        <f>CONCATENATE("RSSLGU91E05G479P")</f>
        <v>RSSLGU91E05G479P</v>
      </c>
      <c r="O2895" s="3" t="s">
        <v>3022</v>
      </c>
      <c r="P2895" s="3" t="s">
        <v>36</v>
      </c>
      <c r="Q2895" s="3"/>
      <c r="R2895" s="4">
        <v>45996</v>
      </c>
      <c r="S2895" s="3" t="s">
        <v>37</v>
      </c>
      <c r="T2895" s="3" t="s">
        <v>38</v>
      </c>
      <c r="U2895" s="3" t="s">
        <v>39</v>
      </c>
      <c r="V2895" s="3">
        <v>642.11</v>
      </c>
      <c r="W2895" s="3">
        <v>272.89999999999998</v>
      </c>
      <c r="X2895" s="3">
        <v>258.45</v>
      </c>
      <c r="Y2895" s="3">
        <v>110.76</v>
      </c>
    </row>
    <row r="2896" spans="1:25" ht="60.75" x14ac:dyDescent="0.25">
      <c r="A2896" s="3" t="s">
        <v>26</v>
      </c>
      <c r="B2896" s="3" t="s">
        <v>27</v>
      </c>
      <c r="C2896" s="3" t="s">
        <v>28</v>
      </c>
      <c r="D2896" s="3" t="s">
        <v>29</v>
      </c>
      <c r="E2896" s="3" t="s">
        <v>182</v>
      </c>
      <c r="F2896" s="3" t="s">
        <v>31</v>
      </c>
      <c r="G2896" s="3" t="s">
        <v>182</v>
      </c>
      <c r="H2896" s="3" t="s">
        <v>45</v>
      </c>
      <c r="I2896" s="3">
        <v>2025</v>
      </c>
      <c r="J2896" s="3" t="str">
        <f>CONCATENATE("54820166293")</f>
        <v>54820166293</v>
      </c>
      <c r="K2896" s="3" t="s">
        <v>33</v>
      </c>
      <c r="L2896" s="3"/>
      <c r="M2896" s="3" t="s">
        <v>131</v>
      </c>
      <c r="N2896" s="3" t="str">
        <f>CONCATENATE("TRMVRS54R12L500W")</f>
        <v>TRMVRS54R12L500W</v>
      </c>
      <c r="O2896" s="3" t="s">
        <v>3023</v>
      </c>
      <c r="P2896" s="3" t="s">
        <v>36</v>
      </c>
      <c r="Q2896" s="3"/>
      <c r="R2896" s="4">
        <v>45996</v>
      </c>
      <c r="S2896" s="3" t="s">
        <v>37</v>
      </c>
      <c r="T2896" s="3" t="s">
        <v>38</v>
      </c>
      <c r="U2896" s="3" t="s">
        <v>39</v>
      </c>
      <c r="V2896" s="3">
        <v>170.14</v>
      </c>
      <c r="W2896" s="3">
        <v>72.31</v>
      </c>
      <c r="X2896" s="3">
        <v>68.48</v>
      </c>
      <c r="Y2896" s="3">
        <v>29.35</v>
      </c>
    </row>
    <row r="2897" spans="1:25" ht="36.75" x14ac:dyDescent="0.25">
      <c r="A2897" s="3" t="s">
        <v>26</v>
      </c>
      <c r="B2897" s="3" t="s">
        <v>27</v>
      </c>
      <c r="C2897" s="3" t="s">
        <v>28</v>
      </c>
      <c r="D2897" s="3" t="s">
        <v>29</v>
      </c>
      <c r="E2897" s="3" t="s">
        <v>56</v>
      </c>
      <c r="F2897" s="3" t="s">
        <v>31</v>
      </c>
      <c r="G2897" s="3" t="s">
        <v>56</v>
      </c>
      <c r="H2897" s="3" t="s">
        <v>32</v>
      </c>
      <c r="I2897" s="3">
        <v>2025</v>
      </c>
      <c r="J2897" s="3" t="str">
        <f>CONCATENATE("54820191788")</f>
        <v>54820191788</v>
      </c>
      <c r="K2897" s="3" t="s">
        <v>33</v>
      </c>
      <c r="L2897" s="3"/>
      <c r="M2897" s="3" t="s">
        <v>131</v>
      </c>
      <c r="N2897" s="3" t="str">
        <f>CONCATENATE("01988740435")</f>
        <v>01988740435</v>
      </c>
      <c r="O2897" s="3" t="s">
        <v>3024</v>
      </c>
      <c r="P2897" s="3" t="s">
        <v>36</v>
      </c>
      <c r="Q2897" s="3"/>
      <c r="R2897" s="4">
        <v>45996</v>
      </c>
      <c r="S2897" s="3" t="s">
        <v>37</v>
      </c>
      <c r="T2897" s="3" t="s">
        <v>38</v>
      </c>
      <c r="U2897" s="3" t="s">
        <v>39</v>
      </c>
      <c r="V2897" s="5">
        <v>1021.8</v>
      </c>
      <c r="W2897" s="3">
        <v>434.27</v>
      </c>
      <c r="X2897" s="3">
        <v>411.27</v>
      </c>
      <c r="Y2897" s="3">
        <v>176.26</v>
      </c>
    </row>
    <row r="2898" spans="1:25" ht="36.75" x14ac:dyDescent="0.25">
      <c r="A2898" s="3" t="s">
        <v>26</v>
      </c>
      <c r="B2898" s="3" t="s">
        <v>27</v>
      </c>
      <c r="C2898" s="3" t="s">
        <v>28</v>
      </c>
      <c r="D2898" s="3" t="s">
        <v>29</v>
      </c>
      <c r="E2898" s="3" t="s">
        <v>101</v>
      </c>
      <c r="F2898" s="3" t="s">
        <v>31</v>
      </c>
      <c r="G2898" s="3" t="s">
        <v>101</v>
      </c>
      <c r="H2898" s="3" t="s">
        <v>32</v>
      </c>
      <c r="I2898" s="3">
        <v>2025</v>
      </c>
      <c r="J2898" s="3" t="str">
        <f>CONCATENATE("54820136486")</f>
        <v>54820136486</v>
      </c>
      <c r="K2898" s="3" t="s">
        <v>33</v>
      </c>
      <c r="L2898" s="3"/>
      <c r="M2898" s="3" t="s">
        <v>131</v>
      </c>
      <c r="N2898" s="3" t="str">
        <f>CONCATENATE("01208040434")</f>
        <v>01208040434</v>
      </c>
      <c r="O2898" s="3" t="s">
        <v>3025</v>
      </c>
      <c r="P2898" s="3" t="s">
        <v>36</v>
      </c>
      <c r="Q2898" s="3"/>
      <c r="R2898" s="4">
        <v>45996</v>
      </c>
      <c r="S2898" s="3" t="s">
        <v>37</v>
      </c>
      <c r="T2898" s="3" t="s">
        <v>38</v>
      </c>
      <c r="U2898" s="3" t="s">
        <v>39</v>
      </c>
      <c r="V2898" s="3">
        <v>484.74</v>
      </c>
      <c r="W2898" s="3">
        <v>206.01</v>
      </c>
      <c r="X2898" s="3">
        <v>195.11</v>
      </c>
      <c r="Y2898" s="3">
        <v>83.62</v>
      </c>
    </row>
    <row r="2899" spans="1:25" ht="60.75" x14ac:dyDescent="0.25">
      <c r="A2899" s="3" t="s">
        <v>26</v>
      </c>
      <c r="B2899" s="3" t="s">
        <v>27</v>
      </c>
      <c r="C2899" s="3" t="s">
        <v>28</v>
      </c>
      <c r="D2899" s="3" t="s">
        <v>50</v>
      </c>
      <c r="E2899" s="3" t="s">
        <v>252</v>
      </c>
      <c r="F2899" s="3" t="s">
        <v>52</v>
      </c>
      <c r="G2899" s="3" t="s">
        <v>252</v>
      </c>
      <c r="H2899" s="3" t="s">
        <v>45</v>
      </c>
      <c r="I2899" s="3">
        <v>2025</v>
      </c>
      <c r="J2899" s="3" t="str">
        <f>CONCATENATE("54820167408")</f>
        <v>54820167408</v>
      </c>
      <c r="K2899" s="3" t="s">
        <v>33</v>
      </c>
      <c r="L2899" s="3"/>
      <c r="M2899" s="3" t="s">
        <v>131</v>
      </c>
      <c r="N2899" s="3" t="str">
        <f>CONCATENATE("CSTLTT69R64D488L")</f>
        <v>CSTLTT69R64D488L</v>
      </c>
      <c r="O2899" s="3" t="s">
        <v>3026</v>
      </c>
      <c r="P2899" s="3" t="s">
        <v>36</v>
      </c>
      <c r="Q2899" s="3"/>
      <c r="R2899" s="4">
        <v>45996</v>
      </c>
      <c r="S2899" s="3" t="s">
        <v>37</v>
      </c>
      <c r="T2899" s="3" t="s">
        <v>38</v>
      </c>
      <c r="U2899" s="3" t="s">
        <v>39</v>
      </c>
      <c r="V2899" s="3">
        <v>103.77</v>
      </c>
      <c r="W2899" s="3">
        <v>44.1</v>
      </c>
      <c r="X2899" s="3">
        <v>41.77</v>
      </c>
      <c r="Y2899" s="3">
        <v>17.899999999999999</v>
      </c>
    </row>
    <row r="2900" spans="1:25" ht="48.75" x14ac:dyDescent="0.25">
      <c r="A2900" s="3" t="s">
        <v>26</v>
      </c>
      <c r="B2900" s="3" t="s">
        <v>27</v>
      </c>
      <c r="C2900" s="3" t="s">
        <v>28</v>
      </c>
      <c r="D2900" s="3" t="s">
        <v>50</v>
      </c>
      <c r="E2900" s="3" t="s">
        <v>60</v>
      </c>
      <c r="F2900" s="3" t="s">
        <v>52</v>
      </c>
      <c r="G2900" s="3" t="s">
        <v>60</v>
      </c>
      <c r="H2900" s="3" t="s">
        <v>48</v>
      </c>
      <c r="I2900" s="3">
        <v>2025</v>
      </c>
      <c r="J2900" s="3" t="str">
        <f>CONCATENATE("54820175575")</f>
        <v>54820175575</v>
      </c>
      <c r="K2900" s="3" t="s">
        <v>33</v>
      </c>
      <c r="L2900" s="3"/>
      <c r="M2900" s="3" t="s">
        <v>131</v>
      </c>
      <c r="N2900" s="3" t="str">
        <f>CONCATENATE("LSSSLV75S64I461T")</f>
        <v>LSSSLV75S64I461T</v>
      </c>
      <c r="O2900" s="3" t="s">
        <v>3027</v>
      </c>
      <c r="P2900" s="3" t="s">
        <v>36</v>
      </c>
      <c r="Q2900" s="3"/>
      <c r="R2900" s="4">
        <v>45996</v>
      </c>
      <c r="S2900" s="3" t="s">
        <v>37</v>
      </c>
      <c r="T2900" s="3" t="s">
        <v>38</v>
      </c>
      <c r="U2900" s="3" t="s">
        <v>39</v>
      </c>
      <c r="V2900" s="3">
        <v>276.31</v>
      </c>
      <c r="W2900" s="3">
        <v>117.43</v>
      </c>
      <c r="X2900" s="3">
        <v>111.21</v>
      </c>
      <c r="Y2900" s="3">
        <v>47.67</v>
      </c>
    </row>
    <row r="2901" spans="1:25" ht="60.75" x14ac:dyDescent="0.25">
      <c r="A2901" s="3" t="s">
        <v>26</v>
      </c>
      <c r="B2901" s="3" t="s">
        <v>27</v>
      </c>
      <c r="C2901" s="3" t="s">
        <v>28</v>
      </c>
      <c r="D2901" s="3" t="s">
        <v>104</v>
      </c>
      <c r="E2901" s="3" t="s">
        <v>141</v>
      </c>
      <c r="F2901" s="3" t="s">
        <v>104</v>
      </c>
      <c r="G2901" s="3" t="s">
        <v>141</v>
      </c>
      <c r="H2901" s="3" t="s">
        <v>96</v>
      </c>
      <c r="I2901" s="3">
        <v>2025</v>
      </c>
      <c r="J2901" s="3" t="str">
        <f>CONCATENATE("54820136593")</f>
        <v>54820136593</v>
      </c>
      <c r="K2901" s="3" t="s">
        <v>33</v>
      </c>
      <c r="L2901" s="3"/>
      <c r="M2901" s="3" t="s">
        <v>131</v>
      </c>
      <c r="N2901" s="3" t="str">
        <f>CONCATENATE("CSRBNR49M21F570D")</f>
        <v>CSRBNR49M21F570D</v>
      </c>
      <c r="O2901" s="3" t="s">
        <v>3028</v>
      </c>
      <c r="P2901" s="3" t="s">
        <v>36</v>
      </c>
      <c r="Q2901" s="3"/>
      <c r="R2901" s="4">
        <v>45996</v>
      </c>
      <c r="S2901" s="3" t="s">
        <v>37</v>
      </c>
      <c r="T2901" s="3" t="s">
        <v>38</v>
      </c>
      <c r="U2901" s="3" t="s">
        <v>39</v>
      </c>
      <c r="V2901" s="3">
        <v>663.22</v>
      </c>
      <c r="W2901" s="3">
        <v>281.87</v>
      </c>
      <c r="X2901" s="3">
        <v>266.95</v>
      </c>
      <c r="Y2901" s="3">
        <v>114.4</v>
      </c>
    </row>
    <row r="2902" spans="1:25" ht="60.75" x14ac:dyDescent="0.25">
      <c r="A2902" s="3" t="s">
        <v>26</v>
      </c>
      <c r="B2902" s="3" t="s">
        <v>27</v>
      </c>
      <c r="C2902" s="3" t="s">
        <v>28</v>
      </c>
      <c r="D2902" s="3" t="s">
        <v>29</v>
      </c>
      <c r="E2902" s="3" t="s">
        <v>56</v>
      </c>
      <c r="F2902" s="3" t="s">
        <v>31</v>
      </c>
      <c r="G2902" s="3" t="s">
        <v>56</v>
      </c>
      <c r="H2902" s="3" t="s">
        <v>32</v>
      </c>
      <c r="I2902" s="3">
        <v>2025</v>
      </c>
      <c r="J2902" s="3" t="str">
        <f>CONCATENATE("54820289293")</f>
        <v>54820289293</v>
      </c>
      <c r="K2902" s="3" t="s">
        <v>33</v>
      </c>
      <c r="L2902" s="3"/>
      <c r="M2902" s="3" t="s">
        <v>131</v>
      </c>
      <c r="N2902" s="3" t="str">
        <f>CONCATENATE("BRNMRC00L31D451G")</f>
        <v>BRNMRC00L31D451G</v>
      </c>
      <c r="O2902" s="3" t="s">
        <v>3029</v>
      </c>
      <c r="P2902" s="3" t="s">
        <v>36</v>
      </c>
      <c r="Q2902" s="3"/>
      <c r="R2902" s="4">
        <v>45996</v>
      </c>
      <c r="S2902" s="3" t="s">
        <v>37</v>
      </c>
      <c r="T2902" s="3" t="s">
        <v>38</v>
      </c>
      <c r="U2902" s="3" t="s">
        <v>39</v>
      </c>
      <c r="V2902" s="3">
        <v>268.99</v>
      </c>
      <c r="W2902" s="3">
        <v>114.32</v>
      </c>
      <c r="X2902" s="3">
        <v>108.27</v>
      </c>
      <c r="Y2902" s="3">
        <v>46.4</v>
      </c>
    </row>
    <row r="2903" spans="1:25" ht="60.75" x14ac:dyDescent="0.25">
      <c r="A2903" s="3" t="s">
        <v>26</v>
      </c>
      <c r="B2903" s="3" t="s">
        <v>27</v>
      </c>
      <c r="C2903" s="3" t="s">
        <v>28</v>
      </c>
      <c r="D2903" s="3" t="s">
        <v>29</v>
      </c>
      <c r="E2903" s="3" t="s">
        <v>136</v>
      </c>
      <c r="F2903" s="3" t="s">
        <v>31</v>
      </c>
      <c r="G2903" s="3" t="s">
        <v>136</v>
      </c>
      <c r="H2903" s="3" t="s">
        <v>48</v>
      </c>
      <c r="I2903" s="3">
        <v>2025</v>
      </c>
      <c r="J2903" s="3" t="str">
        <f>CONCATENATE("54820138797")</f>
        <v>54820138797</v>
      </c>
      <c r="K2903" s="3" t="s">
        <v>33</v>
      </c>
      <c r="L2903" s="3"/>
      <c r="M2903" s="3" t="s">
        <v>131</v>
      </c>
      <c r="N2903" s="3" t="str">
        <f>CONCATENATE("MLNSLV55H43H501C")</f>
        <v>MLNSLV55H43H501C</v>
      </c>
      <c r="O2903" s="3" t="s">
        <v>3030</v>
      </c>
      <c r="P2903" s="3" t="s">
        <v>36</v>
      </c>
      <c r="Q2903" s="3"/>
      <c r="R2903" s="4">
        <v>45996</v>
      </c>
      <c r="S2903" s="3" t="s">
        <v>37</v>
      </c>
      <c r="T2903" s="3" t="s">
        <v>38</v>
      </c>
      <c r="U2903" s="3" t="s">
        <v>39</v>
      </c>
      <c r="V2903" s="3">
        <v>199.48</v>
      </c>
      <c r="W2903" s="3">
        <v>84.78</v>
      </c>
      <c r="X2903" s="3">
        <v>80.290000000000006</v>
      </c>
      <c r="Y2903" s="3">
        <v>34.409999999999997</v>
      </c>
    </row>
    <row r="2904" spans="1:25" ht="60.75" x14ac:dyDescent="0.25">
      <c r="A2904" s="3" t="s">
        <v>26</v>
      </c>
      <c r="B2904" s="3" t="s">
        <v>27</v>
      </c>
      <c r="C2904" s="3" t="s">
        <v>28</v>
      </c>
      <c r="D2904" s="3" t="s">
        <v>50</v>
      </c>
      <c r="E2904" s="3" t="s">
        <v>51</v>
      </c>
      <c r="F2904" s="3" t="s">
        <v>52</v>
      </c>
      <c r="G2904" s="3" t="s">
        <v>51</v>
      </c>
      <c r="H2904" s="3" t="s">
        <v>48</v>
      </c>
      <c r="I2904" s="3">
        <v>2025</v>
      </c>
      <c r="J2904" s="3" t="str">
        <f>CONCATENATE("54820139472")</f>
        <v>54820139472</v>
      </c>
      <c r="K2904" s="3" t="s">
        <v>33</v>
      </c>
      <c r="L2904" s="3"/>
      <c r="M2904" s="3" t="s">
        <v>131</v>
      </c>
      <c r="N2904" s="3" t="str">
        <f>CONCATENATE("CNTCLD44E18H501Z")</f>
        <v>CNTCLD44E18H501Z</v>
      </c>
      <c r="O2904" s="3" t="s">
        <v>3031</v>
      </c>
      <c r="P2904" s="3" t="s">
        <v>36</v>
      </c>
      <c r="Q2904" s="3"/>
      <c r="R2904" s="4">
        <v>45996</v>
      </c>
      <c r="S2904" s="3" t="s">
        <v>37</v>
      </c>
      <c r="T2904" s="3" t="s">
        <v>38</v>
      </c>
      <c r="U2904" s="3" t="s">
        <v>39</v>
      </c>
      <c r="V2904" s="3">
        <v>133.69999999999999</v>
      </c>
      <c r="W2904" s="3">
        <v>56.82</v>
      </c>
      <c r="X2904" s="3">
        <v>53.81</v>
      </c>
      <c r="Y2904" s="3">
        <v>23.07</v>
      </c>
    </row>
    <row r="2905" spans="1:25" ht="60.75" x14ac:dyDescent="0.25">
      <c r="A2905" s="3" t="s">
        <v>26</v>
      </c>
      <c r="B2905" s="3" t="s">
        <v>27</v>
      </c>
      <c r="C2905" s="3" t="s">
        <v>28</v>
      </c>
      <c r="D2905" s="3" t="s">
        <v>91</v>
      </c>
      <c r="E2905" s="3" t="s">
        <v>95</v>
      </c>
      <c r="F2905" s="3" t="s">
        <v>93</v>
      </c>
      <c r="G2905" s="3" t="s">
        <v>95</v>
      </c>
      <c r="H2905" s="3" t="s">
        <v>96</v>
      </c>
      <c r="I2905" s="3">
        <v>2025</v>
      </c>
      <c r="J2905" s="3" t="str">
        <f>CONCATENATE("54820153465")</f>
        <v>54820153465</v>
      </c>
      <c r="K2905" s="3" t="s">
        <v>33</v>
      </c>
      <c r="L2905" s="3"/>
      <c r="M2905" s="3" t="s">
        <v>131</v>
      </c>
      <c r="N2905" s="3" t="str">
        <f>CONCATENATE("RSNZEI68H25A044B")</f>
        <v>RSNZEI68H25A044B</v>
      </c>
      <c r="O2905" s="3" t="s">
        <v>3032</v>
      </c>
      <c r="P2905" s="3" t="s">
        <v>36</v>
      </c>
      <c r="Q2905" s="3"/>
      <c r="R2905" s="4">
        <v>45996</v>
      </c>
      <c r="S2905" s="3" t="s">
        <v>37</v>
      </c>
      <c r="T2905" s="3" t="s">
        <v>38</v>
      </c>
      <c r="U2905" s="3" t="s">
        <v>39</v>
      </c>
      <c r="V2905" s="3">
        <v>164.65</v>
      </c>
      <c r="W2905" s="3">
        <v>69.98</v>
      </c>
      <c r="X2905" s="3">
        <v>66.27</v>
      </c>
      <c r="Y2905" s="3">
        <v>28.4</v>
      </c>
    </row>
    <row r="2906" spans="1:25" ht="60.75" x14ac:dyDescent="0.25">
      <c r="A2906" s="3" t="s">
        <v>26</v>
      </c>
      <c r="B2906" s="3" t="s">
        <v>27</v>
      </c>
      <c r="C2906" s="3" t="s">
        <v>28</v>
      </c>
      <c r="D2906" s="3" t="s">
        <v>104</v>
      </c>
      <c r="E2906" s="3" t="s">
        <v>268</v>
      </c>
      <c r="F2906" s="3" t="s">
        <v>104</v>
      </c>
      <c r="G2906" s="3" t="s">
        <v>268</v>
      </c>
      <c r="H2906" s="3" t="s">
        <v>32</v>
      </c>
      <c r="I2906" s="3">
        <v>2025</v>
      </c>
      <c r="J2906" s="3" t="str">
        <f>CONCATENATE("54820170105")</f>
        <v>54820170105</v>
      </c>
      <c r="K2906" s="3" t="s">
        <v>33</v>
      </c>
      <c r="L2906" s="3"/>
      <c r="M2906" s="3" t="s">
        <v>131</v>
      </c>
      <c r="N2906" s="3" t="str">
        <f>CONCATENATE("CCCMTN88T49B474N")</f>
        <v>CCCMTN88T49B474N</v>
      </c>
      <c r="O2906" s="3" t="s">
        <v>3033</v>
      </c>
      <c r="P2906" s="3" t="s">
        <v>36</v>
      </c>
      <c r="Q2906" s="3"/>
      <c r="R2906" s="4">
        <v>45996</v>
      </c>
      <c r="S2906" s="3" t="s">
        <v>37</v>
      </c>
      <c r="T2906" s="3" t="s">
        <v>38</v>
      </c>
      <c r="U2906" s="3" t="s">
        <v>39</v>
      </c>
      <c r="V2906" s="3">
        <v>88.91</v>
      </c>
      <c r="W2906" s="3">
        <v>37.79</v>
      </c>
      <c r="X2906" s="3">
        <v>35.79</v>
      </c>
      <c r="Y2906" s="3">
        <v>15.33</v>
      </c>
    </row>
    <row r="2907" spans="1:25" ht="60.75" x14ac:dyDescent="0.25">
      <c r="A2907" s="3" t="s">
        <v>26</v>
      </c>
      <c r="B2907" s="3" t="s">
        <v>27</v>
      </c>
      <c r="C2907" s="3" t="s">
        <v>28</v>
      </c>
      <c r="D2907" s="3" t="s">
        <v>29</v>
      </c>
      <c r="E2907" s="3" t="s">
        <v>68</v>
      </c>
      <c r="F2907" s="3" t="s">
        <v>31</v>
      </c>
      <c r="G2907" s="3" t="s">
        <v>68</v>
      </c>
      <c r="H2907" s="3" t="s">
        <v>32</v>
      </c>
      <c r="I2907" s="3">
        <v>2025</v>
      </c>
      <c r="J2907" s="3" t="str">
        <f>CONCATENATE("54820136213")</f>
        <v>54820136213</v>
      </c>
      <c r="K2907" s="3" t="s">
        <v>33</v>
      </c>
      <c r="L2907" s="3"/>
      <c r="M2907" s="3" t="s">
        <v>131</v>
      </c>
      <c r="N2907" s="3" t="str">
        <f>CONCATENATE("BLLFBA81C02L366L")</f>
        <v>BLLFBA81C02L366L</v>
      </c>
      <c r="O2907" s="3" t="s">
        <v>3034</v>
      </c>
      <c r="P2907" s="3" t="s">
        <v>36</v>
      </c>
      <c r="Q2907" s="3"/>
      <c r="R2907" s="4">
        <v>45996</v>
      </c>
      <c r="S2907" s="3" t="s">
        <v>37</v>
      </c>
      <c r="T2907" s="3" t="s">
        <v>38</v>
      </c>
      <c r="U2907" s="3" t="s">
        <v>39</v>
      </c>
      <c r="V2907" s="3">
        <v>216.02</v>
      </c>
      <c r="W2907" s="3">
        <v>91.81</v>
      </c>
      <c r="X2907" s="3">
        <v>86.95</v>
      </c>
      <c r="Y2907" s="3">
        <v>37.26</v>
      </c>
    </row>
    <row r="2908" spans="1:25" ht="60.75" x14ac:dyDescent="0.25">
      <c r="A2908" s="3" t="s">
        <v>26</v>
      </c>
      <c r="B2908" s="3" t="s">
        <v>27</v>
      </c>
      <c r="C2908" s="3" t="s">
        <v>28</v>
      </c>
      <c r="D2908" s="3" t="s">
        <v>29</v>
      </c>
      <c r="E2908" s="3" t="s">
        <v>47</v>
      </c>
      <c r="F2908" s="3" t="s">
        <v>31</v>
      </c>
      <c r="G2908" s="3" t="s">
        <v>47</v>
      </c>
      <c r="H2908" s="3" t="s">
        <v>48</v>
      </c>
      <c r="I2908" s="3">
        <v>2025</v>
      </c>
      <c r="J2908" s="3" t="str">
        <f>CONCATENATE("54820190798")</f>
        <v>54820190798</v>
      </c>
      <c r="K2908" s="3" t="s">
        <v>33</v>
      </c>
      <c r="L2908" s="3"/>
      <c r="M2908" s="3" t="s">
        <v>131</v>
      </c>
      <c r="N2908" s="3" t="str">
        <f>CONCATENATE("CHRMTR60L48D451S")</f>
        <v>CHRMTR60L48D451S</v>
      </c>
      <c r="O2908" s="3" t="s">
        <v>3035</v>
      </c>
      <c r="P2908" s="3" t="s">
        <v>36</v>
      </c>
      <c r="Q2908" s="3"/>
      <c r="R2908" s="4">
        <v>45996</v>
      </c>
      <c r="S2908" s="3" t="s">
        <v>37</v>
      </c>
      <c r="T2908" s="3" t="s">
        <v>38</v>
      </c>
      <c r="U2908" s="3" t="s">
        <v>39</v>
      </c>
      <c r="V2908" s="3">
        <v>171.52</v>
      </c>
      <c r="W2908" s="3">
        <v>72.900000000000006</v>
      </c>
      <c r="X2908" s="3">
        <v>69.040000000000006</v>
      </c>
      <c r="Y2908" s="3">
        <v>29.58</v>
      </c>
    </row>
    <row r="2909" spans="1:25" ht="60.75" x14ac:dyDescent="0.25">
      <c r="A2909" s="3" t="s">
        <v>26</v>
      </c>
      <c r="B2909" s="3" t="s">
        <v>27</v>
      </c>
      <c r="C2909" s="3" t="s">
        <v>28</v>
      </c>
      <c r="D2909" s="3" t="s">
        <v>29</v>
      </c>
      <c r="E2909" s="3" t="s">
        <v>182</v>
      </c>
      <c r="F2909" s="3" t="s">
        <v>31</v>
      </c>
      <c r="G2909" s="3" t="s">
        <v>182</v>
      </c>
      <c r="H2909" s="3" t="s">
        <v>45</v>
      </c>
      <c r="I2909" s="3">
        <v>2025</v>
      </c>
      <c r="J2909" s="3" t="str">
        <f>CONCATENATE("54820177050")</f>
        <v>54820177050</v>
      </c>
      <c r="K2909" s="3" t="s">
        <v>33</v>
      </c>
      <c r="L2909" s="3"/>
      <c r="M2909" s="3" t="s">
        <v>131</v>
      </c>
      <c r="N2909" s="3" t="str">
        <f>CONCATENATE("PRNNNA58L48L500Q")</f>
        <v>PRNNNA58L48L500Q</v>
      </c>
      <c r="O2909" s="3" t="s">
        <v>3036</v>
      </c>
      <c r="P2909" s="3" t="s">
        <v>36</v>
      </c>
      <c r="Q2909" s="3"/>
      <c r="R2909" s="4">
        <v>45996</v>
      </c>
      <c r="S2909" s="3" t="s">
        <v>37</v>
      </c>
      <c r="T2909" s="3" t="s">
        <v>38</v>
      </c>
      <c r="U2909" s="3" t="s">
        <v>39</v>
      </c>
      <c r="V2909" s="3">
        <v>519.91</v>
      </c>
      <c r="W2909" s="3">
        <v>220.96</v>
      </c>
      <c r="X2909" s="3">
        <v>209.26</v>
      </c>
      <c r="Y2909" s="3">
        <v>89.69</v>
      </c>
    </row>
    <row r="2910" spans="1:25" ht="36.75" x14ac:dyDescent="0.25">
      <c r="A2910" s="3" t="s">
        <v>26</v>
      </c>
      <c r="B2910" s="3" t="s">
        <v>27</v>
      </c>
      <c r="C2910" s="3" t="s">
        <v>28</v>
      </c>
      <c r="D2910" s="3" t="s">
        <v>91</v>
      </c>
      <c r="E2910" s="3" t="s">
        <v>151</v>
      </c>
      <c r="F2910" s="3" t="s">
        <v>93</v>
      </c>
      <c r="G2910" s="3" t="s">
        <v>151</v>
      </c>
      <c r="H2910" s="3" t="s">
        <v>45</v>
      </c>
      <c r="I2910" s="3">
        <v>2025</v>
      </c>
      <c r="J2910" s="3" t="str">
        <f>CONCATENATE("54820209135")</f>
        <v>54820209135</v>
      </c>
      <c r="K2910" s="3" t="s">
        <v>33</v>
      </c>
      <c r="L2910" s="3"/>
      <c r="M2910" s="3" t="s">
        <v>131</v>
      </c>
      <c r="N2910" s="3" t="str">
        <f>CONCATENATE("02654630413")</f>
        <v>02654630413</v>
      </c>
      <c r="O2910" s="3" t="s">
        <v>3037</v>
      </c>
      <c r="P2910" s="3" t="s">
        <v>36</v>
      </c>
      <c r="Q2910" s="3"/>
      <c r="R2910" s="4">
        <v>45996</v>
      </c>
      <c r="S2910" s="3" t="s">
        <v>37</v>
      </c>
      <c r="T2910" s="3" t="s">
        <v>38</v>
      </c>
      <c r="U2910" s="3" t="s">
        <v>39</v>
      </c>
      <c r="V2910" s="3">
        <v>783.36</v>
      </c>
      <c r="W2910" s="3">
        <v>332.93</v>
      </c>
      <c r="X2910" s="3">
        <v>315.3</v>
      </c>
      <c r="Y2910" s="3">
        <v>135.13</v>
      </c>
    </row>
    <row r="2911" spans="1:25" ht="60.75" x14ac:dyDescent="0.25">
      <c r="A2911" s="3" t="s">
        <v>26</v>
      </c>
      <c r="B2911" s="3" t="s">
        <v>27</v>
      </c>
      <c r="C2911" s="3" t="s">
        <v>28</v>
      </c>
      <c r="D2911" s="3" t="s">
        <v>29</v>
      </c>
      <c r="E2911" s="3" t="s">
        <v>56</v>
      </c>
      <c r="F2911" s="3" t="s">
        <v>31</v>
      </c>
      <c r="G2911" s="3" t="s">
        <v>56</v>
      </c>
      <c r="H2911" s="3" t="s">
        <v>32</v>
      </c>
      <c r="I2911" s="3">
        <v>2025</v>
      </c>
      <c r="J2911" s="3" t="str">
        <f>CONCATENATE("54820136270")</f>
        <v>54820136270</v>
      </c>
      <c r="K2911" s="3" t="s">
        <v>33</v>
      </c>
      <c r="L2911" s="3"/>
      <c r="M2911" s="3" t="s">
        <v>131</v>
      </c>
      <c r="N2911" s="3" t="str">
        <f>CONCATENATE("MRCPTR41B01M078F")</f>
        <v>MRCPTR41B01M078F</v>
      </c>
      <c r="O2911" s="3" t="s">
        <v>3038</v>
      </c>
      <c r="P2911" s="3" t="s">
        <v>36</v>
      </c>
      <c r="Q2911" s="3"/>
      <c r="R2911" s="4">
        <v>45996</v>
      </c>
      <c r="S2911" s="3" t="s">
        <v>37</v>
      </c>
      <c r="T2911" s="3" t="s">
        <v>38</v>
      </c>
      <c r="U2911" s="3" t="s">
        <v>39</v>
      </c>
      <c r="V2911" s="3">
        <v>396.17</v>
      </c>
      <c r="W2911" s="3">
        <v>168.37</v>
      </c>
      <c r="X2911" s="3">
        <v>159.46</v>
      </c>
      <c r="Y2911" s="3">
        <v>68.34</v>
      </c>
    </row>
    <row r="2912" spans="1:25" ht="60.75" x14ac:dyDescent="0.25">
      <c r="A2912" s="3" t="s">
        <v>26</v>
      </c>
      <c r="B2912" s="3" t="s">
        <v>27</v>
      </c>
      <c r="C2912" s="3" t="s">
        <v>28</v>
      </c>
      <c r="D2912" s="3" t="s">
        <v>40</v>
      </c>
      <c r="E2912" s="3" t="s">
        <v>99</v>
      </c>
      <c r="F2912" s="3" t="s">
        <v>42</v>
      </c>
      <c r="G2912" s="3" t="s">
        <v>99</v>
      </c>
      <c r="H2912" s="3" t="s">
        <v>32</v>
      </c>
      <c r="I2912" s="3">
        <v>2025</v>
      </c>
      <c r="J2912" s="3" t="str">
        <f>CONCATENATE("54820145818")</f>
        <v>54820145818</v>
      </c>
      <c r="K2912" s="3" t="s">
        <v>33</v>
      </c>
      <c r="L2912" s="3"/>
      <c r="M2912" s="3" t="s">
        <v>131</v>
      </c>
      <c r="N2912" s="3" t="str">
        <f>CONCATENATE("SHRVNY75M71Z259N")</f>
        <v>SHRVNY75M71Z259N</v>
      </c>
      <c r="O2912" s="3" t="s">
        <v>3039</v>
      </c>
      <c r="P2912" s="3" t="s">
        <v>36</v>
      </c>
      <c r="Q2912" s="3"/>
      <c r="R2912" s="4">
        <v>45996</v>
      </c>
      <c r="S2912" s="3" t="s">
        <v>37</v>
      </c>
      <c r="T2912" s="3" t="s">
        <v>38</v>
      </c>
      <c r="U2912" s="3" t="s">
        <v>39</v>
      </c>
      <c r="V2912" s="3">
        <v>469.89</v>
      </c>
      <c r="W2912" s="3">
        <v>199.7</v>
      </c>
      <c r="X2912" s="3">
        <v>189.13</v>
      </c>
      <c r="Y2912" s="3">
        <v>81.06</v>
      </c>
    </row>
    <row r="2913" spans="1:25" ht="60.75" x14ac:dyDescent="0.25">
      <c r="A2913" s="3" t="s">
        <v>26</v>
      </c>
      <c r="B2913" s="3" t="s">
        <v>27</v>
      </c>
      <c r="C2913" s="3" t="s">
        <v>28</v>
      </c>
      <c r="D2913" s="3" t="s">
        <v>29</v>
      </c>
      <c r="E2913" s="3" t="s">
        <v>136</v>
      </c>
      <c r="F2913" s="3" t="s">
        <v>31</v>
      </c>
      <c r="G2913" s="3" t="s">
        <v>136</v>
      </c>
      <c r="H2913" s="3" t="s">
        <v>48</v>
      </c>
      <c r="I2913" s="3">
        <v>2025</v>
      </c>
      <c r="J2913" s="3" t="str">
        <f>CONCATENATE("54820143417")</f>
        <v>54820143417</v>
      </c>
      <c r="K2913" s="3" t="s">
        <v>33</v>
      </c>
      <c r="L2913" s="3"/>
      <c r="M2913" s="3" t="s">
        <v>131</v>
      </c>
      <c r="N2913" s="3" t="str">
        <f>CONCATENATE("MRCGPP64M24A366K")</f>
        <v>MRCGPP64M24A366K</v>
      </c>
      <c r="O2913" s="3" t="s">
        <v>3040</v>
      </c>
      <c r="P2913" s="3" t="s">
        <v>36</v>
      </c>
      <c r="Q2913" s="3"/>
      <c r="R2913" s="4">
        <v>45996</v>
      </c>
      <c r="S2913" s="3" t="s">
        <v>37</v>
      </c>
      <c r="T2913" s="3" t="s">
        <v>38</v>
      </c>
      <c r="U2913" s="3" t="s">
        <v>39</v>
      </c>
      <c r="V2913" s="3">
        <v>172.24</v>
      </c>
      <c r="W2913" s="3">
        <v>73.2</v>
      </c>
      <c r="X2913" s="3">
        <v>69.33</v>
      </c>
      <c r="Y2913" s="3">
        <v>29.71</v>
      </c>
    </row>
    <row r="2914" spans="1:25" ht="60.75" x14ac:dyDescent="0.25">
      <c r="A2914" s="3" t="s">
        <v>26</v>
      </c>
      <c r="B2914" s="3" t="s">
        <v>27</v>
      </c>
      <c r="C2914" s="3" t="s">
        <v>28</v>
      </c>
      <c r="D2914" s="3" t="s">
        <v>29</v>
      </c>
      <c r="E2914" s="3" t="s">
        <v>208</v>
      </c>
      <c r="F2914" s="3" t="s">
        <v>31</v>
      </c>
      <c r="G2914" s="3" t="s">
        <v>208</v>
      </c>
      <c r="H2914" s="3" t="s">
        <v>45</v>
      </c>
      <c r="I2914" s="3">
        <v>2025</v>
      </c>
      <c r="J2914" s="3" t="str">
        <f>CONCATENATE("54820218003")</f>
        <v>54820218003</v>
      </c>
      <c r="K2914" s="3" t="s">
        <v>33</v>
      </c>
      <c r="L2914" s="3"/>
      <c r="M2914" s="3" t="s">
        <v>131</v>
      </c>
      <c r="N2914" s="3" t="str">
        <f>CONCATENATE("TBRFNC67L14Z133R")</f>
        <v>TBRFNC67L14Z133R</v>
      </c>
      <c r="O2914" s="3" t="s">
        <v>3041</v>
      </c>
      <c r="P2914" s="3" t="s">
        <v>36</v>
      </c>
      <c r="Q2914" s="3"/>
      <c r="R2914" s="4">
        <v>45996</v>
      </c>
      <c r="S2914" s="3" t="s">
        <v>37</v>
      </c>
      <c r="T2914" s="3" t="s">
        <v>38</v>
      </c>
      <c r="U2914" s="3" t="s">
        <v>39</v>
      </c>
      <c r="V2914" s="3">
        <v>593.54999999999995</v>
      </c>
      <c r="W2914" s="3">
        <v>252.26</v>
      </c>
      <c r="X2914" s="3">
        <v>238.9</v>
      </c>
      <c r="Y2914" s="3">
        <v>102.39</v>
      </c>
    </row>
    <row r="2915" spans="1:25" ht="60.75" x14ac:dyDescent="0.25">
      <c r="A2915" s="3" t="s">
        <v>26</v>
      </c>
      <c r="B2915" s="3" t="s">
        <v>27</v>
      </c>
      <c r="C2915" s="3" t="s">
        <v>28</v>
      </c>
      <c r="D2915" s="3" t="s">
        <v>29</v>
      </c>
      <c r="E2915" s="3" t="s">
        <v>47</v>
      </c>
      <c r="F2915" s="3" t="s">
        <v>31</v>
      </c>
      <c r="G2915" s="3" t="s">
        <v>47</v>
      </c>
      <c r="H2915" s="3" t="s">
        <v>48</v>
      </c>
      <c r="I2915" s="3">
        <v>2025</v>
      </c>
      <c r="J2915" s="3" t="str">
        <f>CONCATENATE("54820186523")</f>
        <v>54820186523</v>
      </c>
      <c r="K2915" s="3" t="s">
        <v>33</v>
      </c>
      <c r="L2915" s="3"/>
      <c r="M2915" s="3" t="s">
        <v>131</v>
      </c>
      <c r="N2915" s="3" t="str">
        <f>CONCATENATE("NTNLSN82S10D451R")</f>
        <v>NTNLSN82S10D451R</v>
      </c>
      <c r="O2915" s="3" t="s">
        <v>3042</v>
      </c>
      <c r="P2915" s="3" t="s">
        <v>36</v>
      </c>
      <c r="Q2915" s="3"/>
      <c r="R2915" s="4">
        <v>45996</v>
      </c>
      <c r="S2915" s="3" t="s">
        <v>37</v>
      </c>
      <c r="T2915" s="3" t="s">
        <v>38</v>
      </c>
      <c r="U2915" s="3" t="s">
        <v>39</v>
      </c>
      <c r="V2915" s="3">
        <v>56.98</v>
      </c>
      <c r="W2915" s="3">
        <v>24.22</v>
      </c>
      <c r="X2915" s="3">
        <v>22.93</v>
      </c>
      <c r="Y2915" s="3">
        <v>9.83</v>
      </c>
    </row>
    <row r="2916" spans="1:25" ht="36.75" x14ac:dyDescent="0.25">
      <c r="A2916" s="3" t="s">
        <v>26</v>
      </c>
      <c r="B2916" s="3" t="s">
        <v>27</v>
      </c>
      <c r="C2916" s="3" t="s">
        <v>28</v>
      </c>
      <c r="D2916" s="3" t="s">
        <v>29</v>
      </c>
      <c r="E2916" s="3" t="s">
        <v>119</v>
      </c>
      <c r="F2916" s="3" t="s">
        <v>31</v>
      </c>
      <c r="G2916" s="3" t="s">
        <v>119</v>
      </c>
      <c r="H2916" s="3" t="s">
        <v>96</v>
      </c>
      <c r="I2916" s="3">
        <v>2025</v>
      </c>
      <c r="J2916" s="3" t="str">
        <f>CONCATENATE("54820147582")</f>
        <v>54820147582</v>
      </c>
      <c r="K2916" s="3" t="s">
        <v>33</v>
      </c>
      <c r="L2916" s="3"/>
      <c r="M2916" s="3" t="s">
        <v>131</v>
      </c>
      <c r="N2916" s="3" t="str">
        <f>CONCATENATE("02539730446")</f>
        <v>02539730446</v>
      </c>
      <c r="O2916" s="3" t="s">
        <v>3043</v>
      </c>
      <c r="P2916" s="3" t="s">
        <v>36</v>
      </c>
      <c r="Q2916" s="3"/>
      <c r="R2916" s="4">
        <v>45996</v>
      </c>
      <c r="S2916" s="3" t="s">
        <v>37</v>
      </c>
      <c r="T2916" s="3" t="s">
        <v>38</v>
      </c>
      <c r="U2916" s="3" t="s">
        <v>39</v>
      </c>
      <c r="V2916" s="3">
        <v>91.03</v>
      </c>
      <c r="W2916" s="3">
        <v>38.69</v>
      </c>
      <c r="X2916" s="3">
        <v>36.64</v>
      </c>
      <c r="Y2916" s="3">
        <v>15.7</v>
      </c>
    </row>
    <row r="2917" spans="1:25" ht="72.75" x14ac:dyDescent="0.25">
      <c r="A2917" s="3" t="s">
        <v>26</v>
      </c>
      <c r="B2917" s="3" t="s">
        <v>27</v>
      </c>
      <c r="C2917" s="3" t="s">
        <v>28</v>
      </c>
      <c r="D2917" s="3" t="s">
        <v>50</v>
      </c>
      <c r="E2917" s="3" t="s">
        <v>51</v>
      </c>
      <c r="F2917" s="3" t="s">
        <v>52</v>
      </c>
      <c r="G2917" s="3" t="s">
        <v>51</v>
      </c>
      <c r="H2917" s="3" t="s">
        <v>48</v>
      </c>
      <c r="I2917" s="3">
        <v>2025</v>
      </c>
      <c r="J2917" s="3" t="str">
        <f>CONCATENATE("54820134796")</f>
        <v>54820134796</v>
      </c>
      <c r="K2917" s="3" t="s">
        <v>33</v>
      </c>
      <c r="L2917" s="3"/>
      <c r="M2917" s="3" t="s">
        <v>131</v>
      </c>
      <c r="N2917" s="3" t="str">
        <f>CONCATENATE("SCLMRK81A14A366D")</f>
        <v>SCLMRK81A14A366D</v>
      </c>
      <c r="O2917" s="3" t="s">
        <v>3044</v>
      </c>
      <c r="P2917" s="3" t="s">
        <v>36</v>
      </c>
      <c r="Q2917" s="3"/>
      <c r="R2917" s="4">
        <v>45996</v>
      </c>
      <c r="S2917" s="3" t="s">
        <v>37</v>
      </c>
      <c r="T2917" s="3" t="s">
        <v>38</v>
      </c>
      <c r="U2917" s="3" t="s">
        <v>39</v>
      </c>
      <c r="V2917" s="3">
        <v>675.28</v>
      </c>
      <c r="W2917" s="3">
        <v>286.99</v>
      </c>
      <c r="X2917" s="3">
        <v>271.8</v>
      </c>
      <c r="Y2917" s="3">
        <v>116.49</v>
      </c>
    </row>
    <row r="2918" spans="1:25" ht="60.75" x14ac:dyDescent="0.25">
      <c r="A2918" s="3" t="s">
        <v>26</v>
      </c>
      <c r="B2918" s="3" t="s">
        <v>27</v>
      </c>
      <c r="C2918" s="3" t="s">
        <v>28</v>
      </c>
      <c r="D2918" s="3" t="s">
        <v>50</v>
      </c>
      <c r="E2918" s="3" t="s">
        <v>51</v>
      </c>
      <c r="F2918" s="3" t="s">
        <v>52</v>
      </c>
      <c r="G2918" s="3" t="s">
        <v>51</v>
      </c>
      <c r="H2918" s="3" t="s">
        <v>48</v>
      </c>
      <c r="I2918" s="3">
        <v>2025</v>
      </c>
      <c r="J2918" s="3" t="str">
        <f>CONCATENATE("54820154885")</f>
        <v>54820154885</v>
      </c>
      <c r="K2918" s="3" t="s">
        <v>33</v>
      </c>
      <c r="L2918" s="3"/>
      <c r="M2918" s="3" t="s">
        <v>131</v>
      </c>
      <c r="N2918" s="3" t="str">
        <f>CONCATENATE("MRTPPL59M13Z700N")</f>
        <v>MRTPPL59M13Z700N</v>
      </c>
      <c r="O2918" s="3" t="s">
        <v>3045</v>
      </c>
      <c r="P2918" s="3" t="s">
        <v>36</v>
      </c>
      <c r="Q2918" s="3"/>
      <c r="R2918" s="4">
        <v>45996</v>
      </c>
      <c r="S2918" s="3" t="s">
        <v>37</v>
      </c>
      <c r="T2918" s="3" t="s">
        <v>38</v>
      </c>
      <c r="U2918" s="3" t="s">
        <v>39</v>
      </c>
      <c r="V2918" s="3">
        <v>98.14</v>
      </c>
      <c r="W2918" s="3">
        <v>41.71</v>
      </c>
      <c r="X2918" s="3">
        <v>39.5</v>
      </c>
      <c r="Y2918" s="3">
        <v>16.93</v>
      </c>
    </row>
    <row r="2919" spans="1:25" ht="60.75" x14ac:dyDescent="0.25">
      <c r="A2919" s="3" t="s">
        <v>26</v>
      </c>
      <c r="B2919" s="3" t="s">
        <v>27</v>
      </c>
      <c r="C2919" s="3" t="s">
        <v>28</v>
      </c>
      <c r="D2919" s="3" t="s">
        <v>91</v>
      </c>
      <c r="E2919" s="3" t="s">
        <v>151</v>
      </c>
      <c r="F2919" s="3" t="s">
        <v>93</v>
      </c>
      <c r="G2919" s="3" t="s">
        <v>151</v>
      </c>
      <c r="H2919" s="3" t="s">
        <v>45</v>
      </c>
      <c r="I2919" s="3">
        <v>2025</v>
      </c>
      <c r="J2919" s="3" t="str">
        <f>CONCATENATE("54820205927")</f>
        <v>54820205927</v>
      </c>
      <c r="K2919" s="3" t="s">
        <v>33</v>
      </c>
      <c r="L2919" s="3"/>
      <c r="M2919" s="3" t="s">
        <v>131</v>
      </c>
      <c r="N2919" s="3" t="str">
        <f>CONCATENATE("FRTCLD47P10G453X")</f>
        <v>FRTCLD47P10G453X</v>
      </c>
      <c r="O2919" s="3" t="s">
        <v>3046</v>
      </c>
      <c r="P2919" s="3" t="s">
        <v>36</v>
      </c>
      <c r="Q2919" s="3"/>
      <c r="R2919" s="4">
        <v>45996</v>
      </c>
      <c r="S2919" s="3" t="s">
        <v>37</v>
      </c>
      <c r="T2919" s="3" t="s">
        <v>38</v>
      </c>
      <c r="U2919" s="3" t="s">
        <v>39</v>
      </c>
      <c r="V2919" s="3">
        <v>356.06</v>
      </c>
      <c r="W2919" s="3">
        <v>151.33000000000001</v>
      </c>
      <c r="X2919" s="3">
        <v>143.31</v>
      </c>
      <c r="Y2919" s="3">
        <v>61.42</v>
      </c>
    </row>
    <row r="2920" spans="1:25" ht="60.75" x14ac:dyDescent="0.25">
      <c r="A2920" s="3" t="s">
        <v>26</v>
      </c>
      <c r="B2920" s="3" t="s">
        <v>27</v>
      </c>
      <c r="C2920" s="3" t="s">
        <v>28</v>
      </c>
      <c r="D2920" s="3" t="s">
        <v>29</v>
      </c>
      <c r="E2920" s="3" t="s">
        <v>47</v>
      </c>
      <c r="F2920" s="3" t="s">
        <v>31</v>
      </c>
      <c r="G2920" s="3" t="s">
        <v>47</v>
      </c>
      <c r="H2920" s="3" t="s">
        <v>48</v>
      </c>
      <c r="I2920" s="3">
        <v>2025</v>
      </c>
      <c r="J2920" s="3" t="str">
        <f>CONCATENATE("54820192265")</f>
        <v>54820192265</v>
      </c>
      <c r="K2920" s="3" t="s">
        <v>33</v>
      </c>
      <c r="L2920" s="3"/>
      <c r="M2920" s="3" t="s">
        <v>131</v>
      </c>
      <c r="N2920" s="3" t="str">
        <f>CONCATENATE("CSTGNI63A56D211P")</f>
        <v>CSTGNI63A56D211P</v>
      </c>
      <c r="O2920" s="3" t="s">
        <v>3047</v>
      </c>
      <c r="P2920" s="3" t="s">
        <v>36</v>
      </c>
      <c r="Q2920" s="3"/>
      <c r="R2920" s="4">
        <v>45996</v>
      </c>
      <c r="S2920" s="3" t="s">
        <v>37</v>
      </c>
      <c r="T2920" s="3" t="s">
        <v>38</v>
      </c>
      <c r="U2920" s="3" t="s">
        <v>39</v>
      </c>
      <c r="V2920" s="3">
        <v>50.16</v>
      </c>
      <c r="W2920" s="3">
        <v>21.32</v>
      </c>
      <c r="X2920" s="3">
        <v>20.190000000000001</v>
      </c>
      <c r="Y2920" s="3">
        <v>8.65</v>
      </c>
    </row>
    <row r="2921" spans="1:25" ht="72.75" x14ac:dyDescent="0.25">
      <c r="A2921" s="3" t="s">
        <v>26</v>
      </c>
      <c r="B2921" s="3" t="s">
        <v>27</v>
      </c>
      <c r="C2921" s="3" t="s">
        <v>28</v>
      </c>
      <c r="D2921" s="3" t="s">
        <v>29</v>
      </c>
      <c r="E2921" s="3" t="s">
        <v>47</v>
      </c>
      <c r="F2921" s="3" t="s">
        <v>31</v>
      </c>
      <c r="G2921" s="3" t="s">
        <v>47</v>
      </c>
      <c r="H2921" s="3" t="s">
        <v>48</v>
      </c>
      <c r="I2921" s="3">
        <v>2025</v>
      </c>
      <c r="J2921" s="3" t="str">
        <f>CONCATENATE("54820203260")</f>
        <v>54820203260</v>
      </c>
      <c r="K2921" s="3" t="s">
        <v>33</v>
      </c>
      <c r="L2921" s="3"/>
      <c r="M2921" s="3" t="s">
        <v>131</v>
      </c>
      <c r="N2921" s="3" t="str">
        <f>CONCATENATE("MGNSMN83D22D451Q")</f>
        <v>MGNSMN83D22D451Q</v>
      </c>
      <c r="O2921" s="3" t="s">
        <v>3048</v>
      </c>
      <c r="P2921" s="3" t="s">
        <v>36</v>
      </c>
      <c r="Q2921" s="3"/>
      <c r="R2921" s="4">
        <v>45996</v>
      </c>
      <c r="S2921" s="3" t="s">
        <v>37</v>
      </c>
      <c r="T2921" s="3" t="s">
        <v>38</v>
      </c>
      <c r="U2921" s="3" t="s">
        <v>39</v>
      </c>
      <c r="V2921" s="3">
        <v>182.12</v>
      </c>
      <c r="W2921" s="3">
        <v>77.400000000000006</v>
      </c>
      <c r="X2921" s="3">
        <v>73.3</v>
      </c>
      <c r="Y2921" s="3">
        <v>31.42</v>
      </c>
    </row>
    <row r="2922" spans="1:25" ht="60.75" x14ac:dyDescent="0.25">
      <c r="A2922" s="3" t="s">
        <v>26</v>
      </c>
      <c r="B2922" s="3" t="s">
        <v>27</v>
      </c>
      <c r="C2922" s="3" t="s">
        <v>28</v>
      </c>
      <c r="D2922" s="3" t="s">
        <v>29</v>
      </c>
      <c r="E2922" s="3" t="s">
        <v>72</v>
      </c>
      <c r="F2922" s="3" t="s">
        <v>31</v>
      </c>
      <c r="G2922" s="3" t="s">
        <v>72</v>
      </c>
      <c r="H2922" s="3" t="s">
        <v>45</v>
      </c>
      <c r="I2922" s="3">
        <v>2025</v>
      </c>
      <c r="J2922" s="3" t="str">
        <f>CONCATENATE("54820190046")</f>
        <v>54820190046</v>
      </c>
      <c r="K2922" s="3" t="s">
        <v>33</v>
      </c>
      <c r="L2922" s="3"/>
      <c r="M2922" s="3" t="s">
        <v>131</v>
      </c>
      <c r="N2922" s="3" t="str">
        <f>CONCATENATE("PZBNCM76E22L500S")</f>
        <v>PZBNCM76E22L500S</v>
      </c>
      <c r="O2922" s="3" t="s">
        <v>3049</v>
      </c>
      <c r="P2922" s="3" t="s">
        <v>36</v>
      </c>
      <c r="Q2922" s="3"/>
      <c r="R2922" s="4">
        <v>45996</v>
      </c>
      <c r="S2922" s="3" t="s">
        <v>37</v>
      </c>
      <c r="T2922" s="3" t="s">
        <v>38</v>
      </c>
      <c r="U2922" s="3" t="s">
        <v>39</v>
      </c>
      <c r="V2922" s="5">
        <v>1054.69</v>
      </c>
      <c r="W2922" s="3">
        <v>448.24</v>
      </c>
      <c r="X2922" s="3">
        <v>424.51</v>
      </c>
      <c r="Y2922" s="3">
        <v>181.94</v>
      </c>
    </row>
    <row r="2923" spans="1:25" ht="60.75" x14ac:dyDescent="0.25">
      <c r="A2923" s="3" t="s">
        <v>26</v>
      </c>
      <c r="B2923" s="3" t="s">
        <v>27</v>
      </c>
      <c r="C2923" s="3" t="s">
        <v>28</v>
      </c>
      <c r="D2923" s="3" t="s">
        <v>50</v>
      </c>
      <c r="E2923" s="3" t="s">
        <v>60</v>
      </c>
      <c r="F2923" s="3" t="s">
        <v>52</v>
      </c>
      <c r="G2923" s="3" t="s">
        <v>60</v>
      </c>
      <c r="H2923" s="3" t="s">
        <v>45</v>
      </c>
      <c r="I2923" s="3">
        <v>2025</v>
      </c>
      <c r="J2923" s="3" t="str">
        <f>CONCATENATE("54820173406")</f>
        <v>54820173406</v>
      </c>
      <c r="K2923" s="3" t="s">
        <v>33</v>
      </c>
      <c r="L2923" s="3"/>
      <c r="M2923" s="3" t="s">
        <v>131</v>
      </c>
      <c r="N2923" s="3" t="str">
        <f>CONCATENATE("PRLPLA68D09C745A")</f>
        <v>PRLPLA68D09C745A</v>
      </c>
      <c r="O2923" s="3" t="s">
        <v>3050</v>
      </c>
      <c r="P2923" s="3" t="s">
        <v>36</v>
      </c>
      <c r="Q2923" s="3"/>
      <c r="R2923" s="4">
        <v>45996</v>
      </c>
      <c r="S2923" s="3" t="s">
        <v>37</v>
      </c>
      <c r="T2923" s="3" t="s">
        <v>38</v>
      </c>
      <c r="U2923" s="3" t="s">
        <v>39</v>
      </c>
      <c r="V2923" s="3">
        <v>717.9</v>
      </c>
      <c r="W2923" s="3">
        <v>305.11</v>
      </c>
      <c r="X2923" s="3">
        <v>288.95</v>
      </c>
      <c r="Y2923" s="3">
        <v>123.84</v>
      </c>
    </row>
    <row r="2924" spans="1:25" ht="60.75" x14ac:dyDescent="0.25">
      <c r="A2924" s="3" t="s">
        <v>26</v>
      </c>
      <c r="B2924" s="3" t="s">
        <v>27</v>
      </c>
      <c r="C2924" s="3" t="s">
        <v>28</v>
      </c>
      <c r="D2924" s="3" t="s">
        <v>29</v>
      </c>
      <c r="E2924" s="3" t="s">
        <v>47</v>
      </c>
      <c r="F2924" s="3" t="s">
        <v>31</v>
      </c>
      <c r="G2924" s="3" t="s">
        <v>47</v>
      </c>
      <c r="H2924" s="3" t="s">
        <v>48</v>
      </c>
      <c r="I2924" s="3">
        <v>2025</v>
      </c>
      <c r="J2924" s="3" t="str">
        <f>CONCATENATE("54820190848")</f>
        <v>54820190848</v>
      </c>
      <c r="K2924" s="3" t="s">
        <v>33</v>
      </c>
      <c r="L2924" s="3"/>
      <c r="M2924" s="3" t="s">
        <v>131</v>
      </c>
      <c r="N2924" s="3" t="str">
        <f>CONCATENATE("CCCPLA70A04D451X")</f>
        <v>CCCPLA70A04D451X</v>
      </c>
      <c r="O2924" s="3" t="s">
        <v>3051</v>
      </c>
      <c r="P2924" s="3" t="s">
        <v>36</v>
      </c>
      <c r="Q2924" s="3"/>
      <c r="R2924" s="4">
        <v>45996</v>
      </c>
      <c r="S2924" s="3" t="s">
        <v>37</v>
      </c>
      <c r="T2924" s="3" t="s">
        <v>38</v>
      </c>
      <c r="U2924" s="3" t="s">
        <v>39</v>
      </c>
      <c r="V2924" s="3">
        <v>395.75</v>
      </c>
      <c r="W2924" s="3">
        <v>168.19</v>
      </c>
      <c r="X2924" s="3">
        <v>159.29</v>
      </c>
      <c r="Y2924" s="3">
        <v>68.27</v>
      </c>
    </row>
    <row r="2925" spans="1:25" ht="60.75" x14ac:dyDescent="0.25">
      <c r="A2925" s="3" t="s">
        <v>26</v>
      </c>
      <c r="B2925" s="3" t="s">
        <v>27</v>
      </c>
      <c r="C2925" s="3" t="s">
        <v>28</v>
      </c>
      <c r="D2925" s="3" t="s">
        <v>29</v>
      </c>
      <c r="E2925" s="3" t="s">
        <v>47</v>
      </c>
      <c r="F2925" s="3" t="s">
        <v>31</v>
      </c>
      <c r="G2925" s="3" t="s">
        <v>47</v>
      </c>
      <c r="H2925" s="3" t="s">
        <v>48</v>
      </c>
      <c r="I2925" s="3">
        <v>2025</v>
      </c>
      <c r="J2925" s="3" t="str">
        <f>CONCATENATE("54820157821")</f>
        <v>54820157821</v>
      </c>
      <c r="K2925" s="3" t="s">
        <v>33</v>
      </c>
      <c r="L2925" s="3"/>
      <c r="M2925" s="3" t="s">
        <v>131</v>
      </c>
      <c r="N2925" s="3" t="str">
        <f>CONCATENATE("CLLRFL58R05D211I")</f>
        <v>CLLRFL58R05D211I</v>
      </c>
      <c r="O2925" s="3" t="s">
        <v>3052</v>
      </c>
      <c r="P2925" s="3" t="s">
        <v>36</v>
      </c>
      <c r="Q2925" s="3"/>
      <c r="R2925" s="4">
        <v>45996</v>
      </c>
      <c r="S2925" s="3" t="s">
        <v>37</v>
      </c>
      <c r="T2925" s="3" t="s">
        <v>38</v>
      </c>
      <c r="U2925" s="3" t="s">
        <v>39</v>
      </c>
      <c r="V2925" s="3">
        <v>80.89</v>
      </c>
      <c r="W2925" s="3">
        <v>34.380000000000003</v>
      </c>
      <c r="X2925" s="3">
        <v>32.56</v>
      </c>
      <c r="Y2925" s="3">
        <v>13.95</v>
      </c>
    </row>
    <row r="2926" spans="1:25" ht="60.75" x14ac:dyDescent="0.25">
      <c r="A2926" s="3" t="s">
        <v>26</v>
      </c>
      <c r="B2926" s="3" t="s">
        <v>27</v>
      </c>
      <c r="C2926" s="3" t="s">
        <v>28</v>
      </c>
      <c r="D2926" s="3" t="s">
        <v>29</v>
      </c>
      <c r="E2926" s="3" t="s">
        <v>136</v>
      </c>
      <c r="F2926" s="3" t="s">
        <v>31</v>
      </c>
      <c r="G2926" s="3" t="s">
        <v>136</v>
      </c>
      <c r="H2926" s="3" t="s">
        <v>48</v>
      </c>
      <c r="I2926" s="3">
        <v>2025</v>
      </c>
      <c r="J2926" s="3" t="str">
        <f>CONCATENATE("54820127626")</f>
        <v>54820127626</v>
      </c>
      <c r="K2926" s="3" t="s">
        <v>33</v>
      </c>
      <c r="L2926" s="3"/>
      <c r="M2926" s="3" t="s">
        <v>131</v>
      </c>
      <c r="N2926" s="3" t="str">
        <f>CONCATENATE("GSMLSE33A42I461R")</f>
        <v>GSMLSE33A42I461R</v>
      </c>
      <c r="O2926" s="3" t="s">
        <v>3053</v>
      </c>
      <c r="P2926" s="3" t="s">
        <v>36</v>
      </c>
      <c r="Q2926" s="3"/>
      <c r="R2926" s="4">
        <v>45996</v>
      </c>
      <c r="S2926" s="3" t="s">
        <v>37</v>
      </c>
      <c r="T2926" s="3" t="s">
        <v>38</v>
      </c>
      <c r="U2926" s="3" t="s">
        <v>39</v>
      </c>
      <c r="V2926" s="3">
        <v>86.1</v>
      </c>
      <c r="W2926" s="3">
        <v>36.590000000000003</v>
      </c>
      <c r="X2926" s="3">
        <v>34.659999999999997</v>
      </c>
      <c r="Y2926" s="3">
        <v>14.85</v>
      </c>
    </row>
    <row r="2927" spans="1:25" ht="60.75" x14ac:dyDescent="0.25">
      <c r="A2927" s="3" t="s">
        <v>26</v>
      </c>
      <c r="B2927" s="3" t="s">
        <v>27</v>
      </c>
      <c r="C2927" s="3" t="s">
        <v>28</v>
      </c>
      <c r="D2927" s="3" t="s">
        <v>29</v>
      </c>
      <c r="E2927" s="3" t="s">
        <v>341</v>
      </c>
      <c r="F2927" s="3" t="s">
        <v>31</v>
      </c>
      <c r="G2927" s="3" t="s">
        <v>341</v>
      </c>
      <c r="H2927" s="3" t="s">
        <v>45</v>
      </c>
      <c r="I2927" s="3">
        <v>2025</v>
      </c>
      <c r="J2927" s="3" t="str">
        <f>CONCATENATE("54820154141")</f>
        <v>54820154141</v>
      </c>
      <c r="K2927" s="3" t="s">
        <v>33</v>
      </c>
      <c r="L2927" s="3"/>
      <c r="M2927" s="3" t="s">
        <v>131</v>
      </c>
      <c r="N2927" s="3" t="str">
        <f>CONCATENATE("DRNRNN41L42D541H")</f>
        <v>DRNRNN41L42D541H</v>
      </c>
      <c r="O2927" s="3" t="s">
        <v>3054</v>
      </c>
      <c r="P2927" s="3" t="s">
        <v>36</v>
      </c>
      <c r="Q2927" s="3"/>
      <c r="R2927" s="4">
        <v>45996</v>
      </c>
      <c r="S2927" s="3" t="s">
        <v>37</v>
      </c>
      <c r="T2927" s="3" t="s">
        <v>38</v>
      </c>
      <c r="U2927" s="3" t="s">
        <v>39</v>
      </c>
      <c r="V2927" s="3">
        <v>124.24</v>
      </c>
      <c r="W2927" s="3">
        <v>52.8</v>
      </c>
      <c r="X2927" s="3">
        <v>50.01</v>
      </c>
      <c r="Y2927" s="3">
        <v>21.43</v>
      </c>
    </row>
    <row r="2928" spans="1:25" ht="60.75" x14ac:dyDescent="0.25">
      <c r="A2928" s="3" t="s">
        <v>26</v>
      </c>
      <c r="B2928" s="3" t="s">
        <v>27</v>
      </c>
      <c r="C2928" s="3" t="s">
        <v>28</v>
      </c>
      <c r="D2928" s="3" t="s">
        <v>29</v>
      </c>
      <c r="E2928" s="3" t="s">
        <v>136</v>
      </c>
      <c r="F2928" s="3" t="s">
        <v>31</v>
      </c>
      <c r="G2928" s="3" t="s">
        <v>136</v>
      </c>
      <c r="H2928" s="3" t="s">
        <v>48</v>
      </c>
      <c r="I2928" s="3">
        <v>2025</v>
      </c>
      <c r="J2928" s="3" t="str">
        <f>CONCATENATE("54820206255")</f>
        <v>54820206255</v>
      </c>
      <c r="K2928" s="3" t="s">
        <v>33</v>
      </c>
      <c r="L2928" s="3"/>
      <c r="M2928" s="3" t="s">
        <v>131</v>
      </c>
      <c r="N2928" s="3" t="str">
        <f>CONCATENATE("GNTSFN98L14D451Q")</f>
        <v>GNTSFN98L14D451Q</v>
      </c>
      <c r="O2928" s="3" t="s">
        <v>3055</v>
      </c>
      <c r="P2928" s="3" t="s">
        <v>36</v>
      </c>
      <c r="Q2928" s="3"/>
      <c r="R2928" s="4">
        <v>45996</v>
      </c>
      <c r="S2928" s="3" t="s">
        <v>37</v>
      </c>
      <c r="T2928" s="3" t="s">
        <v>38</v>
      </c>
      <c r="U2928" s="3" t="s">
        <v>39</v>
      </c>
      <c r="V2928" s="3">
        <v>102.38</v>
      </c>
      <c r="W2928" s="3">
        <v>43.51</v>
      </c>
      <c r="X2928" s="3">
        <v>41.21</v>
      </c>
      <c r="Y2928" s="3">
        <v>17.66</v>
      </c>
    </row>
    <row r="2929" spans="1:25" ht="60.75" x14ac:dyDescent="0.25">
      <c r="A2929" s="3" t="s">
        <v>26</v>
      </c>
      <c r="B2929" s="3" t="s">
        <v>27</v>
      </c>
      <c r="C2929" s="3" t="s">
        <v>28</v>
      </c>
      <c r="D2929" s="3" t="s">
        <v>50</v>
      </c>
      <c r="E2929" s="3" t="s">
        <v>252</v>
      </c>
      <c r="F2929" s="3" t="s">
        <v>52</v>
      </c>
      <c r="G2929" s="3" t="s">
        <v>252</v>
      </c>
      <c r="H2929" s="3" t="s">
        <v>45</v>
      </c>
      <c r="I2929" s="3">
        <v>2025</v>
      </c>
      <c r="J2929" s="3" t="str">
        <f>CONCATENATE("54820217401")</f>
        <v>54820217401</v>
      </c>
      <c r="K2929" s="3" t="s">
        <v>33</v>
      </c>
      <c r="L2929" s="3"/>
      <c r="M2929" s="3" t="s">
        <v>131</v>
      </c>
      <c r="N2929" s="3" t="str">
        <f>CONCATENATE("SRCMRZ52C19D749K")</f>
        <v>SRCMRZ52C19D749K</v>
      </c>
      <c r="O2929" s="3" t="s">
        <v>3056</v>
      </c>
      <c r="P2929" s="3" t="s">
        <v>36</v>
      </c>
      <c r="Q2929" s="3"/>
      <c r="R2929" s="4">
        <v>45996</v>
      </c>
      <c r="S2929" s="3" t="s">
        <v>37</v>
      </c>
      <c r="T2929" s="3" t="s">
        <v>38</v>
      </c>
      <c r="U2929" s="3" t="s">
        <v>39</v>
      </c>
      <c r="V2929" s="3">
        <v>48.06</v>
      </c>
      <c r="W2929" s="3">
        <v>20.43</v>
      </c>
      <c r="X2929" s="3">
        <v>19.34</v>
      </c>
      <c r="Y2929" s="3">
        <v>8.2899999999999991</v>
      </c>
    </row>
    <row r="2930" spans="1:25" ht="60.75" x14ac:dyDescent="0.25">
      <c r="A2930" s="3" t="s">
        <v>26</v>
      </c>
      <c r="B2930" s="3" t="s">
        <v>27</v>
      </c>
      <c r="C2930" s="3" t="s">
        <v>28</v>
      </c>
      <c r="D2930" s="3" t="s">
        <v>29</v>
      </c>
      <c r="E2930" s="3" t="s">
        <v>101</v>
      </c>
      <c r="F2930" s="3" t="s">
        <v>31</v>
      </c>
      <c r="G2930" s="3" t="s">
        <v>101</v>
      </c>
      <c r="H2930" s="3" t="s">
        <v>32</v>
      </c>
      <c r="I2930" s="3">
        <v>2025</v>
      </c>
      <c r="J2930" s="3" t="str">
        <f>CONCATENATE("54820206404")</f>
        <v>54820206404</v>
      </c>
      <c r="K2930" s="3" t="s">
        <v>33</v>
      </c>
      <c r="L2930" s="3"/>
      <c r="M2930" s="3" t="s">
        <v>131</v>
      </c>
      <c r="N2930" s="3" t="str">
        <f>CONCATENATE("MEOVNI89T22L191V")</f>
        <v>MEOVNI89T22L191V</v>
      </c>
      <c r="O2930" s="3" t="s">
        <v>3057</v>
      </c>
      <c r="P2930" s="3" t="s">
        <v>36</v>
      </c>
      <c r="Q2930" s="3"/>
      <c r="R2930" s="4">
        <v>45996</v>
      </c>
      <c r="S2930" s="3" t="s">
        <v>37</v>
      </c>
      <c r="T2930" s="3" t="s">
        <v>38</v>
      </c>
      <c r="U2930" s="3" t="s">
        <v>39</v>
      </c>
      <c r="V2930" s="3">
        <v>115.12</v>
      </c>
      <c r="W2930" s="3">
        <v>48.93</v>
      </c>
      <c r="X2930" s="3">
        <v>46.34</v>
      </c>
      <c r="Y2930" s="3">
        <v>19.850000000000001</v>
      </c>
    </row>
    <row r="2931" spans="1:25" ht="60.75" x14ac:dyDescent="0.25">
      <c r="A2931" s="3" t="s">
        <v>26</v>
      </c>
      <c r="B2931" s="3" t="s">
        <v>27</v>
      </c>
      <c r="C2931" s="3" t="s">
        <v>28</v>
      </c>
      <c r="D2931" s="3" t="s">
        <v>40</v>
      </c>
      <c r="E2931" s="3" t="s">
        <v>287</v>
      </c>
      <c r="F2931" s="3" t="s">
        <v>42</v>
      </c>
      <c r="G2931" s="3" t="s">
        <v>287</v>
      </c>
      <c r="H2931" s="3" t="s">
        <v>32</v>
      </c>
      <c r="I2931" s="3">
        <v>2025</v>
      </c>
      <c r="J2931" s="3" t="str">
        <f>CONCATENATE("54820015417")</f>
        <v>54820015417</v>
      </c>
      <c r="K2931" s="3" t="s">
        <v>33</v>
      </c>
      <c r="L2931" s="3"/>
      <c r="M2931" s="3" t="s">
        <v>131</v>
      </c>
      <c r="N2931" s="3" t="str">
        <f>CONCATENATE("CRMRLD33T30B474O")</f>
        <v>CRMRLD33T30B474O</v>
      </c>
      <c r="O2931" s="3" t="s">
        <v>3058</v>
      </c>
      <c r="P2931" s="3" t="s">
        <v>36</v>
      </c>
      <c r="Q2931" s="3"/>
      <c r="R2931" s="4">
        <v>45996</v>
      </c>
      <c r="S2931" s="3" t="s">
        <v>37</v>
      </c>
      <c r="T2931" s="3" t="s">
        <v>38</v>
      </c>
      <c r="U2931" s="3" t="s">
        <v>39</v>
      </c>
      <c r="V2931" s="3">
        <v>345.38</v>
      </c>
      <c r="W2931" s="3">
        <v>146.79</v>
      </c>
      <c r="X2931" s="3">
        <v>139.02000000000001</v>
      </c>
      <c r="Y2931" s="3">
        <v>59.57</v>
      </c>
    </row>
    <row r="2932" spans="1:25" ht="60.75" x14ac:dyDescent="0.25">
      <c r="A2932" s="3" t="s">
        <v>26</v>
      </c>
      <c r="B2932" s="3" t="s">
        <v>27</v>
      </c>
      <c r="C2932" s="3" t="s">
        <v>28</v>
      </c>
      <c r="D2932" s="3" t="s">
        <v>29</v>
      </c>
      <c r="E2932" s="3" t="s">
        <v>228</v>
      </c>
      <c r="F2932" s="3" t="s">
        <v>31</v>
      </c>
      <c r="G2932" s="3" t="s">
        <v>228</v>
      </c>
      <c r="H2932" s="3" t="s">
        <v>45</v>
      </c>
      <c r="I2932" s="3">
        <v>2025</v>
      </c>
      <c r="J2932" s="3" t="str">
        <f>CONCATENATE("54820019518")</f>
        <v>54820019518</v>
      </c>
      <c r="K2932" s="3" t="s">
        <v>33</v>
      </c>
      <c r="L2932" s="3"/>
      <c r="M2932" s="3" t="s">
        <v>131</v>
      </c>
      <c r="N2932" s="3" t="str">
        <f>CONCATENATE("STLLSN75H19Z103I")</f>
        <v>STLLSN75H19Z103I</v>
      </c>
      <c r="O2932" s="3" t="s">
        <v>3059</v>
      </c>
      <c r="P2932" s="3" t="s">
        <v>36</v>
      </c>
      <c r="Q2932" s="3"/>
      <c r="R2932" s="4">
        <v>45996</v>
      </c>
      <c r="S2932" s="3" t="s">
        <v>37</v>
      </c>
      <c r="T2932" s="3" t="s">
        <v>38</v>
      </c>
      <c r="U2932" s="3" t="s">
        <v>39</v>
      </c>
      <c r="V2932" s="3">
        <v>206.83</v>
      </c>
      <c r="W2932" s="3">
        <v>87.9</v>
      </c>
      <c r="X2932" s="3">
        <v>83.25</v>
      </c>
      <c r="Y2932" s="3">
        <v>35.68</v>
      </c>
    </row>
    <row r="2933" spans="1:25" ht="36.75" x14ac:dyDescent="0.25">
      <c r="A2933" s="3" t="s">
        <v>26</v>
      </c>
      <c r="B2933" s="3" t="s">
        <v>27</v>
      </c>
      <c r="C2933" s="3" t="s">
        <v>28</v>
      </c>
      <c r="D2933" s="3" t="s">
        <v>50</v>
      </c>
      <c r="E2933" s="3" t="s">
        <v>290</v>
      </c>
      <c r="F2933" s="3" t="s">
        <v>52</v>
      </c>
      <c r="G2933" s="3" t="s">
        <v>290</v>
      </c>
      <c r="H2933" s="3" t="s">
        <v>96</v>
      </c>
      <c r="I2933" s="3">
        <v>2025</v>
      </c>
      <c r="J2933" s="3" t="str">
        <f>CONCATENATE("54820040662")</f>
        <v>54820040662</v>
      </c>
      <c r="K2933" s="3" t="s">
        <v>33</v>
      </c>
      <c r="L2933" s="3"/>
      <c r="M2933" s="3" t="s">
        <v>131</v>
      </c>
      <c r="N2933" s="3" t="str">
        <f>CONCATENATE("00919810440")</f>
        <v>00919810440</v>
      </c>
      <c r="O2933" s="3" t="s">
        <v>3060</v>
      </c>
      <c r="P2933" s="3" t="s">
        <v>36</v>
      </c>
      <c r="Q2933" s="3"/>
      <c r="R2933" s="4">
        <v>45996</v>
      </c>
      <c r="S2933" s="3" t="s">
        <v>37</v>
      </c>
      <c r="T2933" s="3" t="s">
        <v>38</v>
      </c>
      <c r="U2933" s="3" t="s">
        <v>39</v>
      </c>
      <c r="V2933" s="3">
        <v>436.27</v>
      </c>
      <c r="W2933" s="3">
        <v>185.41</v>
      </c>
      <c r="X2933" s="3">
        <v>175.6</v>
      </c>
      <c r="Y2933" s="3">
        <v>75.260000000000005</v>
      </c>
    </row>
    <row r="2934" spans="1:25" ht="60.75" x14ac:dyDescent="0.25">
      <c r="A2934" s="3" t="s">
        <v>26</v>
      </c>
      <c r="B2934" s="3" t="s">
        <v>27</v>
      </c>
      <c r="C2934" s="3" t="s">
        <v>28</v>
      </c>
      <c r="D2934" s="3" t="s">
        <v>29</v>
      </c>
      <c r="E2934" s="3" t="s">
        <v>72</v>
      </c>
      <c r="F2934" s="3" t="s">
        <v>31</v>
      </c>
      <c r="G2934" s="3" t="s">
        <v>72</v>
      </c>
      <c r="H2934" s="3" t="s">
        <v>45</v>
      </c>
      <c r="I2934" s="3">
        <v>2025</v>
      </c>
      <c r="J2934" s="3" t="str">
        <f>CONCATENATE("54820068762")</f>
        <v>54820068762</v>
      </c>
      <c r="K2934" s="3" t="s">
        <v>33</v>
      </c>
      <c r="L2934" s="3"/>
      <c r="M2934" s="3" t="s">
        <v>131</v>
      </c>
      <c r="N2934" s="3" t="str">
        <f>CONCATENATE("CNTMCL49A16B352J")</f>
        <v>CNTMCL49A16B352J</v>
      </c>
      <c r="O2934" s="3" t="s">
        <v>3061</v>
      </c>
      <c r="P2934" s="3" t="s">
        <v>36</v>
      </c>
      <c r="Q2934" s="3"/>
      <c r="R2934" s="4">
        <v>45996</v>
      </c>
      <c r="S2934" s="3" t="s">
        <v>37</v>
      </c>
      <c r="T2934" s="3" t="s">
        <v>38</v>
      </c>
      <c r="U2934" s="3" t="s">
        <v>39</v>
      </c>
      <c r="V2934" s="3">
        <v>97.29</v>
      </c>
      <c r="W2934" s="3">
        <v>41.35</v>
      </c>
      <c r="X2934" s="3">
        <v>39.159999999999997</v>
      </c>
      <c r="Y2934" s="3">
        <v>16.78</v>
      </c>
    </row>
    <row r="2935" spans="1:25" ht="36.75" x14ac:dyDescent="0.25">
      <c r="A2935" s="3" t="s">
        <v>26</v>
      </c>
      <c r="B2935" s="3" t="s">
        <v>27</v>
      </c>
      <c r="C2935" s="3" t="s">
        <v>28</v>
      </c>
      <c r="D2935" s="3" t="s">
        <v>50</v>
      </c>
      <c r="E2935" s="3" t="s">
        <v>252</v>
      </c>
      <c r="F2935" s="3" t="s">
        <v>52</v>
      </c>
      <c r="G2935" s="3" t="s">
        <v>252</v>
      </c>
      <c r="H2935" s="3" t="s">
        <v>45</v>
      </c>
      <c r="I2935" s="3">
        <v>2025</v>
      </c>
      <c r="J2935" s="3" t="str">
        <f>CONCATENATE("54820089677")</f>
        <v>54820089677</v>
      </c>
      <c r="K2935" s="3" t="s">
        <v>33</v>
      </c>
      <c r="L2935" s="3"/>
      <c r="M2935" s="3" t="s">
        <v>131</v>
      </c>
      <c r="N2935" s="3" t="str">
        <f>CONCATENATE("02050030416")</f>
        <v>02050030416</v>
      </c>
      <c r="O2935" s="3" t="s">
        <v>3062</v>
      </c>
      <c r="P2935" s="3" t="s">
        <v>36</v>
      </c>
      <c r="Q2935" s="3"/>
      <c r="R2935" s="4">
        <v>45996</v>
      </c>
      <c r="S2935" s="3" t="s">
        <v>37</v>
      </c>
      <c r="T2935" s="3" t="s">
        <v>38</v>
      </c>
      <c r="U2935" s="3" t="s">
        <v>39</v>
      </c>
      <c r="V2935" s="3">
        <v>172</v>
      </c>
      <c r="W2935" s="3">
        <v>73.099999999999994</v>
      </c>
      <c r="X2935" s="3">
        <v>69.23</v>
      </c>
      <c r="Y2935" s="3">
        <v>29.67</v>
      </c>
    </row>
    <row r="2936" spans="1:25" ht="60.75" x14ac:dyDescent="0.25">
      <c r="A2936" s="3" t="s">
        <v>26</v>
      </c>
      <c r="B2936" s="3" t="s">
        <v>27</v>
      </c>
      <c r="C2936" s="3" t="s">
        <v>28</v>
      </c>
      <c r="D2936" s="3" t="s">
        <v>29</v>
      </c>
      <c r="E2936" s="3" t="s">
        <v>47</v>
      </c>
      <c r="F2936" s="3" t="s">
        <v>31</v>
      </c>
      <c r="G2936" s="3" t="s">
        <v>47</v>
      </c>
      <c r="H2936" s="3" t="s">
        <v>48</v>
      </c>
      <c r="I2936" s="3">
        <v>2025</v>
      </c>
      <c r="J2936" s="3" t="str">
        <f>CONCATENATE("54820073432")</f>
        <v>54820073432</v>
      </c>
      <c r="K2936" s="3" t="s">
        <v>33</v>
      </c>
      <c r="L2936" s="3"/>
      <c r="M2936" s="3" t="s">
        <v>131</v>
      </c>
      <c r="N2936" s="3" t="str">
        <f>CONCATENATE("CHCFST52T23C524N")</f>
        <v>CHCFST52T23C524N</v>
      </c>
      <c r="O2936" s="3" t="s">
        <v>3063</v>
      </c>
      <c r="P2936" s="3" t="s">
        <v>36</v>
      </c>
      <c r="Q2936" s="3"/>
      <c r="R2936" s="4">
        <v>45996</v>
      </c>
      <c r="S2936" s="3" t="s">
        <v>37</v>
      </c>
      <c r="T2936" s="3" t="s">
        <v>38</v>
      </c>
      <c r="U2936" s="3" t="s">
        <v>39</v>
      </c>
      <c r="V2936" s="3">
        <v>229.45</v>
      </c>
      <c r="W2936" s="3">
        <v>97.52</v>
      </c>
      <c r="X2936" s="3">
        <v>92.35</v>
      </c>
      <c r="Y2936" s="3">
        <v>39.58</v>
      </c>
    </row>
    <row r="2937" spans="1:25" ht="72.75" x14ac:dyDescent="0.25">
      <c r="A2937" s="3" t="s">
        <v>26</v>
      </c>
      <c r="B2937" s="3" t="s">
        <v>27</v>
      </c>
      <c r="C2937" s="3" t="s">
        <v>28</v>
      </c>
      <c r="D2937" s="3" t="s">
        <v>50</v>
      </c>
      <c r="E2937" s="3" t="s">
        <v>60</v>
      </c>
      <c r="F2937" s="3" t="s">
        <v>52</v>
      </c>
      <c r="G2937" s="3" t="s">
        <v>60</v>
      </c>
      <c r="H2937" s="3" t="s">
        <v>45</v>
      </c>
      <c r="I2937" s="3">
        <v>2025</v>
      </c>
      <c r="J2937" s="3" t="str">
        <f>CONCATENATE("54820137765")</f>
        <v>54820137765</v>
      </c>
      <c r="K2937" s="3" t="s">
        <v>33</v>
      </c>
      <c r="L2937" s="3"/>
      <c r="M2937" s="3" t="s">
        <v>131</v>
      </c>
      <c r="N2937" s="3" t="str">
        <f>CONCATENATE("RCOLDE36D57D749A")</f>
        <v>RCOLDE36D57D749A</v>
      </c>
      <c r="O2937" s="3" t="s">
        <v>3064</v>
      </c>
      <c r="P2937" s="3" t="s">
        <v>36</v>
      </c>
      <c r="Q2937" s="3"/>
      <c r="R2937" s="4">
        <v>45996</v>
      </c>
      <c r="S2937" s="3" t="s">
        <v>37</v>
      </c>
      <c r="T2937" s="3" t="s">
        <v>38</v>
      </c>
      <c r="U2937" s="3" t="s">
        <v>39</v>
      </c>
      <c r="V2937" s="3">
        <v>172.56</v>
      </c>
      <c r="W2937" s="3">
        <v>73.34</v>
      </c>
      <c r="X2937" s="3">
        <v>69.459999999999994</v>
      </c>
      <c r="Y2937" s="3">
        <v>29.76</v>
      </c>
    </row>
    <row r="2938" spans="1:25" ht="60.75" x14ac:dyDescent="0.25">
      <c r="A2938" s="3" t="s">
        <v>26</v>
      </c>
      <c r="B2938" s="3" t="s">
        <v>27</v>
      </c>
      <c r="C2938" s="3" t="s">
        <v>28</v>
      </c>
      <c r="D2938" s="3" t="s">
        <v>40</v>
      </c>
      <c r="E2938" s="3" t="s">
        <v>44</v>
      </c>
      <c r="F2938" s="3" t="s">
        <v>42</v>
      </c>
      <c r="G2938" s="3" t="s">
        <v>44</v>
      </c>
      <c r="H2938" s="3" t="s">
        <v>32</v>
      </c>
      <c r="I2938" s="3">
        <v>2025</v>
      </c>
      <c r="J2938" s="3" t="str">
        <f>CONCATENATE("54820123773")</f>
        <v>54820123773</v>
      </c>
      <c r="K2938" s="3" t="s">
        <v>33</v>
      </c>
      <c r="L2938" s="3"/>
      <c r="M2938" s="3" t="s">
        <v>131</v>
      </c>
      <c r="N2938" s="3" t="str">
        <f>CONCATENATE("TSTLCU77B06B474R")</f>
        <v>TSTLCU77B06B474R</v>
      </c>
      <c r="O2938" s="3" t="s">
        <v>3065</v>
      </c>
      <c r="P2938" s="3" t="s">
        <v>36</v>
      </c>
      <c r="Q2938" s="3"/>
      <c r="R2938" s="4">
        <v>45996</v>
      </c>
      <c r="S2938" s="3" t="s">
        <v>37</v>
      </c>
      <c r="T2938" s="3" t="s">
        <v>38</v>
      </c>
      <c r="U2938" s="3" t="s">
        <v>39</v>
      </c>
      <c r="V2938" s="3">
        <v>581.72</v>
      </c>
      <c r="W2938" s="3">
        <v>247.23</v>
      </c>
      <c r="X2938" s="3">
        <v>234.14</v>
      </c>
      <c r="Y2938" s="3">
        <v>100.35</v>
      </c>
    </row>
    <row r="2939" spans="1:25" ht="60.75" x14ac:dyDescent="0.25">
      <c r="A2939" s="3" t="s">
        <v>26</v>
      </c>
      <c r="B2939" s="3" t="s">
        <v>27</v>
      </c>
      <c r="C2939" s="3" t="s">
        <v>28</v>
      </c>
      <c r="D2939" s="3" t="s">
        <v>29</v>
      </c>
      <c r="E2939" s="3" t="s">
        <v>68</v>
      </c>
      <c r="F2939" s="3" t="s">
        <v>31</v>
      </c>
      <c r="G2939" s="3" t="s">
        <v>68</v>
      </c>
      <c r="H2939" s="3" t="s">
        <v>32</v>
      </c>
      <c r="I2939" s="3">
        <v>2025</v>
      </c>
      <c r="J2939" s="3" t="str">
        <f>CONCATENATE("54820104526")</f>
        <v>54820104526</v>
      </c>
      <c r="K2939" s="3" t="s">
        <v>33</v>
      </c>
      <c r="L2939" s="3"/>
      <c r="M2939" s="3" t="s">
        <v>131</v>
      </c>
      <c r="N2939" s="3" t="str">
        <f>CONCATENATE("TRDNRC58A22H876I")</f>
        <v>TRDNRC58A22H876I</v>
      </c>
      <c r="O2939" s="3" t="s">
        <v>3066</v>
      </c>
      <c r="P2939" s="3" t="s">
        <v>36</v>
      </c>
      <c r="Q2939" s="3"/>
      <c r="R2939" s="4">
        <v>45996</v>
      </c>
      <c r="S2939" s="3" t="s">
        <v>37</v>
      </c>
      <c r="T2939" s="3" t="s">
        <v>38</v>
      </c>
      <c r="U2939" s="3" t="s">
        <v>39</v>
      </c>
      <c r="V2939" s="3">
        <v>80.42</v>
      </c>
      <c r="W2939" s="3">
        <v>34.18</v>
      </c>
      <c r="X2939" s="3">
        <v>32.369999999999997</v>
      </c>
      <c r="Y2939" s="3">
        <v>13.87</v>
      </c>
    </row>
    <row r="2940" spans="1:25" ht="60.75" x14ac:dyDescent="0.25">
      <c r="A2940" s="3" t="s">
        <v>26</v>
      </c>
      <c r="B2940" s="3" t="s">
        <v>27</v>
      </c>
      <c r="C2940" s="3" t="s">
        <v>28</v>
      </c>
      <c r="D2940" s="3" t="s">
        <v>104</v>
      </c>
      <c r="E2940" s="3" t="s">
        <v>141</v>
      </c>
      <c r="F2940" s="3" t="s">
        <v>104</v>
      </c>
      <c r="G2940" s="3" t="s">
        <v>141</v>
      </c>
      <c r="H2940" s="3" t="s">
        <v>96</v>
      </c>
      <c r="I2940" s="3">
        <v>2025</v>
      </c>
      <c r="J2940" s="3" t="str">
        <f>CONCATENATE("54820142278")</f>
        <v>54820142278</v>
      </c>
      <c r="K2940" s="3" t="s">
        <v>33</v>
      </c>
      <c r="L2940" s="3"/>
      <c r="M2940" s="3" t="s">
        <v>131</v>
      </c>
      <c r="N2940" s="3" t="str">
        <f>CONCATENATE("CCCLCN65E27C935Y")</f>
        <v>CCCLCN65E27C935Y</v>
      </c>
      <c r="O2940" s="3" t="s">
        <v>3067</v>
      </c>
      <c r="P2940" s="3" t="s">
        <v>36</v>
      </c>
      <c r="Q2940" s="3"/>
      <c r="R2940" s="4">
        <v>45996</v>
      </c>
      <c r="S2940" s="3" t="s">
        <v>37</v>
      </c>
      <c r="T2940" s="3" t="s">
        <v>38</v>
      </c>
      <c r="U2940" s="3" t="s">
        <v>39</v>
      </c>
      <c r="V2940" s="3">
        <v>63.85</v>
      </c>
      <c r="W2940" s="3">
        <v>27.14</v>
      </c>
      <c r="X2940" s="3">
        <v>25.7</v>
      </c>
      <c r="Y2940" s="3">
        <v>11.01</v>
      </c>
    </row>
    <row r="2941" spans="1:25" ht="72.75" x14ac:dyDescent="0.25">
      <c r="A2941" s="3" t="s">
        <v>26</v>
      </c>
      <c r="B2941" s="3" t="s">
        <v>27</v>
      </c>
      <c r="C2941" s="3" t="s">
        <v>28</v>
      </c>
      <c r="D2941" s="3" t="s">
        <v>50</v>
      </c>
      <c r="E2941" s="3" t="s">
        <v>147</v>
      </c>
      <c r="F2941" s="3" t="s">
        <v>52</v>
      </c>
      <c r="G2941" s="3" t="s">
        <v>147</v>
      </c>
      <c r="H2941" s="3" t="s">
        <v>45</v>
      </c>
      <c r="I2941" s="3">
        <v>2025</v>
      </c>
      <c r="J2941" s="3" t="str">
        <f>CONCATENATE("54820191309")</f>
        <v>54820191309</v>
      </c>
      <c r="K2941" s="3" t="s">
        <v>33</v>
      </c>
      <c r="L2941" s="3"/>
      <c r="M2941" s="3" t="s">
        <v>131</v>
      </c>
      <c r="N2941" s="3" t="str">
        <f>CONCATENATE("LNZMSM75A22L500B")</f>
        <v>LNZMSM75A22L500B</v>
      </c>
      <c r="O2941" s="3" t="s">
        <v>3068</v>
      </c>
      <c r="P2941" s="3" t="s">
        <v>36</v>
      </c>
      <c r="Q2941" s="3"/>
      <c r="R2941" s="4">
        <v>45996</v>
      </c>
      <c r="S2941" s="3" t="s">
        <v>37</v>
      </c>
      <c r="T2941" s="3" t="s">
        <v>38</v>
      </c>
      <c r="U2941" s="3" t="s">
        <v>39</v>
      </c>
      <c r="V2941" s="3">
        <v>63.92</v>
      </c>
      <c r="W2941" s="3">
        <v>27.17</v>
      </c>
      <c r="X2941" s="3">
        <v>25.73</v>
      </c>
      <c r="Y2941" s="3">
        <v>11.02</v>
      </c>
    </row>
    <row r="2942" spans="1:25" ht="60.75" x14ac:dyDescent="0.25">
      <c r="A2942" s="3" t="s">
        <v>26</v>
      </c>
      <c r="B2942" s="3" t="s">
        <v>27</v>
      </c>
      <c r="C2942" s="3" t="s">
        <v>28</v>
      </c>
      <c r="D2942" s="3" t="s">
        <v>40</v>
      </c>
      <c r="E2942" s="3" t="s">
        <v>44</v>
      </c>
      <c r="F2942" s="3" t="s">
        <v>42</v>
      </c>
      <c r="G2942" s="3" t="s">
        <v>44</v>
      </c>
      <c r="H2942" s="3" t="s">
        <v>96</v>
      </c>
      <c r="I2942" s="3">
        <v>2025</v>
      </c>
      <c r="J2942" s="3" t="str">
        <f>CONCATENATE("54820127352")</f>
        <v>54820127352</v>
      </c>
      <c r="K2942" s="3" t="s">
        <v>33</v>
      </c>
      <c r="L2942" s="3"/>
      <c r="M2942" s="3" t="s">
        <v>131</v>
      </c>
      <c r="N2942" s="3" t="str">
        <f>CONCATENATE("CRTCLD95H16D542Z")</f>
        <v>CRTCLD95H16D542Z</v>
      </c>
      <c r="O2942" s="3" t="s">
        <v>3069</v>
      </c>
      <c r="P2942" s="3" t="s">
        <v>36</v>
      </c>
      <c r="Q2942" s="3"/>
      <c r="R2942" s="4">
        <v>45996</v>
      </c>
      <c r="S2942" s="3" t="s">
        <v>37</v>
      </c>
      <c r="T2942" s="3" t="s">
        <v>38</v>
      </c>
      <c r="U2942" s="3" t="s">
        <v>39</v>
      </c>
      <c r="V2942" s="3">
        <v>836.8</v>
      </c>
      <c r="W2942" s="3">
        <v>355.64</v>
      </c>
      <c r="X2942" s="3">
        <v>336.81</v>
      </c>
      <c r="Y2942" s="3">
        <v>144.35</v>
      </c>
    </row>
    <row r="2943" spans="1:25" ht="60.75" x14ac:dyDescent="0.25">
      <c r="A2943" s="3" t="s">
        <v>26</v>
      </c>
      <c r="B2943" s="3" t="s">
        <v>27</v>
      </c>
      <c r="C2943" s="3" t="s">
        <v>28</v>
      </c>
      <c r="D2943" s="3" t="s">
        <v>29</v>
      </c>
      <c r="E2943" s="3" t="s">
        <v>72</v>
      </c>
      <c r="F2943" s="3" t="s">
        <v>31</v>
      </c>
      <c r="G2943" s="3" t="s">
        <v>72</v>
      </c>
      <c r="H2943" s="3" t="s">
        <v>45</v>
      </c>
      <c r="I2943" s="3">
        <v>2025</v>
      </c>
      <c r="J2943" s="3" t="str">
        <f>CONCATENATE("54820104104")</f>
        <v>54820104104</v>
      </c>
      <c r="K2943" s="3" t="s">
        <v>33</v>
      </c>
      <c r="L2943" s="3"/>
      <c r="M2943" s="3" t="s">
        <v>131</v>
      </c>
      <c r="N2943" s="3" t="str">
        <f>CONCATENATE("BLKCRS55E67Z112S")</f>
        <v>BLKCRS55E67Z112S</v>
      </c>
      <c r="O2943" s="3" t="s">
        <v>3070</v>
      </c>
      <c r="P2943" s="3" t="s">
        <v>36</v>
      </c>
      <c r="Q2943" s="3"/>
      <c r="R2943" s="4">
        <v>45996</v>
      </c>
      <c r="S2943" s="3" t="s">
        <v>37</v>
      </c>
      <c r="T2943" s="3" t="s">
        <v>38</v>
      </c>
      <c r="U2943" s="3" t="s">
        <v>39</v>
      </c>
      <c r="V2943" s="3">
        <v>255.61</v>
      </c>
      <c r="W2943" s="3">
        <v>108.63</v>
      </c>
      <c r="X2943" s="3">
        <v>102.88</v>
      </c>
      <c r="Y2943" s="3">
        <v>44.1</v>
      </c>
    </row>
    <row r="2944" spans="1:25" ht="60.75" x14ac:dyDescent="0.25">
      <c r="A2944" s="3" t="s">
        <v>26</v>
      </c>
      <c r="B2944" s="3" t="s">
        <v>27</v>
      </c>
      <c r="C2944" s="3" t="s">
        <v>28</v>
      </c>
      <c r="D2944" s="3" t="s">
        <v>29</v>
      </c>
      <c r="E2944" s="3" t="s">
        <v>119</v>
      </c>
      <c r="F2944" s="3" t="s">
        <v>31</v>
      </c>
      <c r="G2944" s="3" t="s">
        <v>119</v>
      </c>
      <c r="H2944" s="3" t="s">
        <v>96</v>
      </c>
      <c r="I2944" s="3">
        <v>2025</v>
      </c>
      <c r="J2944" s="3" t="str">
        <f>CONCATENATE("54820147327")</f>
        <v>54820147327</v>
      </c>
      <c r="K2944" s="3" t="s">
        <v>33</v>
      </c>
      <c r="L2944" s="3"/>
      <c r="M2944" s="3" t="s">
        <v>131</v>
      </c>
      <c r="N2944" s="3" t="str">
        <f>CONCATENATE("PCTGPP36M02F509O")</f>
        <v>PCTGPP36M02F509O</v>
      </c>
      <c r="O2944" s="3" t="s">
        <v>3071</v>
      </c>
      <c r="P2944" s="3" t="s">
        <v>36</v>
      </c>
      <c r="Q2944" s="3"/>
      <c r="R2944" s="4">
        <v>45996</v>
      </c>
      <c r="S2944" s="3" t="s">
        <v>37</v>
      </c>
      <c r="T2944" s="3" t="s">
        <v>38</v>
      </c>
      <c r="U2944" s="3" t="s">
        <v>39</v>
      </c>
      <c r="V2944" s="3">
        <v>743.93</v>
      </c>
      <c r="W2944" s="3">
        <v>316.17</v>
      </c>
      <c r="X2944" s="3">
        <v>299.43</v>
      </c>
      <c r="Y2944" s="3">
        <v>128.33000000000001</v>
      </c>
    </row>
    <row r="2945" spans="1:25" ht="60.75" x14ac:dyDescent="0.25">
      <c r="A2945" s="3" t="s">
        <v>26</v>
      </c>
      <c r="B2945" s="3" t="s">
        <v>27</v>
      </c>
      <c r="C2945" s="3" t="s">
        <v>28</v>
      </c>
      <c r="D2945" s="3" t="s">
        <v>50</v>
      </c>
      <c r="E2945" s="3" t="s">
        <v>60</v>
      </c>
      <c r="F2945" s="3" t="s">
        <v>52</v>
      </c>
      <c r="G2945" s="3" t="s">
        <v>60</v>
      </c>
      <c r="H2945" s="3" t="s">
        <v>45</v>
      </c>
      <c r="I2945" s="3">
        <v>2025</v>
      </c>
      <c r="J2945" s="3" t="str">
        <f>CONCATENATE("54820174560")</f>
        <v>54820174560</v>
      </c>
      <c r="K2945" s="3" t="s">
        <v>33</v>
      </c>
      <c r="L2945" s="3"/>
      <c r="M2945" s="3" t="s">
        <v>131</v>
      </c>
      <c r="N2945" s="3" t="str">
        <f>CONCATENATE("PRTPNG50M29A327Z")</f>
        <v>PRTPNG50M29A327Z</v>
      </c>
      <c r="O2945" s="3" t="s">
        <v>3072</v>
      </c>
      <c r="P2945" s="3" t="s">
        <v>36</v>
      </c>
      <c r="Q2945" s="3"/>
      <c r="R2945" s="4">
        <v>45996</v>
      </c>
      <c r="S2945" s="3" t="s">
        <v>37</v>
      </c>
      <c r="T2945" s="3" t="s">
        <v>38</v>
      </c>
      <c r="U2945" s="3" t="s">
        <v>39</v>
      </c>
      <c r="V2945" s="3">
        <v>94.7</v>
      </c>
      <c r="W2945" s="3">
        <v>40.25</v>
      </c>
      <c r="X2945" s="3">
        <v>38.119999999999997</v>
      </c>
      <c r="Y2945" s="3">
        <v>16.329999999999998</v>
      </c>
    </row>
    <row r="2946" spans="1:25" ht="60.75" x14ac:dyDescent="0.25">
      <c r="A2946" s="3" t="s">
        <v>26</v>
      </c>
      <c r="B2946" s="3" t="s">
        <v>27</v>
      </c>
      <c r="C2946" s="3" t="s">
        <v>28</v>
      </c>
      <c r="D2946" s="3" t="s">
        <v>50</v>
      </c>
      <c r="E2946" s="3" t="s">
        <v>60</v>
      </c>
      <c r="F2946" s="3" t="s">
        <v>52</v>
      </c>
      <c r="G2946" s="3" t="s">
        <v>60</v>
      </c>
      <c r="H2946" s="3" t="s">
        <v>45</v>
      </c>
      <c r="I2946" s="3">
        <v>2025</v>
      </c>
      <c r="J2946" s="3" t="str">
        <f>CONCATENATE("54820122882")</f>
        <v>54820122882</v>
      </c>
      <c r="K2946" s="3" t="s">
        <v>33</v>
      </c>
      <c r="L2946" s="3"/>
      <c r="M2946" s="3" t="s">
        <v>131</v>
      </c>
      <c r="N2946" s="3" t="str">
        <f>CONCATENATE("DNTGRL75C09G453E")</f>
        <v>DNTGRL75C09G453E</v>
      </c>
      <c r="O2946" s="3" t="s">
        <v>3073</v>
      </c>
      <c r="P2946" s="3" t="s">
        <v>36</v>
      </c>
      <c r="Q2946" s="3"/>
      <c r="R2946" s="4">
        <v>45996</v>
      </c>
      <c r="S2946" s="3" t="s">
        <v>37</v>
      </c>
      <c r="T2946" s="3" t="s">
        <v>38</v>
      </c>
      <c r="U2946" s="3" t="s">
        <v>39</v>
      </c>
      <c r="V2946" s="3">
        <v>113.19</v>
      </c>
      <c r="W2946" s="3">
        <v>48.11</v>
      </c>
      <c r="X2946" s="3">
        <v>45.56</v>
      </c>
      <c r="Y2946" s="3">
        <v>19.52</v>
      </c>
    </row>
    <row r="2947" spans="1:25" ht="72.75" x14ac:dyDescent="0.25">
      <c r="A2947" s="3" t="s">
        <v>26</v>
      </c>
      <c r="B2947" s="3" t="s">
        <v>27</v>
      </c>
      <c r="C2947" s="3" t="s">
        <v>28</v>
      </c>
      <c r="D2947" s="3" t="s">
        <v>29</v>
      </c>
      <c r="E2947" s="3" t="s">
        <v>101</v>
      </c>
      <c r="F2947" s="3" t="s">
        <v>31</v>
      </c>
      <c r="G2947" s="3" t="s">
        <v>101</v>
      </c>
      <c r="H2947" s="3" t="s">
        <v>32</v>
      </c>
      <c r="I2947" s="3">
        <v>2025</v>
      </c>
      <c r="J2947" s="3" t="str">
        <f>CONCATENATE("54820167598")</f>
        <v>54820167598</v>
      </c>
      <c r="K2947" s="3" t="s">
        <v>33</v>
      </c>
      <c r="L2947" s="3"/>
      <c r="M2947" s="3" t="s">
        <v>131</v>
      </c>
      <c r="N2947" s="3" t="str">
        <f>CONCATENATE("GMNMRA31M45B398Q")</f>
        <v>GMNMRA31M45B398Q</v>
      </c>
      <c r="O2947" s="3" t="s">
        <v>3074</v>
      </c>
      <c r="P2947" s="3" t="s">
        <v>36</v>
      </c>
      <c r="Q2947" s="3"/>
      <c r="R2947" s="4">
        <v>45996</v>
      </c>
      <c r="S2947" s="3" t="s">
        <v>37</v>
      </c>
      <c r="T2947" s="3" t="s">
        <v>38</v>
      </c>
      <c r="U2947" s="3" t="s">
        <v>39</v>
      </c>
      <c r="V2947" s="3">
        <v>48.28</v>
      </c>
      <c r="W2947" s="3">
        <v>20.52</v>
      </c>
      <c r="X2947" s="3">
        <v>19.43</v>
      </c>
      <c r="Y2947" s="3">
        <v>8.33</v>
      </c>
    </row>
    <row r="2948" spans="1:25" ht="60.75" x14ac:dyDescent="0.25">
      <c r="A2948" s="3" t="s">
        <v>26</v>
      </c>
      <c r="B2948" s="3" t="s">
        <v>27</v>
      </c>
      <c r="C2948" s="3" t="s">
        <v>28</v>
      </c>
      <c r="D2948" s="3" t="s">
        <v>50</v>
      </c>
      <c r="E2948" s="3" t="s">
        <v>147</v>
      </c>
      <c r="F2948" s="3" t="s">
        <v>52</v>
      </c>
      <c r="G2948" s="3" t="s">
        <v>147</v>
      </c>
      <c r="H2948" s="3" t="s">
        <v>45</v>
      </c>
      <c r="I2948" s="3">
        <v>2025</v>
      </c>
      <c r="J2948" s="3" t="str">
        <f>CONCATENATE("54820151212")</f>
        <v>54820151212</v>
      </c>
      <c r="K2948" s="3" t="s">
        <v>33</v>
      </c>
      <c r="L2948" s="3"/>
      <c r="M2948" s="3" t="s">
        <v>131</v>
      </c>
      <c r="N2948" s="3" t="str">
        <f>CONCATENATE("LLLLCN56C07L500K")</f>
        <v>LLLLCN56C07L500K</v>
      </c>
      <c r="O2948" s="3" t="s">
        <v>3075</v>
      </c>
      <c r="P2948" s="3" t="s">
        <v>36</v>
      </c>
      <c r="Q2948" s="3"/>
      <c r="R2948" s="4">
        <v>45996</v>
      </c>
      <c r="S2948" s="3" t="s">
        <v>37</v>
      </c>
      <c r="T2948" s="3" t="s">
        <v>38</v>
      </c>
      <c r="U2948" s="3" t="s">
        <v>39</v>
      </c>
      <c r="V2948" s="3">
        <v>118.66</v>
      </c>
      <c r="W2948" s="3">
        <v>50.43</v>
      </c>
      <c r="X2948" s="3">
        <v>47.76</v>
      </c>
      <c r="Y2948" s="3">
        <v>20.47</v>
      </c>
    </row>
    <row r="2949" spans="1:25" ht="60.75" x14ac:dyDescent="0.25">
      <c r="A2949" s="3" t="s">
        <v>26</v>
      </c>
      <c r="B2949" s="3" t="s">
        <v>27</v>
      </c>
      <c r="C2949" s="3" t="s">
        <v>28</v>
      </c>
      <c r="D2949" s="3" t="s">
        <v>29</v>
      </c>
      <c r="E2949" s="3" t="s">
        <v>56</v>
      </c>
      <c r="F2949" s="3" t="s">
        <v>31</v>
      </c>
      <c r="G2949" s="3" t="s">
        <v>56</v>
      </c>
      <c r="H2949" s="3" t="s">
        <v>32</v>
      </c>
      <c r="I2949" s="3">
        <v>2025</v>
      </c>
      <c r="J2949" s="3" t="str">
        <f>CONCATENATE("54820081633")</f>
        <v>54820081633</v>
      </c>
      <c r="K2949" s="3" t="s">
        <v>33</v>
      </c>
      <c r="L2949" s="3"/>
      <c r="M2949" s="3" t="s">
        <v>131</v>
      </c>
      <c r="N2949" s="3" t="str">
        <f>CONCATENATE("FRNSFN65D26Z133R")</f>
        <v>FRNSFN65D26Z133R</v>
      </c>
      <c r="O2949" s="3" t="s">
        <v>3076</v>
      </c>
      <c r="P2949" s="3" t="s">
        <v>36</v>
      </c>
      <c r="Q2949" s="3"/>
      <c r="R2949" s="4">
        <v>45996</v>
      </c>
      <c r="S2949" s="3" t="s">
        <v>37</v>
      </c>
      <c r="T2949" s="3" t="s">
        <v>38</v>
      </c>
      <c r="U2949" s="3" t="s">
        <v>39</v>
      </c>
      <c r="V2949" s="3">
        <v>153.69</v>
      </c>
      <c r="W2949" s="3">
        <v>65.319999999999993</v>
      </c>
      <c r="X2949" s="3">
        <v>61.86</v>
      </c>
      <c r="Y2949" s="3">
        <v>26.51</v>
      </c>
    </row>
    <row r="2950" spans="1:25" ht="60.75" x14ac:dyDescent="0.25">
      <c r="A2950" s="3" t="s">
        <v>26</v>
      </c>
      <c r="B2950" s="3" t="s">
        <v>27</v>
      </c>
      <c r="C2950" s="3" t="s">
        <v>28</v>
      </c>
      <c r="D2950" s="3" t="s">
        <v>50</v>
      </c>
      <c r="E2950" s="3" t="s">
        <v>147</v>
      </c>
      <c r="F2950" s="3" t="s">
        <v>52</v>
      </c>
      <c r="G2950" s="3" t="s">
        <v>147</v>
      </c>
      <c r="H2950" s="3" t="s">
        <v>45</v>
      </c>
      <c r="I2950" s="3">
        <v>2025</v>
      </c>
      <c r="J2950" s="3" t="str">
        <f>CONCATENATE("54820089784")</f>
        <v>54820089784</v>
      </c>
      <c r="K2950" s="3" t="s">
        <v>33</v>
      </c>
      <c r="L2950" s="3"/>
      <c r="M2950" s="3" t="s">
        <v>131</v>
      </c>
      <c r="N2950" s="3" t="str">
        <f>CONCATENATE("DVRSLO99L69L500C")</f>
        <v>DVRSLO99L69L500C</v>
      </c>
      <c r="O2950" s="3" t="s">
        <v>3077</v>
      </c>
      <c r="P2950" s="3" t="s">
        <v>36</v>
      </c>
      <c r="Q2950" s="3"/>
      <c r="R2950" s="4">
        <v>45996</v>
      </c>
      <c r="S2950" s="3" t="s">
        <v>37</v>
      </c>
      <c r="T2950" s="3" t="s">
        <v>38</v>
      </c>
      <c r="U2950" s="3" t="s">
        <v>39</v>
      </c>
      <c r="V2950" s="3">
        <v>352.65</v>
      </c>
      <c r="W2950" s="3">
        <v>149.88</v>
      </c>
      <c r="X2950" s="3">
        <v>141.94</v>
      </c>
      <c r="Y2950" s="3">
        <v>60.83</v>
      </c>
    </row>
    <row r="2951" spans="1:25" ht="60.75" x14ac:dyDescent="0.25">
      <c r="A2951" s="3" t="s">
        <v>26</v>
      </c>
      <c r="B2951" s="3" t="s">
        <v>27</v>
      </c>
      <c r="C2951" s="3" t="s">
        <v>28</v>
      </c>
      <c r="D2951" s="3" t="s">
        <v>50</v>
      </c>
      <c r="E2951" s="3" t="s">
        <v>147</v>
      </c>
      <c r="F2951" s="3" t="s">
        <v>52</v>
      </c>
      <c r="G2951" s="3" t="s">
        <v>147</v>
      </c>
      <c r="H2951" s="3" t="s">
        <v>45</v>
      </c>
      <c r="I2951" s="3">
        <v>2025</v>
      </c>
      <c r="J2951" s="3" t="str">
        <f>CONCATENATE("54820102579")</f>
        <v>54820102579</v>
      </c>
      <c r="K2951" s="3" t="s">
        <v>33</v>
      </c>
      <c r="L2951" s="3"/>
      <c r="M2951" s="3" t="s">
        <v>131</v>
      </c>
      <c r="N2951" s="3" t="str">
        <f>CONCATENATE("CGRMRA49C14A978P")</f>
        <v>CGRMRA49C14A978P</v>
      </c>
      <c r="O2951" s="3" t="s">
        <v>3078</v>
      </c>
      <c r="P2951" s="3" t="s">
        <v>36</v>
      </c>
      <c r="Q2951" s="3"/>
      <c r="R2951" s="4">
        <v>45996</v>
      </c>
      <c r="S2951" s="3" t="s">
        <v>37</v>
      </c>
      <c r="T2951" s="3" t="s">
        <v>38</v>
      </c>
      <c r="U2951" s="3" t="s">
        <v>39</v>
      </c>
      <c r="V2951" s="3">
        <v>771.49</v>
      </c>
      <c r="W2951" s="3">
        <v>327.88</v>
      </c>
      <c r="X2951" s="3">
        <v>310.52</v>
      </c>
      <c r="Y2951" s="3">
        <v>133.09</v>
      </c>
    </row>
    <row r="2952" spans="1:25" ht="60.75" x14ac:dyDescent="0.25">
      <c r="A2952" s="3" t="s">
        <v>26</v>
      </c>
      <c r="B2952" s="3" t="s">
        <v>27</v>
      </c>
      <c r="C2952" s="3" t="s">
        <v>28</v>
      </c>
      <c r="D2952" s="3" t="s">
        <v>50</v>
      </c>
      <c r="E2952" s="3" t="s">
        <v>60</v>
      </c>
      <c r="F2952" s="3" t="s">
        <v>52</v>
      </c>
      <c r="G2952" s="3" t="s">
        <v>60</v>
      </c>
      <c r="H2952" s="3" t="s">
        <v>45</v>
      </c>
      <c r="I2952" s="3">
        <v>2025</v>
      </c>
      <c r="J2952" s="3" t="str">
        <f>CONCATENATE("54820118237")</f>
        <v>54820118237</v>
      </c>
      <c r="K2952" s="3" t="s">
        <v>33</v>
      </c>
      <c r="L2952" s="3"/>
      <c r="M2952" s="3" t="s">
        <v>131</v>
      </c>
      <c r="N2952" s="3" t="str">
        <f>CONCATENATE("MRNLNZ95C03I608J")</f>
        <v>MRNLNZ95C03I608J</v>
      </c>
      <c r="O2952" s="3" t="s">
        <v>3079</v>
      </c>
      <c r="P2952" s="3" t="s">
        <v>36</v>
      </c>
      <c r="Q2952" s="3"/>
      <c r="R2952" s="4">
        <v>45996</v>
      </c>
      <c r="S2952" s="3" t="s">
        <v>37</v>
      </c>
      <c r="T2952" s="3" t="s">
        <v>38</v>
      </c>
      <c r="U2952" s="3" t="s">
        <v>39</v>
      </c>
      <c r="V2952" s="3">
        <v>192.55</v>
      </c>
      <c r="W2952" s="3">
        <v>81.83</v>
      </c>
      <c r="X2952" s="3">
        <v>77.5</v>
      </c>
      <c r="Y2952" s="3">
        <v>33.22</v>
      </c>
    </row>
    <row r="2953" spans="1:25" ht="60.75" x14ac:dyDescent="0.25">
      <c r="A2953" s="3" t="s">
        <v>26</v>
      </c>
      <c r="B2953" s="3" t="s">
        <v>27</v>
      </c>
      <c r="C2953" s="3" t="s">
        <v>28</v>
      </c>
      <c r="D2953" s="3" t="s">
        <v>50</v>
      </c>
      <c r="E2953" s="3" t="s">
        <v>60</v>
      </c>
      <c r="F2953" s="3" t="s">
        <v>52</v>
      </c>
      <c r="G2953" s="3" t="s">
        <v>60</v>
      </c>
      <c r="H2953" s="3" t="s">
        <v>45</v>
      </c>
      <c r="I2953" s="3">
        <v>2025</v>
      </c>
      <c r="J2953" s="3" t="str">
        <f>CONCATENATE("54820162540")</f>
        <v>54820162540</v>
      </c>
      <c r="K2953" s="3" t="s">
        <v>33</v>
      </c>
      <c r="L2953" s="3"/>
      <c r="M2953" s="3" t="s">
        <v>131</v>
      </c>
      <c r="N2953" s="3" t="str">
        <f>CONCATENATE("SCRLCN50L25A327F")</f>
        <v>SCRLCN50L25A327F</v>
      </c>
      <c r="O2953" s="3" t="s">
        <v>3080</v>
      </c>
      <c r="P2953" s="3" t="s">
        <v>36</v>
      </c>
      <c r="Q2953" s="3"/>
      <c r="R2953" s="4">
        <v>45996</v>
      </c>
      <c r="S2953" s="3" t="s">
        <v>37</v>
      </c>
      <c r="T2953" s="3" t="s">
        <v>38</v>
      </c>
      <c r="U2953" s="3" t="s">
        <v>39</v>
      </c>
      <c r="V2953" s="3">
        <v>128.88999999999999</v>
      </c>
      <c r="W2953" s="3">
        <v>54.78</v>
      </c>
      <c r="X2953" s="3">
        <v>51.88</v>
      </c>
      <c r="Y2953" s="3">
        <v>22.23</v>
      </c>
    </row>
    <row r="2954" spans="1:25" ht="60.75" x14ac:dyDescent="0.25">
      <c r="A2954" s="3" t="s">
        <v>26</v>
      </c>
      <c r="B2954" s="3" t="s">
        <v>27</v>
      </c>
      <c r="C2954" s="3" t="s">
        <v>28</v>
      </c>
      <c r="D2954" s="3" t="s">
        <v>50</v>
      </c>
      <c r="E2954" s="3" t="s">
        <v>60</v>
      </c>
      <c r="F2954" s="3" t="s">
        <v>52</v>
      </c>
      <c r="G2954" s="3" t="s">
        <v>60</v>
      </c>
      <c r="H2954" s="3" t="s">
        <v>45</v>
      </c>
      <c r="I2954" s="3">
        <v>2025</v>
      </c>
      <c r="J2954" s="3" t="str">
        <f>CONCATENATE("54820172713")</f>
        <v>54820172713</v>
      </c>
      <c r="K2954" s="3" t="s">
        <v>33</v>
      </c>
      <c r="L2954" s="3"/>
      <c r="M2954" s="3" t="s">
        <v>131</v>
      </c>
      <c r="N2954" s="3" t="str">
        <f>CONCATENATE("BRTLFA58D07G453X")</f>
        <v>BRTLFA58D07G453X</v>
      </c>
      <c r="O2954" s="3" t="s">
        <v>3081</v>
      </c>
      <c r="P2954" s="3" t="s">
        <v>36</v>
      </c>
      <c r="Q2954" s="3"/>
      <c r="R2954" s="4">
        <v>45996</v>
      </c>
      <c r="S2954" s="3" t="s">
        <v>37</v>
      </c>
      <c r="T2954" s="3" t="s">
        <v>38</v>
      </c>
      <c r="U2954" s="3" t="s">
        <v>39</v>
      </c>
      <c r="V2954" s="3">
        <v>602.15</v>
      </c>
      <c r="W2954" s="3">
        <v>255.91</v>
      </c>
      <c r="X2954" s="3">
        <v>242.37</v>
      </c>
      <c r="Y2954" s="3">
        <v>103.87</v>
      </c>
    </row>
    <row r="2955" spans="1:25" ht="60.75" x14ac:dyDescent="0.25">
      <c r="A2955" s="3" t="s">
        <v>26</v>
      </c>
      <c r="B2955" s="3" t="s">
        <v>27</v>
      </c>
      <c r="C2955" s="3" t="s">
        <v>28</v>
      </c>
      <c r="D2955" s="3" t="s">
        <v>50</v>
      </c>
      <c r="E2955" s="3" t="s">
        <v>60</v>
      </c>
      <c r="F2955" s="3" t="s">
        <v>52</v>
      </c>
      <c r="G2955" s="3" t="s">
        <v>60</v>
      </c>
      <c r="H2955" s="3" t="s">
        <v>45</v>
      </c>
      <c r="I2955" s="3">
        <v>2025</v>
      </c>
      <c r="J2955" s="3" t="str">
        <f>CONCATENATE("54820090790")</f>
        <v>54820090790</v>
      </c>
      <c r="K2955" s="3" t="s">
        <v>33</v>
      </c>
      <c r="L2955" s="3"/>
      <c r="M2955" s="3" t="s">
        <v>131</v>
      </c>
      <c r="N2955" s="3" t="str">
        <f>CONCATENATE("BLDLVR54B18L500O")</f>
        <v>BLDLVR54B18L500O</v>
      </c>
      <c r="O2955" s="3" t="s">
        <v>3082</v>
      </c>
      <c r="P2955" s="3" t="s">
        <v>36</v>
      </c>
      <c r="Q2955" s="3"/>
      <c r="R2955" s="4">
        <v>45996</v>
      </c>
      <c r="S2955" s="3" t="s">
        <v>37</v>
      </c>
      <c r="T2955" s="3" t="s">
        <v>38</v>
      </c>
      <c r="U2955" s="3" t="s">
        <v>39</v>
      </c>
      <c r="V2955" s="3">
        <v>104.89</v>
      </c>
      <c r="W2955" s="3">
        <v>44.58</v>
      </c>
      <c r="X2955" s="3">
        <v>42.22</v>
      </c>
      <c r="Y2955" s="3">
        <v>18.09</v>
      </c>
    </row>
    <row r="2956" spans="1:25" ht="72.75" x14ac:dyDescent="0.25">
      <c r="A2956" s="3" t="s">
        <v>26</v>
      </c>
      <c r="B2956" s="3" t="s">
        <v>27</v>
      </c>
      <c r="C2956" s="3" t="s">
        <v>28</v>
      </c>
      <c r="D2956" s="3" t="s">
        <v>50</v>
      </c>
      <c r="E2956" s="3" t="s">
        <v>60</v>
      </c>
      <c r="F2956" s="3" t="s">
        <v>52</v>
      </c>
      <c r="G2956" s="3" t="s">
        <v>60</v>
      </c>
      <c r="H2956" s="3" t="s">
        <v>45</v>
      </c>
      <c r="I2956" s="3">
        <v>2025</v>
      </c>
      <c r="J2956" s="3" t="str">
        <f>CONCATENATE("54820111554")</f>
        <v>54820111554</v>
      </c>
      <c r="K2956" s="3" t="s">
        <v>33</v>
      </c>
      <c r="L2956" s="3"/>
      <c r="M2956" s="3" t="s">
        <v>131</v>
      </c>
      <c r="N2956" s="3" t="str">
        <f>CONCATENATE("FNLTTV55A05G453N")</f>
        <v>FNLTTV55A05G453N</v>
      </c>
      <c r="O2956" s="3" t="s">
        <v>3083</v>
      </c>
      <c r="P2956" s="3" t="s">
        <v>36</v>
      </c>
      <c r="Q2956" s="3"/>
      <c r="R2956" s="4">
        <v>45996</v>
      </c>
      <c r="S2956" s="3" t="s">
        <v>37</v>
      </c>
      <c r="T2956" s="3" t="s">
        <v>38</v>
      </c>
      <c r="U2956" s="3" t="s">
        <v>39</v>
      </c>
      <c r="V2956" s="3">
        <v>184.3</v>
      </c>
      <c r="W2956" s="3">
        <v>78.33</v>
      </c>
      <c r="X2956" s="3">
        <v>74.180000000000007</v>
      </c>
      <c r="Y2956" s="3">
        <v>31.79</v>
      </c>
    </row>
    <row r="2957" spans="1:25" ht="60.75" x14ac:dyDescent="0.25">
      <c r="A2957" s="3" t="s">
        <v>26</v>
      </c>
      <c r="B2957" s="3" t="s">
        <v>27</v>
      </c>
      <c r="C2957" s="3" t="s">
        <v>28</v>
      </c>
      <c r="D2957" s="3" t="s">
        <v>29</v>
      </c>
      <c r="E2957" s="3" t="s">
        <v>56</v>
      </c>
      <c r="F2957" s="3" t="s">
        <v>31</v>
      </c>
      <c r="G2957" s="3" t="s">
        <v>56</v>
      </c>
      <c r="H2957" s="3" t="s">
        <v>32</v>
      </c>
      <c r="I2957" s="3">
        <v>2025</v>
      </c>
      <c r="J2957" s="3" t="str">
        <f>CONCATENATE("54820171285")</f>
        <v>54820171285</v>
      </c>
      <c r="K2957" s="3" t="s">
        <v>33</v>
      </c>
      <c r="L2957" s="3"/>
      <c r="M2957" s="3" t="s">
        <v>131</v>
      </c>
      <c r="N2957" s="3" t="str">
        <f>CONCATENATE("TRMSRA54H14B474P")</f>
        <v>TRMSRA54H14B474P</v>
      </c>
      <c r="O2957" s="3" t="s">
        <v>3084</v>
      </c>
      <c r="P2957" s="3" t="s">
        <v>36</v>
      </c>
      <c r="Q2957" s="3"/>
      <c r="R2957" s="4">
        <v>45996</v>
      </c>
      <c r="S2957" s="3" t="s">
        <v>37</v>
      </c>
      <c r="T2957" s="3" t="s">
        <v>38</v>
      </c>
      <c r="U2957" s="3" t="s">
        <v>39</v>
      </c>
      <c r="V2957" s="3">
        <v>463.52</v>
      </c>
      <c r="W2957" s="3">
        <v>197</v>
      </c>
      <c r="X2957" s="3">
        <v>186.57</v>
      </c>
      <c r="Y2957" s="3">
        <v>79.95</v>
      </c>
    </row>
    <row r="2958" spans="1:25" ht="72.75" x14ac:dyDescent="0.25">
      <c r="A2958" s="3" t="s">
        <v>26</v>
      </c>
      <c r="B2958" s="3" t="s">
        <v>27</v>
      </c>
      <c r="C2958" s="3" t="s">
        <v>28</v>
      </c>
      <c r="D2958" s="3" t="s">
        <v>50</v>
      </c>
      <c r="E2958" s="3" t="s">
        <v>1775</v>
      </c>
      <c r="F2958" s="3" t="s">
        <v>52</v>
      </c>
      <c r="G2958" s="3" t="s">
        <v>1775</v>
      </c>
      <c r="H2958" s="3" t="s">
        <v>45</v>
      </c>
      <c r="I2958" s="3">
        <v>2025</v>
      </c>
      <c r="J2958" s="3" t="str">
        <f>CONCATENATE("54820085865")</f>
        <v>54820085865</v>
      </c>
      <c r="K2958" s="3" t="s">
        <v>33</v>
      </c>
      <c r="L2958" s="3"/>
      <c r="M2958" s="3" t="s">
        <v>131</v>
      </c>
      <c r="N2958" s="3" t="str">
        <f>CONCATENATE("BRNMTT73M30G453V")</f>
        <v>BRNMTT73M30G453V</v>
      </c>
      <c r="O2958" s="3" t="s">
        <v>3085</v>
      </c>
      <c r="P2958" s="3" t="s">
        <v>36</v>
      </c>
      <c r="Q2958" s="3"/>
      <c r="R2958" s="4">
        <v>45996</v>
      </c>
      <c r="S2958" s="3" t="s">
        <v>37</v>
      </c>
      <c r="T2958" s="3" t="s">
        <v>38</v>
      </c>
      <c r="U2958" s="3" t="s">
        <v>39</v>
      </c>
      <c r="V2958" s="3">
        <v>165.12</v>
      </c>
      <c r="W2958" s="3">
        <v>70.180000000000007</v>
      </c>
      <c r="X2958" s="3">
        <v>66.459999999999994</v>
      </c>
      <c r="Y2958" s="3">
        <v>28.48</v>
      </c>
    </row>
    <row r="2959" spans="1:25" ht="60.75" x14ac:dyDescent="0.25">
      <c r="A2959" s="3" t="s">
        <v>26</v>
      </c>
      <c r="B2959" s="3" t="s">
        <v>27</v>
      </c>
      <c r="C2959" s="3" t="s">
        <v>28</v>
      </c>
      <c r="D2959" s="3" t="s">
        <v>104</v>
      </c>
      <c r="E2959" s="3" t="s">
        <v>141</v>
      </c>
      <c r="F2959" s="3" t="s">
        <v>104</v>
      </c>
      <c r="G2959" s="3" t="s">
        <v>141</v>
      </c>
      <c r="H2959" s="3" t="s">
        <v>96</v>
      </c>
      <c r="I2959" s="3">
        <v>2025</v>
      </c>
      <c r="J2959" s="3" t="str">
        <f>CONCATENATE("54820282140")</f>
        <v>54820282140</v>
      </c>
      <c r="K2959" s="3" t="s">
        <v>33</v>
      </c>
      <c r="L2959" s="3"/>
      <c r="M2959" s="3" t="s">
        <v>131</v>
      </c>
      <c r="N2959" s="3" t="str">
        <f>CONCATENATE("BRTLRI86P48A252U")</f>
        <v>BRTLRI86P48A252U</v>
      </c>
      <c r="O2959" s="3" t="s">
        <v>3086</v>
      </c>
      <c r="P2959" s="3" t="s">
        <v>36</v>
      </c>
      <c r="Q2959" s="3"/>
      <c r="R2959" s="4">
        <v>45996</v>
      </c>
      <c r="S2959" s="3" t="s">
        <v>37</v>
      </c>
      <c r="T2959" s="3" t="s">
        <v>38</v>
      </c>
      <c r="U2959" s="3" t="s">
        <v>39</v>
      </c>
      <c r="V2959" s="3">
        <v>195.57</v>
      </c>
      <c r="W2959" s="3">
        <v>83.12</v>
      </c>
      <c r="X2959" s="3">
        <v>78.72</v>
      </c>
      <c r="Y2959" s="3">
        <v>33.729999999999997</v>
      </c>
    </row>
    <row r="2960" spans="1:25" ht="60.75" x14ac:dyDescent="0.25">
      <c r="A2960" s="3" t="s">
        <v>26</v>
      </c>
      <c r="B2960" s="3" t="s">
        <v>27</v>
      </c>
      <c r="C2960" s="3" t="s">
        <v>28</v>
      </c>
      <c r="D2960" s="3" t="s">
        <v>50</v>
      </c>
      <c r="E2960" s="3" t="s">
        <v>3087</v>
      </c>
      <c r="F2960" s="3" t="s">
        <v>52</v>
      </c>
      <c r="G2960" s="3" t="s">
        <v>3087</v>
      </c>
      <c r="H2960" s="3" t="s">
        <v>45</v>
      </c>
      <c r="I2960" s="3">
        <v>2025</v>
      </c>
      <c r="J2960" s="3" t="str">
        <f>CONCATENATE("54820128798")</f>
        <v>54820128798</v>
      </c>
      <c r="K2960" s="3" t="s">
        <v>33</v>
      </c>
      <c r="L2960" s="3"/>
      <c r="M2960" s="3" t="s">
        <v>131</v>
      </c>
      <c r="N2960" s="3" t="str">
        <f>CONCATENATE("PRNMLR58B46C745T")</f>
        <v>PRNMLR58B46C745T</v>
      </c>
      <c r="O2960" s="3" t="s">
        <v>3088</v>
      </c>
      <c r="P2960" s="3" t="s">
        <v>36</v>
      </c>
      <c r="Q2960" s="3"/>
      <c r="R2960" s="4">
        <v>45996</v>
      </c>
      <c r="S2960" s="3" t="s">
        <v>37</v>
      </c>
      <c r="T2960" s="3" t="s">
        <v>38</v>
      </c>
      <c r="U2960" s="3" t="s">
        <v>39</v>
      </c>
      <c r="V2960" s="3">
        <v>541.4</v>
      </c>
      <c r="W2960" s="3">
        <v>230.1</v>
      </c>
      <c r="X2960" s="3">
        <v>217.91</v>
      </c>
      <c r="Y2960" s="3">
        <v>93.39</v>
      </c>
    </row>
    <row r="2961" spans="1:25" ht="60.75" x14ac:dyDescent="0.25">
      <c r="A2961" s="3" t="s">
        <v>26</v>
      </c>
      <c r="B2961" s="3" t="s">
        <v>27</v>
      </c>
      <c r="C2961" s="3" t="s">
        <v>28</v>
      </c>
      <c r="D2961" s="3" t="s">
        <v>29</v>
      </c>
      <c r="E2961" s="3" t="s">
        <v>136</v>
      </c>
      <c r="F2961" s="3" t="s">
        <v>31</v>
      </c>
      <c r="G2961" s="3" t="s">
        <v>136</v>
      </c>
      <c r="H2961" s="3" t="s">
        <v>48</v>
      </c>
      <c r="I2961" s="3">
        <v>2025</v>
      </c>
      <c r="J2961" s="3" t="str">
        <f>CONCATENATE("54820162201")</f>
        <v>54820162201</v>
      </c>
      <c r="K2961" s="3" t="s">
        <v>33</v>
      </c>
      <c r="L2961" s="3"/>
      <c r="M2961" s="3" t="s">
        <v>131</v>
      </c>
      <c r="N2961" s="3" t="str">
        <f>CONCATENATE("SCHSMN83L12I608Y")</f>
        <v>SCHSMN83L12I608Y</v>
      </c>
      <c r="O2961" s="3" t="s">
        <v>3089</v>
      </c>
      <c r="P2961" s="3" t="s">
        <v>36</v>
      </c>
      <c r="Q2961" s="3"/>
      <c r="R2961" s="4">
        <v>45996</v>
      </c>
      <c r="S2961" s="3" t="s">
        <v>37</v>
      </c>
      <c r="T2961" s="3" t="s">
        <v>38</v>
      </c>
      <c r="U2961" s="3" t="s">
        <v>39</v>
      </c>
      <c r="V2961" s="5">
        <v>1024.8399999999999</v>
      </c>
      <c r="W2961" s="3">
        <v>435.56</v>
      </c>
      <c r="X2961" s="3">
        <v>412.5</v>
      </c>
      <c r="Y2961" s="3">
        <v>176.78</v>
      </c>
    </row>
    <row r="2962" spans="1:25" ht="36.75" x14ac:dyDescent="0.25">
      <c r="A2962" s="3" t="s">
        <v>26</v>
      </c>
      <c r="B2962" s="3" t="s">
        <v>27</v>
      </c>
      <c r="C2962" s="3" t="s">
        <v>28</v>
      </c>
      <c r="D2962" s="3" t="s">
        <v>29</v>
      </c>
      <c r="E2962" s="3" t="s">
        <v>101</v>
      </c>
      <c r="F2962" s="3" t="s">
        <v>31</v>
      </c>
      <c r="G2962" s="3" t="s">
        <v>101</v>
      </c>
      <c r="H2962" s="3" t="s">
        <v>32</v>
      </c>
      <c r="I2962" s="3">
        <v>2025</v>
      </c>
      <c r="J2962" s="3" t="str">
        <f>CONCATENATE("54820142831")</f>
        <v>54820142831</v>
      </c>
      <c r="K2962" s="3" t="s">
        <v>33</v>
      </c>
      <c r="L2962" s="3"/>
      <c r="M2962" s="3" t="s">
        <v>131</v>
      </c>
      <c r="N2962" s="3" t="str">
        <f>CONCATENATE("01104210438")</f>
        <v>01104210438</v>
      </c>
      <c r="O2962" s="3" t="s">
        <v>3090</v>
      </c>
      <c r="P2962" s="3" t="s">
        <v>36</v>
      </c>
      <c r="Q2962" s="3"/>
      <c r="R2962" s="4">
        <v>45996</v>
      </c>
      <c r="S2962" s="3" t="s">
        <v>37</v>
      </c>
      <c r="T2962" s="3" t="s">
        <v>38</v>
      </c>
      <c r="U2962" s="3" t="s">
        <v>39</v>
      </c>
      <c r="V2962" s="3">
        <v>213.05</v>
      </c>
      <c r="W2962" s="3">
        <v>90.55</v>
      </c>
      <c r="X2962" s="3">
        <v>85.75</v>
      </c>
      <c r="Y2962" s="3">
        <v>36.75</v>
      </c>
    </row>
    <row r="2963" spans="1:25" ht="60.75" x14ac:dyDescent="0.25">
      <c r="A2963" s="3" t="s">
        <v>26</v>
      </c>
      <c r="B2963" s="3" t="s">
        <v>27</v>
      </c>
      <c r="C2963" s="3" t="s">
        <v>28</v>
      </c>
      <c r="D2963" s="3" t="s">
        <v>50</v>
      </c>
      <c r="E2963" s="3" t="s">
        <v>51</v>
      </c>
      <c r="F2963" s="3" t="s">
        <v>52</v>
      </c>
      <c r="G2963" s="3" t="s">
        <v>51</v>
      </c>
      <c r="H2963" s="3" t="s">
        <v>48</v>
      </c>
      <c r="I2963" s="3">
        <v>2025</v>
      </c>
      <c r="J2963" s="3" t="str">
        <f>CONCATENATE("54820163332")</f>
        <v>54820163332</v>
      </c>
      <c r="K2963" s="3" t="s">
        <v>33</v>
      </c>
      <c r="L2963" s="3"/>
      <c r="M2963" s="3" t="s">
        <v>131</v>
      </c>
      <c r="N2963" s="3" t="str">
        <f>CONCATENATE("ZNBNDR69E05G478E")</f>
        <v>ZNBNDR69E05G478E</v>
      </c>
      <c r="O2963" s="3" t="s">
        <v>3091</v>
      </c>
      <c r="P2963" s="3" t="s">
        <v>36</v>
      </c>
      <c r="Q2963" s="3"/>
      <c r="R2963" s="4">
        <v>45996</v>
      </c>
      <c r="S2963" s="3" t="s">
        <v>37</v>
      </c>
      <c r="T2963" s="3" t="s">
        <v>38</v>
      </c>
      <c r="U2963" s="3" t="s">
        <v>39</v>
      </c>
      <c r="V2963" s="3">
        <v>120.71</v>
      </c>
      <c r="W2963" s="3">
        <v>51.3</v>
      </c>
      <c r="X2963" s="3">
        <v>48.59</v>
      </c>
      <c r="Y2963" s="3">
        <v>20.82</v>
      </c>
    </row>
    <row r="2964" spans="1:25" ht="72.75" x14ac:dyDescent="0.25">
      <c r="A2964" s="3" t="s">
        <v>26</v>
      </c>
      <c r="B2964" s="3" t="s">
        <v>27</v>
      </c>
      <c r="C2964" s="3" t="s">
        <v>28</v>
      </c>
      <c r="D2964" s="3" t="s">
        <v>29</v>
      </c>
      <c r="E2964" s="3" t="s">
        <v>56</v>
      </c>
      <c r="F2964" s="3" t="s">
        <v>31</v>
      </c>
      <c r="G2964" s="3" t="s">
        <v>56</v>
      </c>
      <c r="H2964" s="3" t="s">
        <v>32</v>
      </c>
      <c r="I2964" s="3">
        <v>2025</v>
      </c>
      <c r="J2964" s="3" t="str">
        <f>CONCATENATE("54820114418")</f>
        <v>54820114418</v>
      </c>
      <c r="K2964" s="3" t="s">
        <v>33</v>
      </c>
      <c r="L2964" s="3"/>
      <c r="M2964" s="3" t="s">
        <v>131</v>
      </c>
      <c r="N2964" s="3" t="str">
        <f>CONCATENATE("RMDPTR49T15B474P")</f>
        <v>RMDPTR49T15B474P</v>
      </c>
      <c r="O2964" s="3" t="s">
        <v>3092</v>
      </c>
      <c r="P2964" s="3" t="s">
        <v>36</v>
      </c>
      <c r="Q2964" s="3"/>
      <c r="R2964" s="4">
        <v>45996</v>
      </c>
      <c r="S2964" s="3" t="s">
        <v>37</v>
      </c>
      <c r="T2964" s="3" t="s">
        <v>38</v>
      </c>
      <c r="U2964" s="3" t="s">
        <v>39</v>
      </c>
      <c r="V2964" s="3">
        <v>373.59</v>
      </c>
      <c r="W2964" s="3">
        <v>158.78</v>
      </c>
      <c r="X2964" s="3">
        <v>150.37</v>
      </c>
      <c r="Y2964" s="3">
        <v>64.44</v>
      </c>
    </row>
    <row r="2965" spans="1:25" ht="60.75" x14ac:dyDescent="0.25">
      <c r="A2965" s="3" t="s">
        <v>26</v>
      </c>
      <c r="B2965" s="3" t="s">
        <v>27</v>
      </c>
      <c r="C2965" s="3" t="s">
        <v>28</v>
      </c>
      <c r="D2965" s="3" t="s">
        <v>29</v>
      </c>
      <c r="E2965" s="3" t="s">
        <v>476</v>
      </c>
      <c r="F2965" s="3" t="s">
        <v>31</v>
      </c>
      <c r="G2965" s="3" t="s">
        <v>476</v>
      </c>
      <c r="H2965" s="3" t="s">
        <v>48</v>
      </c>
      <c r="I2965" s="3">
        <v>2025</v>
      </c>
      <c r="J2965" s="3" t="str">
        <f>CONCATENATE("54820156385")</f>
        <v>54820156385</v>
      </c>
      <c r="K2965" s="3" t="s">
        <v>33</v>
      </c>
      <c r="L2965" s="3"/>
      <c r="M2965" s="3" t="s">
        <v>131</v>
      </c>
      <c r="N2965" s="3" t="str">
        <f>CONCATENATE("PLBPQL45H49A329C")</f>
        <v>PLBPQL45H49A329C</v>
      </c>
      <c r="O2965" s="3" t="s">
        <v>3093</v>
      </c>
      <c r="P2965" s="3" t="s">
        <v>36</v>
      </c>
      <c r="Q2965" s="3"/>
      <c r="R2965" s="4">
        <v>45996</v>
      </c>
      <c r="S2965" s="3" t="s">
        <v>37</v>
      </c>
      <c r="T2965" s="3" t="s">
        <v>38</v>
      </c>
      <c r="U2965" s="3" t="s">
        <v>39</v>
      </c>
      <c r="V2965" s="3">
        <v>272.54000000000002</v>
      </c>
      <c r="W2965" s="3">
        <v>115.83</v>
      </c>
      <c r="X2965" s="3">
        <v>109.7</v>
      </c>
      <c r="Y2965" s="3">
        <v>47.01</v>
      </c>
    </row>
    <row r="2966" spans="1:25" ht="60.75" x14ac:dyDescent="0.25">
      <c r="A2966" s="3" t="s">
        <v>26</v>
      </c>
      <c r="B2966" s="3" t="s">
        <v>27</v>
      </c>
      <c r="C2966" s="3" t="s">
        <v>28</v>
      </c>
      <c r="D2966" s="3" t="s">
        <v>29</v>
      </c>
      <c r="E2966" s="3" t="s">
        <v>72</v>
      </c>
      <c r="F2966" s="3" t="s">
        <v>31</v>
      </c>
      <c r="G2966" s="3" t="s">
        <v>72</v>
      </c>
      <c r="H2966" s="3" t="s">
        <v>45</v>
      </c>
      <c r="I2966" s="3">
        <v>2025</v>
      </c>
      <c r="J2966" s="3" t="str">
        <f>CONCATENATE("54820101647")</f>
        <v>54820101647</v>
      </c>
      <c r="K2966" s="3" t="s">
        <v>33</v>
      </c>
      <c r="L2966" s="3"/>
      <c r="M2966" s="3" t="s">
        <v>131</v>
      </c>
      <c r="N2966" s="3" t="str">
        <f>CONCATENATE("DFRDNL77R05H501P")</f>
        <v>DFRDNL77R05H501P</v>
      </c>
      <c r="O2966" s="3" t="s">
        <v>3094</v>
      </c>
      <c r="P2966" s="3" t="s">
        <v>36</v>
      </c>
      <c r="Q2966" s="3"/>
      <c r="R2966" s="4">
        <v>45996</v>
      </c>
      <c r="S2966" s="3" t="s">
        <v>37</v>
      </c>
      <c r="T2966" s="3" t="s">
        <v>38</v>
      </c>
      <c r="U2966" s="3" t="s">
        <v>39</v>
      </c>
      <c r="V2966" s="3">
        <v>71.069999999999993</v>
      </c>
      <c r="W2966" s="3">
        <v>30.2</v>
      </c>
      <c r="X2966" s="3">
        <v>28.61</v>
      </c>
      <c r="Y2966" s="3">
        <v>12.26</v>
      </c>
    </row>
    <row r="2967" spans="1:25" ht="36.75" x14ac:dyDescent="0.25">
      <c r="A2967" s="3" t="s">
        <v>26</v>
      </c>
      <c r="B2967" s="3" t="s">
        <v>27</v>
      </c>
      <c r="C2967" s="3" t="s">
        <v>28</v>
      </c>
      <c r="D2967" s="3" t="s">
        <v>50</v>
      </c>
      <c r="E2967" s="3" t="s">
        <v>147</v>
      </c>
      <c r="F2967" s="3" t="s">
        <v>52</v>
      </c>
      <c r="G2967" s="3" t="s">
        <v>147</v>
      </c>
      <c r="H2967" s="3" t="s">
        <v>45</v>
      </c>
      <c r="I2967" s="3">
        <v>2025</v>
      </c>
      <c r="J2967" s="3" t="str">
        <f>CONCATENATE("54820112438")</f>
        <v>54820112438</v>
      </c>
      <c r="K2967" s="3" t="s">
        <v>33</v>
      </c>
      <c r="L2967" s="3"/>
      <c r="M2967" s="3" t="s">
        <v>131</v>
      </c>
      <c r="N2967" s="3" t="str">
        <f>CONCATENATE("02390590418")</f>
        <v>02390590418</v>
      </c>
      <c r="O2967" s="3" t="s">
        <v>3095</v>
      </c>
      <c r="P2967" s="3" t="s">
        <v>36</v>
      </c>
      <c r="Q2967" s="3"/>
      <c r="R2967" s="4">
        <v>45996</v>
      </c>
      <c r="S2967" s="3" t="s">
        <v>37</v>
      </c>
      <c r="T2967" s="3" t="s">
        <v>38</v>
      </c>
      <c r="U2967" s="3" t="s">
        <v>39</v>
      </c>
      <c r="V2967" s="3">
        <v>218.55</v>
      </c>
      <c r="W2967" s="3">
        <v>92.88</v>
      </c>
      <c r="X2967" s="3">
        <v>87.97</v>
      </c>
      <c r="Y2967" s="3">
        <v>37.700000000000003</v>
      </c>
    </row>
    <row r="2968" spans="1:25" ht="60.75" x14ac:dyDescent="0.25">
      <c r="A2968" s="3" t="s">
        <v>26</v>
      </c>
      <c r="B2968" s="3" t="s">
        <v>27</v>
      </c>
      <c r="C2968" s="3" t="s">
        <v>28</v>
      </c>
      <c r="D2968" s="3" t="s">
        <v>29</v>
      </c>
      <c r="E2968" s="3" t="s">
        <v>80</v>
      </c>
      <c r="F2968" s="3" t="s">
        <v>31</v>
      </c>
      <c r="G2968" s="3" t="s">
        <v>80</v>
      </c>
      <c r="H2968" s="3" t="s">
        <v>45</v>
      </c>
      <c r="I2968" s="3">
        <v>2025</v>
      </c>
      <c r="J2968" s="3" t="str">
        <f>CONCATENATE("54820123070")</f>
        <v>54820123070</v>
      </c>
      <c r="K2968" s="3" t="s">
        <v>33</v>
      </c>
      <c r="L2968" s="3"/>
      <c r="M2968" s="3" t="s">
        <v>131</v>
      </c>
      <c r="N2968" s="3" t="str">
        <f>CONCATENATE("CTNDNC59A16I654P")</f>
        <v>CTNDNC59A16I654P</v>
      </c>
      <c r="O2968" s="3" t="s">
        <v>3096</v>
      </c>
      <c r="P2968" s="3" t="s">
        <v>36</v>
      </c>
      <c r="Q2968" s="3"/>
      <c r="R2968" s="4">
        <v>45996</v>
      </c>
      <c r="S2968" s="3" t="s">
        <v>37</v>
      </c>
      <c r="T2968" s="3" t="s">
        <v>38</v>
      </c>
      <c r="U2968" s="3" t="s">
        <v>39</v>
      </c>
      <c r="V2968" s="3">
        <v>244.13</v>
      </c>
      <c r="W2968" s="3">
        <v>103.76</v>
      </c>
      <c r="X2968" s="3">
        <v>98.26</v>
      </c>
      <c r="Y2968" s="3">
        <v>42.11</v>
      </c>
    </row>
    <row r="2969" spans="1:25" ht="60.75" x14ac:dyDescent="0.25">
      <c r="A2969" s="3" t="s">
        <v>26</v>
      </c>
      <c r="B2969" s="3" t="s">
        <v>27</v>
      </c>
      <c r="C2969" s="3" t="s">
        <v>28</v>
      </c>
      <c r="D2969" s="3" t="s">
        <v>29</v>
      </c>
      <c r="E2969" s="3" t="s">
        <v>47</v>
      </c>
      <c r="F2969" s="3" t="s">
        <v>31</v>
      </c>
      <c r="G2969" s="3" t="s">
        <v>47</v>
      </c>
      <c r="H2969" s="3" t="s">
        <v>48</v>
      </c>
      <c r="I2969" s="3">
        <v>2025</v>
      </c>
      <c r="J2969" s="3" t="str">
        <f>CONCATENATE("54820135900")</f>
        <v>54820135900</v>
      </c>
      <c r="K2969" s="3" t="s">
        <v>33</v>
      </c>
      <c r="L2969" s="3"/>
      <c r="M2969" s="3" t="s">
        <v>131</v>
      </c>
      <c r="N2969" s="3" t="str">
        <f>CONCATENATE("PGLNDA66L68D451W")</f>
        <v>PGLNDA66L68D451W</v>
      </c>
      <c r="O2969" s="3" t="s">
        <v>3097</v>
      </c>
      <c r="P2969" s="3" t="s">
        <v>36</v>
      </c>
      <c r="Q2969" s="3"/>
      <c r="R2969" s="4">
        <v>45996</v>
      </c>
      <c r="S2969" s="3" t="s">
        <v>37</v>
      </c>
      <c r="T2969" s="3" t="s">
        <v>38</v>
      </c>
      <c r="U2969" s="3" t="s">
        <v>39</v>
      </c>
      <c r="V2969" s="3">
        <v>942.41</v>
      </c>
      <c r="W2969" s="3">
        <v>400.52</v>
      </c>
      <c r="X2969" s="3">
        <v>379.32</v>
      </c>
      <c r="Y2969" s="3">
        <v>162.57</v>
      </c>
    </row>
    <row r="2970" spans="1:25" ht="60.75" x14ac:dyDescent="0.25">
      <c r="A2970" s="3" t="s">
        <v>26</v>
      </c>
      <c r="B2970" s="3" t="s">
        <v>27</v>
      </c>
      <c r="C2970" s="3" t="s">
        <v>28</v>
      </c>
      <c r="D2970" s="3" t="s">
        <v>29</v>
      </c>
      <c r="E2970" s="3" t="s">
        <v>72</v>
      </c>
      <c r="F2970" s="3" t="s">
        <v>31</v>
      </c>
      <c r="G2970" s="3" t="s">
        <v>72</v>
      </c>
      <c r="H2970" s="3" t="s">
        <v>45</v>
      </c>
      <c r="I2970" s="3">
        <v>2025</v>
      </c>
      <c r="J2970" s="3" t="str">
        <f>CONCATENATE("54820169669")</f>
        <v>54820169669</v>
      </c>
      <c r="K2970" s="3" t="s">
        <v>33</v>
      </c>
      <c r="L2970" s="3"/>
      <c r="M2970" s="3" t="s">
        <v>131</v>
      </c>
      <c r="N2970" s="3" t="str">
        <f>CONCATENATE("FCCLSS87R19E256Q")</f>
        <v>FCCLSS87R19E256Q</v>
      </c>
      <c r="O2970" s="3" t="s">
        <v>200</v>
      </c>
      <c r="P2970" s="3" t="s">
        <v>36</v>
      </c>
      <c r="Q2970" s="3"/>
      <c r="R2970" s="4">
        <v>45996</v>
      </c>
      <c r="S2970" s="3" t="s">
        <v>37</v>
      </c>
      <c r="T2970" s="3" t="s">
        <v>38</v>
      </c>
      <c r="U2970" s="3" t="s">
        <v>39</v>
      </c>
      <c r="V2970" s="3">
        <v>280.68</v>
      </c>
      <c r="W2970" s="3">
        <v>119.29</v>
      </c>
      <c r="X2970" s="3">
        <v>112.97</v>
      </c>
      <c r="Y2970" s="3">
        <v>48.42</v>
      </c>
    </row>
    <row r="2971" spans="1:25" ht="60.75" x14ac:dyDescent="0.25">
      <c r="A2971" s="3" t="s">
        <v>26</v>
      </c>
      <c r="B2971" s="3" t="s">
        <v>27</v>
      </c>
      <c r="C2971" s="3" t="s">
        <v>28</v>
      </c>
      <c r="D2971" s="3" t="s">
        <v>29</v>
      </c>
      <c r="E2971" s="3" t="s">
        <v>101</v>
      </c>
      <c r="F2971" s="3" t="s">
        <v>31</v>
      </c>
      <c r="G2971" s="3" t="s">
        <v>101</v>
      </c>
      <c r="H2971" s="3" t="s">
        <v>32</v>
      </c>
      <c r="I2971" s="3">
        <v>2025</v>
      </c>
      <c r="J2971" s="3" t="str">
        <f>CONCATENATE("54820101506")</f>
        <v>54820101506</v>
      </c>
      <c r="K2971" s="3" t="s">
        <v>33</v>
      </c>
      <c r="L2971" s="3"/>
      <c r="M2971" s="3" t="s">
        <v>131</v>
      </c>
      <c r="N2971" s="3" t="str">
        <f>CONCATENATE("PTTLEI45C21L191B")</f>
        <v>PTTLEI45C21L191B</v>
      </c>
      <c r="O2971" s="3" t="s">
        <v>3098</v>
      </c>
      <c r="P2971" s="3" t="s">
        <v>36</v>
      </c>
      <c r="Q2971" s="3"/>
      <c r="R2971" s="4">
        <v>45996</v>
      </c>
      <c r="S2971" s="3" t="s">
        <v>37</v>
      </c>
      <c r="T2971" s="3" t="s">
        <v>38</v>
      </c>
      <c r="U2971" s="3" t="s">
        <v>39</v>
      </c>
      <c r="V2971" s="3">
        <v>53.31</v>
      </c>
      <c r="W2971" s="3">
        <v>22.66</v>
      </c>
      <c r="X2971" s="3">
        <v>21.46</v>
      </c>
      <c r="Y2971" s="3">
        <v>9.19</v>
      </c>
    </row>
    <row r="2972" spans="1:25" ht="60.75" x14ac:dyDescent="0.25">
      <c r="A2972" s="3" t="s">
        <v>26</v>
      </c>
      <c r="B2972" s="3" t="s">
        <v>27</v>
      </c>
      <c r="C2972" s="3" t="s">
        <v>28</v>
      </c>
      <c r="D2972" s="3" t="s">
        <v>104</v>
      </c>
      <c r="E2972" s="3" t="s">
        <v>141</v>
      </c>
      <c r="F2972" s="3" t="s">
        <v>104</v>
      </c>
      <c r="G2972" s="3" t="s">
        <v>141</v>
      </c>
      <c r="H2972" s="3" t="s">
        <v>96</v>
      </c>
      <c r="I2972" s="3">
        <v>2025</v>
      </c>
      <c r="J2972" s="3" t="str">
        <f>CONCATENATE("54820142583")</f>
        <v>54820142583</v>
      </c>
      <c r="K2972" s="3" t="s">
        <v>33</v>
      </c>
      <c r="L2972" s="3"/>
      <c r="M2972" s="3" t="s">
        <v>131</v>
      </c>
      <c r="N2972" s="3" t="str">
        <f>CONCATENATE("DNGDNC62D30A252Z")</f>
        <v>DNGDNC62D30A252Z</v>
      </c>
      <c r="O2972" s="3" t="s">
        <v>789</v>
      </c>
      <c r="P2972" s="3" t="s">
        <v>36</v>
      </c>
      <c r="Q2972" s="3"/>
      <c r="R2972" s="4">
        <v>45996</v>
      </c>
      <c r="S2972" s="3" t="s">
        <v>37</v>
      </c>
      <c r="T2972" s="3" t="s">
        <v>38</v>
      </c>
      <c r="U2972" s="3" t="s">
        <v>39</v>
      </c>
      <c r="V2972" s="3">
        <v>69.37</v>
      </c>
      <c r="W2972" s="3">
        <v>29.48</v>
      </c>
      <c r="X2972" s="3">
        <v>27.92</v>
      </c>
      <c r="Y2972" s="3">
        <v>11.97</v>
      </c>
    </row>
    <row r="2973" spans="1:25" ht="36.75" x14ac:dyDescent="0.25">
      <c r="A2973" s="3" t="s">
        <v>26</v>
      </c>
      <c r="B2973" s="3" t="s">
        <v>27</v>
      </c>
      <c r="C2973" s="3" t="s">
        <v>28</v>
      </c>
      <c r="D2973" s="3" t="s">
        <v>29</v>
      </c>
      <c r="E2973" s="3" t="s">
        <v>136</v>
      </c>
      <c r="F2973" s="3" t="s">
        <v>31</v>
      </c>
      <c r="G2973" s="3" t="s">
        <v>136</v>
      </c>
      <c r="H2973" s="3" t="s">
        <v>48</v>
      </c>
      <c r="I2973" s="3">
        <v>2025</v>
      </c>
      <c r="J2973" s="3" t="str">
        <f>CONCATENATE("54820171038")</f>
        <v>54820171038</v>
      </c>
      <c r="K2973" s="3" t="s">
        <v>33</v>
      </c>
      <c r="L2973" s="3"/>
      <c r="M2973" s="3" t="s">
        <v>131</v>
      </c>
      <c r="N2973" s="3" t="str">
        <f>CONCATENATE("02871380420")</f>
        <v>02871380420</v>
      </c>
      <c r="O2973" s="3" t="s">
        <v>3099</v>
      </c>
      <c r="P2973" s="3" t="s">
        <v>36</v>
      </c>
      <c r="Q2973" s="3"/>
      <c r="R2973" s="4">
        <v>45996</v>
      </c>
      <c r="S2973" s="3" t="s">
        <v>37</v>
      </c>
      <c r="T2973" s="3" t="s">
        <v>38</v>
      </c>
      <c r="U2973" s="3" t="s">
        <v>39</v>
      </c>
      <c r="V2973" s="3">
        <v>744.11</v>
      </c>
      <c r="W2973" s="3">
        <v>316.25</v>
      </c>
      <c r="X2973" s="3">
        <v>299.5</v>
      </c>
      <c r="Y2973" s="3">
        <v>128.36000000000001</v>
      </c>
    </row>
    <row r="2974" spans="1:25" ht="60.75" x14ac:dyDescent="0.25">
      <c r="A2974" s="3" t="s">
        <v>26</v>
      </c>
      <c r="B2974" s="3" t="s">
        <v>27</v>
      </c>
      <c r="C2974" s="3" t="s">
        <v>28</v>
      </c>
      <c r="D2974" s="3" t="s">
        <v>29</v>
      </c>
      <c r="E2974" s="3" t="s">
        <v>47</v>
      </c>
      <c r="F2974" s="3" t="s">
        <v>31</v>
      </c>
      <c r="G2974" s="3" t="s">
        <v>47</v>
      </c>
      <c r="H2974" s="3" t="s">
        <v>48</v>
      </c>
      <c r="I2974" s="3">
        <v>2025</v>
      </c>
      <c r="J2974" s="3" t="str">
        <f>CONCATENATE("54820113469")</f>
        <v>54820113469</v>
      </c>
      <c r="K2974" s="3" t="s">
        <v>33</v>
      </c>
      <c r="L2974" s="3"/>
      <c r="M2974" s="3" t="s">
        <v>131</v>
      </c>
      <c r="N2974" s="3" t="str">
        <f>CONCATENATE("VNNSRG66R07I461O")</f>
        <v>VNNSRG66R07I461O</v>
      </c>
      <c r="O2974" s="3" t="s">
        <v>3100</v>
      </c>
      <c r="P2974" s="3" t="s">
        <v>36</v>
      </c>
      <c r="Q2974" s="3"/>
      <c r="R2974" s="4">
        <v>45996</v>
      </c>
      <c r="S2974" s="3" t="s">
        <v>37</v>
      </c>
      <c r="T2974" s="3" t="s">
        <v>38</v>
      </c>
      <c r="U2974" s="3" t="s">
        <v>39</v>
      </c>
      <c r="V2974" s="3">
        <v>401.57</v>
      </c>
      <c r="W2974" s="3">
        <v>170.67</v>
      </c>
      <c r="X2974" s="3">
        <v>161.63</v>
      </c>
      <c r="Y2974" s="3">
        <v>69.27</v>
      </c>
    </row>
    <row r="2975" spans="1:25" ht="60.75" x14ac:dyDescent="0.25">
      <c r="A2975" s="3" t="s">
        <v>26</v>
      </c>
      <c r="B2975" s="3" t="s">
        <v>27</v>
      </c>
      <c r="C2975" s="3" t="s">
        <v>28</v>
      </c>
      <c r="D2975" s="3" t="s">
        <v>50</v>
      </c>
      <c r="E2975" s="3" t="s">
        <v>147</v>
      </c>
      <c r="F2975" s="3" t="s">
        <v>52</v>
      </c>
      <c r="G2975" s="3" t="s">
        <v>147</v>
      </c>
      <c r="H2975" s="3" t="s">
        <v>45</v>
      </c>
      <c r="I2975" s="3">
        <v>2025</v>
      </c>
      <c r="J2975" s="3" t="str">
        <f>CONCATENATE("54820189899")</f>
        <v>54820189899</v>
      </c>
      <c r="K2975" s="3" t="s">
        <v>33</v>
      </c>
      <c r="L2975" s="3"/>
      <c r="M2975" s="3" t="s">
        <v>131</v>
      </c>
      <c r="N2975" s="3" t="str">
        <f>CONCATENATE("LGILRS71L10L500L")</f>
        <v>LGILRS71L10L500L</v>
      </c>
      <c r="O2975" s="3" t="s">
        <v>3101</v>
      </c>
      <c r="P2975" s="3" t="s">
        <v>36</v>
      </c>
      <c r="Q2975" s="3"/>
      <c r="R2975" s="4">
        <v>45996</v>
      </c>
      <c r="S2975" s="3" t="s">
        <v>37</v>
      </c>
      <c r="T2975" s="3" t="s">
        <v>38</v>
      </c>
      <c r="U2975" s="3" t="s">
        <v>39</v>
      </c>
      <c r="V2975" s="3">
        <v>161.87</v>
      </c>
      <c r="W2975" s="3">
        <v>68.790000000000006</v>
      </c>
      <c r="X2975" s="3">
        <v>65.150000000000006</v>
      </c>
      <c r="Y2975" s="3">
        <v>27.93</v>
      </c>
    </row>
    <row r="2976" spans="1:25" ht="60.75" x14ac:dyDescent="0.25">
      <c r="A2976" s="3" t="s">
        <v>26</v>
      </c>
      <c r="B2976" s="3" t="s">
        <v>27</v>
      </c>
      <c r="C2976" s="3" t="s">
        <v>28</v>
      </c>
      <c r="D2976" s="3" t="s">
        <v>29</v>
      </c>
      <c r="E2976" s="3" t="s">
        <v>68</v>
      </c>
      <c r="F2976" s="3" t="s">
        <v>31</v>
      </c>
      <c r="G2976" s="3" t="s">
        <v>68</v>
      </c>
      <c r="H2976" s="3" t="s">
        <v>32</v>
      </c>
      <c r="I2976" s="3">
        <v>2025</v>
      </c>
      <c r="J2976" s="3" t="str">
        <f>CONCATENATE("54820210372")</f>
        <v>54820210372</v>
      </c>
      <c r="K2976" s="3" t="s">
        <v>33</v>
      </c>
      <c r="L2976" s="3"/>
      <c r="M2976" s="3" t="s">
        <v>131</v>
      </c>
      <c r="N2976" s="3" t="str">
        <f>CONCATENATE("RSSPLA89S20A252L")</f>
        <v>RSSPLA89S20A252L</v>
      </c>
      <c r="O2976" s="3" t="s">
        <v>3102</v>
      </c>
      <c r="P2976" s="3" t="s">
        <v>36</v>
      </c>
      <c r="Q2976" s="3"/>
      <c r="R2976" s="4">
        <v>45996</v>
      </c>
      <c r="S2976" s="3" t="s">
        <v>37</v>
      </c>
      <c r="T2976" s="3" t="s">
        <v>38</v>
      </c>
      <c r="U2976" s="3" t="s">
        <v>39</v>
      </c>
      <c r="V2976" s="3">
        <v>625.52</v>
      </c>
      <c r="W2976" s="3">
        <v>265.85000000000002</v>
      </c>
      <c r="X2976" s="3">
        <v>251.77</v>
      </c>
      <c r="Y2976" s="3">
        <v>107.9</v>
      </c>
    </row>
    <row r="2977" spans="1:25" ht="36.75" x14ac:dyDescent="0.25">
      <c r="A2977" s="3" t="s">
        <v>26</v>
      </c>
      <c r="B2977" s="3" t="s">
        <v>27</v>
      </c>
      <c r="C2977" s="3" t="s">
        <v>28</v>
      </c>
      <c r="D2977" s="3" t="s">
        <v>29</v>
      </c>
      <c r="E2977" s="3" t="s">
        <v>47</v>
      </c>
      <c r="F2977" s="3" t="s">
        <v>31</v>
      </c>
      <c r="G2977" s="3" t="s">
        <v>47</v>
      </c>
      <c r="H2977" s="3" t="s">
        <v>48</v>
      </c>
      <c r="I2977" s="3">
        <v>2025</v>
      </c>
      <c r="J2977" s="3" t="str">
        <f>CONCATENATE("54820108691")</f>
        <v>54820108691</v>
      </c>
      <c r="K2977" s="3" t="s">
        <v>33</v>
      </c>
      <c r="L2977" s="3"/>
      <c r="M2977" s="3" t="s">
        <v>131</v>
      </c>
      <c r="N2977" s="3" t="str">
        <f>CONCATENATE("02867400422")</f>
        <v>02867400422</v>
      </c>
      <c r="O2977" s="3" t="s">
        <v>3103</v>
      </c>
      <c r="P2977" s="3" t="s">
        <v>36</v>
      </c>
      <c r="Q2977" s="3"/>
      <c r="R2977" s="4">
        <v>45996</v>
      </c>
      <c r="S2977" s="3" t="s">
        <v>37</v>
      </c>
      <c r="T2977" s="3" t="s">
        <v>38</v>
      </c>
      <c r="U2977" s="3" t="s">
        <v>39</v>
      </c>
      <c r="V2977" s="3">
        <v>723.11</v>
      </c>
      <c r="W2977" s="3">
        <v>307.32</v>
      </c>
      <c r="X2977" s="3">
        <v>291.05</v>
      </c>
      <c r="Y2977" s="3">
        <v>124.74</v>
      </c>
    </row>
    <row r="2978" spans="1:25" ht="60.75" x14ac:dyDescent="0.25">
      <c r="A2978" s="3" t="s">
        <v>26</v>
      </c>
      <c r="B2978" s="3" t="s">
        <v>27</v>
      </c>
      <c r="C2978" s="3" t="s">
        <v>28</v>
      </c>
      <c r="D2978" s="3" t="s">
        <v>50</v>
      </c>
      <c r="E2978" s="3" t="s">
        <v>147</v>
      </c>
      <c r="F2978" s="3" t="s">
        <v>52</v>
      </c>
      <c r="G2978" s="3" t="s">
        <v>147</v>
      </c>
      <c r="H2978" s="3" t="s">
        <v>45</v>
      </c>
      <c r="I2978" s="3">
        <v>2025</v>
      </c>
      <c r="J2978" s="3" t="str">
        <f>CONCATENATE("54820191564")</f>
        <v>54820191564</v>
      </c>
      <c r="K2978" s="3" t="s">
        <v>33</v>
      </c>
      <c r="L2978" s="3"/>
      <c r="M2978" s="3" t="s">
        <v>131</v>
      </c>
      <c r="N2978" s="3" t="str">
        <f>CONCATENATE("GSTMRC89B13I459S")</f>
        <v>GSTMRC89B13I459S</v>
      </c>
      <c r="O2978" s="3" t="s">
        <v>3104</v>
      </c>
      <c r="P2978" s="3" t="s">
        <v>36</v>
      </c>
      <c r="Q2978" s="3"/>
      <c r="R2978" s="4">
        <v>45996</v>
      </c>
      <c r="S2978" s="3" t="s">
        <v>37</v>
      </c>
      <c r="T2978" s="3" t="s">
        <v>38</v>
      </c>
      <c r="U2978" s="3" t="s">
        <v>39</v>
      </c>
      <c r="V2978" s="3">
        <v>130.61000000000001</v>
      </c>
      <c r="W2978" s="3">
        <v>55.51</v>
      </c>
      <c r="X2978" s="3">
        <v>52.57</v>
      </c>
      <c r="Y2978" s="3">
        <v>22.53</v>
      </c>
    </row>
    <row r="2979" spans="1:25" ht="60.75" x14ac:dyDescent="0.25">
      <c r="A2979" s="3" t="s">
        <v>26</v>
      </c>
      <c r="B2979" s="3" t="s">
        <v>27</v>
      </c>
      <c r="C2979" s="3" t="s">
        <v>28</v>
      </c>
      <c r="D2979" s="3" t="s">
        <v>50</v>
      </c>
      <c r="E2979" s="3" t="s">
        <v>147</v>
      </c>
      <c r="F2979" s="3" t="s">
        <v>52</v>
      </c>
      <c r="G2979" s="3" t="s">
        <v>147</v>
      </c>
      <c r="H2979" s="3" t="s">
        <v>45</v>
      </c>
      <c r="I2979" s="3">
        <v>2025</v>
      </c>
      <c r="J2979" s="3" t="str">
        <f>CONCATENATE("54820190673")</f>
        <v>54820190673</v>
      </c>
      <c r="K2979" s="3" t="s">
        <v>33</v>
      </c>
      <c r="L2979" s="3"/>
      <c r="M2979" s="3" t="s">
        <v>131</v>
      </c>
      <c r="N2979" s="3" t="str">
        <f>CONCATENATE("BBCNIA73C43Z140A")</f>
        <v>BBCNIA73C43Z140A</v>
      </c>
      <c r="O2979" s="3" t="s">
        <v>3105</v>
      </c>
      <c r="P2979" s="3" t="s">
        <v>36</v>
      </c>
      <c r="Q2979" s="3"/>
      <c r="R2979" s="4">
        <v>45996</v>
      </c>
      <c r="S2979" s="3" t="s">
        <v>37</v>
      </c>
      <c r="T2979" s="3" t="s">
        <v>38</v>
      </c>
      <c r="U2979" s="3" t="s">
        <v>39</v>
      </c>
      <c r="V2979" s="3">
        <v>418.56</v>
      </c>
      <c r="W2979" s="3">
        <v>177.89</v>
      </c>
      <c r="X2979" s="3">
        <v>168.47</v>
      </c>
      <c r="Y2979" s="3">
        <v>72.2</v>
      </c>
    </row>
    <row r="2980" spans="1:25" ht="60.75" x14ac:dyDescent="0.25">
      <c r="A2980" s="3" t="s">
        <v>26</v>
      </c>
      <c r="B2980" s="3" t="s">
        <v>27</v>
      </c>
      <c r="C2980" s="3" t="s">
        <v>28</v>
      </c>
      <c r="D2980" s="3" t="s">
        <v>50</v>
      </c>
      <c r="E2980" s="3" t="s">
        <v>60</v>
      </c>
      <c r="F2980" s="3" t="s">
        <v>52</v>
      </c>
      <c r="G2980" s="3" t="s">
        <v>60</v>
      </c>
      <c r="H2980" s="3" t="s">
        <v>45</v>
      </c>
      <c r="I2980" s="3">
        <v>2025</v>
      </c>
      <c r="J2980" s="3" t="str">
        <f>CONCATENATE("54820181797")</f>
        <v>54820181797</v>
      </c>
      <c r="K2980" s="3" t="s">
        <v>33</v>
      </c>
      <c r="L2980" s="3"/>
      <c r="M2980" s="3" t="s">
        <v>131</v>
      </c>
      <c r="N2980" s="3" t="str">
        <f>CONCATENATE("SNTMRA50H57I654S")</f>
        <v>SNTMRA50H57I654S</v>
      </c>
      <c r="O2980" s="3" t="s">
        <v>3106</v>
      </c>
      <c r="P2980" s="3" t="s">
        <v>36</v>
      </c>
      <c r="Q2980" s="3"/>
      <c r="R2980" s="4">
        <v>45996</v>
      </c>
      <c r="S2980" s="3" t="s">
        <v>37</v>
      </c>
      <c r="T2980" s="3" t="s">
        <v>38</v>
      </c>
      <c r="U2980" s="3" t="s">
        <v>39</v>
      </c>
      <c r="V2980" s="3">
        <v>60.16</v>
      </c>
      <c r="W2980" s="3">
        <v>25.57</v>
      </c>
      <c r="X2980" s="3">
        <v>24.21</v>
      </c>
      <c r="Y2980" s="3">
        <v>10.38</v>
      </c>
    </row>
    <row r="2981" spans="1:25" ht="60.75" x14ac:dyDescent="0.25">
      <c r="A2981" s="3" t="s">
        <v>26</v>
      </c>
      <c r="B2981" s="3" t="s">
        <v>27</v>
      </c>
      <c r="C2981" s="3" t="s">
        <v>28</v>
      </c>
      <c r="D2981" s="3" t="s">
        <v>50</v>
      </c>
      <c r="E2981" s="3" t="s">
        <v>60</v>
      </c>
      <c r="F2981" s="3" t="s">
        <v>52</v>
      </c>
      <c r="G2981" s="3" t="s">
        <v>60</v>
      </c>
      <c r="H2981" s="3" t="s">
        <v>45</v>
      </c>
      <c r="I2981" s="3">
        <v>2025</v>
      </c>
      <c r="J2981" s="3" t="str">
        <f>CONCATENATE("54820135967")</f>
        <v>54820135967</v>
      </c>
      <c r="K2981" s="3" t="s">
        <v>33</v>
      </c>
      <c r="L2981" s="3"/>
      <c r="M2981" s="3" t="s">
        <v>131</v>
      </c>
      <c r="N2981" s="3" t="str">
        <f>CONCATENATE("PRRPRI54T22H958T")</f>
        <v>PRRPRI54T22H958T</v>
      </c>
      <c r="O2981" s="3" t="s">
        <v>3107</v>
      </c>
      <c r="P2981" s="3" t="s">
        <v>36</v>
      </c>
      <c r="Q2981" s="3"/>
      <c r="R2981" s="4">
        <v>45996</v>
      </c>
      <c r="S2981" s="3" t="s">
        <v>37</v>
      </c>
      <c r="T2981" s="3" t="s">
        <v>38</v>
      </c>
      <c r="U2981" s="3" t="s">
        <v>39</v>
      </c>
      <c r="V2981" s="3">
        <v>340.53</v>
      </c>
      <c r="W2981" s="3">
        <v>144.72999999999999</v>
      </c>
      <c r="X2981" s="3">
        <v>137.06</v>
      </c>
      <c r="Y2981" s="3">
        <v>58.74</v>
      </c>
    </row>
    <row r="2982" spans="1:25" ht="60.75" x14ac:dyDescent="0.25">
      <c r="A2982" s="3" t="s">
        <v>26</v>
      </c>
      <c r="B2982" s="3" t="s">
        <v>27</v>
      </c>
      <c r="C2982" s="3" t="s">
        <v>28</v>
      </c>
      <c r="D2982" s="3" t="s">
        <v>50</v>
      </c>
      <c r="E2982" s="3" t="s">
        <v>252</v>
      </c>
      <c r="F2982" s="3" t="s">
        <v>52</v>
      </c>
      <c r="G2982" s="3" t="s">
        <v>252</v>
      </c>
      <c r="H2982" s="3" t="s">
        <v>45</v>
      </c>
      <c r="I2982" s="3">
        <v>2025</v>
      </c>
      <c r="J2982" s="3" t="str">
        <f>CONCATENATE("54820102470")</f>
        <v>54820102470</v>
      </c>
      <c r="K2982" s="3" t="s">
        <v>33</v>
      </c>
      <c r="L2982" s="3"/>
      <c r="M2982" s="3" t="s">
        <v>131</v>
      </c>
      <c r="N2982" s="3" t="str">
        <f>CONCATENATE("GRGCRL74H70G089U")</f>
        <v>GRGCRL74H70G089U</v>
      </c>
      <c r="O2982" s="3" t="s">
        <v>3108</v>
      </c>
      <c r="P2982" s="3" t="s">
        <v>36</v>
      </c>
      <c r="Q2982" s="3"/>
      <c r="R2982" s="4">
        <v>45996</v>
      </c>
      <c r="S2982" s="3" t="s">
        <v>37</v>
      </c>
      <c r="T2982" s="3" t="s">
        <v>38</v>
      </c>
      <c r="U2982" s="3" t="s">
        <v>39</v>
      </c>
      <c r="V2982" s="3">
        <v>65.11</v>
      </c>
      <c r="W2982" s="3">
        <v>27.67</v>
      </c>
      <c r="X2982" s="3">
        <v>26.21</v>
      </c>
      <c r="Y2982" s="3">
        <v>11.23</v>
      </c>
    </row>
    <row r="2983" spans="1:25" ht="60.75" x14ac:dyDescent="0.25">
      <c r="A2983" s="3" t="s">
        <v>26</v>
      </c>
      <c r="B2983" s="3" t="s">
        <v>27</v>
      </c>
      <c r="C2983" s="3" t="s">
        <v>28</v>
      </c>
      <c r="D2983" s="3" t="s">
        <v>50</v>
      </c>
      <c r="E2983" s="3" t="s">
        <v>51</v>
      </c>
      <c r="F2983" s="3" t="s">
        <v>52</v>
      </c>
      <c r="G2983" s="3" t="s">
        <v>51</v>
      </c>
      <c r="H2983" s="3" t="s">
        <v>48</v>
      </c>
      <c r="I2983" s="3">
        <v>2025</v>
      </c>
      <c r="J2983" s="3" t="str">
        <f>CONCATENATE("54820234315")</f>
        <v>54820234315</v>
      </c>
      <c r="K2983" s="3" t="s">
        <v>33</v>
      </c>
      <c r="L2983" s="3"/>
      <c r="M2983" s="3" t="s">
        <v>131</v>
      </c>
      <c r="N2983" s="3" t="str">
        <f>CONCATENATE("CSGSNO96T49D451R")</f>
        <v>CSGSNO96T49D451R</v>
      </c>
      <c r="O2983" s="3" t="s">
        <v>3109</v>
      </c>
      <c r="P2983" s="3" t="s">
        <v>36</v>
      </c>
      <c r="Q2983" s="3"/>
      <c r="R2983" s="4">
        <v>45996</v>
      </c>
      <c r="S2983" s="3" t="s">
        <v>37</v>
      </c>
      <c r="T2983" s="3" t="s">
        <v>38</v>
      </c>
      <c r="U2983" s="3" t="s">
        <v>39</v>
      </c>
      <c r="V2983" s="3">
        <v>652.96</v>
      </c>
      <c r="W2983" s="3">
        <v>277.51</v>
      </c>
      <c r="X2983" s="3">
        <v>262.82</v>
      </c>
      <c r="Y2983" s="3">
        <v>112.63</v>
      </c>
    </row>
    <row r="2984" spans="1:25" ht="72.75" x14ac:dyDescent="0.25">
      <c r="A2984" s="3" t="s">
        <v>26</v>
      </c>
      <c r="B2984" s="3" t="s">
        <v>27</v>
      </c>
      <c r="C2984" s="3" t="s">
        <v>28</v>
      </c>
      <c r="D2984" s="3" t="s">
        <v>29</v>
      </c>
      <c r="E2984" s="3" t="s">
        <v>136</v>
      </c>
      <c r="F2984" s="3" t="s">
        <v>31</v>
      </c>
      <c r="G2984" s="3" t="s">
        <v>136</v>
      </c>
      <c r="H2984" s="3" t="s">
        <v>48</v>
      </c>
      <c r="I2984" s="3">
        <v>2025</v>
      </c>
      <c r="J2984" s="3" t="str">
        <f>CONCATENATE("54820107511")</f>
        <v>54820107511</v>
      </c>
      <c r="K2984" s="3" t="s">
        <v>33</v>
      </c>
      <c r="L2984" s="3"/>
      <c r="M2984" s="3" t="s">
        <v>131</v>
      </c>
      <c r="N2984" s="3" t="str">
        <f>CONCATENATE("LCNGRG60A23G453U")</f>
        <v>LCNGRG60A23G453U</v>
      </c>
      <c r="O2984" s="3" t="s">
        <v>3110</v>
      </c>
      <c r="P2984" s="3" t="s">
        <v>36</v>
      </c>
      <c r="Q2984" s="3"/>
      <c r="R2984" s="4">
        <v>45996</v>
      </c>
      <c r="S2984" s="3" t="s">
        <v>37</v>
      </c>
      <c r="T2984" s="3" t="s">
        <v>38</v>
      </c>
      <c r="U2984" s="3" t="s">
        <v>39</v>
      </c>
      <c r="V2984" s="3">
        <v>124.54</v>
      </c>
      <c r="W2984" s="3">
        <v>52.93</v>
      </c>
      <c r="X2984" s="3">
        <v>50.13</v>
      </c>
      <c r="Y2984" s="3">
        <v>21.48</v>
      </c>
    </row>
    <row r="2985" spans="1:25" ht="72.75" x14ac:dyDescent="0.25">
      <c r="A2985" s="3" t="s">
        <v>26</v>
      </c>
      <c r="B2985" s="3" t="s">
        <v>27</v>
      </c>
      <c r="C2985" s="3" t="s">
        <v>28</v>
      </c>
      <c r="D2985" s="3" t="s">
        <v>29</v>
      </c>
      <c r="E2985" s="3" t="s">
        <v>228</v>
      </c>
      <c r="F2985" s="3" t="s">
        <v>31</v>
      </c>
      <c r="G2985" s="3" t="s">
        <v>228</v>
      </c>
      <c r="H2985" s="3" t="s">
        <v>45</v>
      </c>
      <c r="I2985" s="3">
        <v>2025</v>
      </c>
      <c r="J2985" s="3" t="str">
        <f>CONCATENATE("54820101746")</f>
        <v>54820101746</v>
      </c>
      <c r="K2985" s="3" t="s">
        <v>33</v>
      </c>
      <c r="L2985" s="3"/>
      <c r="M2985" s="3" t="s">
        <v>131</v>
      </c>
      <c r="N2985" s="3" t="str">
        <f>CONCATENATE("MSCNMR61E54D749R")</f>
        <v>MSCNMR61E54D749R</v>
      </c>
      <c r="O2985" s="3" t="s">
        <v>3111</v>
      </c>
      <c r="P2985" s="3" t="s">
        <v>36</v>
      </c>
      <c r="Q2985" s="3"/>
      <c r="R2985" s="4">
        <v>45996</v>
      </c>
      <c r="S2985" s="3" t="s">
        <v>37</v>
      </c>
      <c r="T2985" s="3" t="s">
        <v>38</v>
      </c>
      <c r="U2985" s="3" t="s">
        <v>39</v>
      </c>
      <c r="V2985" s="3">
        <v>118.57</v>
      </c>
      <c r="W2985" s="3">
        <v>50.39</v>
      </c>
      <c r="X2985" s="3">
        <v>47.72</v>
      </c>
      <c r="Y2985" s="3">
        <v>20.46</v>
      </c>
    </row>
    <row r="2986" spans="1:25" ht="60.75" x14ac:dyDescent="0.25">
      <c r="A2986" s="3" t="s">
        <v>26</v>
      </c>
      <c r="B2986" s="3" t="s">
        <v>27</v>
      </c>
      <c r="C2986" s="3" t="s">
        <v>28</v>
      </c>
      <c r="D2986" s="3" t="s">
        <v>50</v>
      </c>
      <c r="E2986" s="3" t="s">
        <v>147</v>
      </c>
      <c r="F2986" s="3" t="s">
        <v>52</v>
      </c>
      <c r="G2986" s="3" t="s">
        <v>147</v>
      </c>
      <c r="H2986" s="3" t="s">
        <v>45</v>
      </c>
      <c r="I2986" s="3">
        <v>2025</v>
      </c>
      <c r="J2986" s="3" t="str">
        <f>CONCATENATE("54820149455")</f>
        <v>54820149455</v>
      </c>
      <c r="K2986" s="3" t="s">
        <v>33</v>
      </c>
      <c r="L2986" s="3"/>
      <c r="M2986" s="3" t="s">
        <v>131</v>
      </c>
      <c r="N2986" s="3" t="str">
        <f>CONCATENATE("TLLCRN47H69E259R")</f>
        <v>TLLCRN47H69E259R</v>
      </c>
      <c r="O2986" s="3" t="s">
        <v>3112</v>
      </c>
      <c r="P2986" s="3" t="s">
        <v>36</v>
      </c>
      <c r="Q2986" s="3"/>
      <c r="R2986" s="4">
        <v>45996</v>
      </c>
      <c r="S2986" s="3" t="s">
        <v>37</v>
      </c>
      <c r="T2986" s="3" t="s">
        <v>38</v>
      </c>
      <c r="U2986" s="3" t="s">
        <v>39</v>
      </c>
      <c r="V2986" s="3">
        <v>203.1</v>
      </c>
      <c r="W2986" s="3">
        <v>86.32</v>
      </c>
      <c r="X2986" s="3">
        <v>81.75</v>
      </c>
      <c r="Y2986" s="3">
        <v>35.03</v>
      </c>
    </row>
    <row r="2987" spans="1:25" ht="60.75" x14ac:dyDescent="0.25">
      <c r="A2987" s="3" t="s">
        <v>26</v>
      </c>
      <c r="B2987" s="3" t="s">
        <v>27</v>
      </c>
      <c r="C2987" s="3" t="s">
        <v>28</v>
      </c>
      <c r="D2987" s="3" t="s">
        <v>50</v>
      </c>
      <c r="E2987" s="3" t="s">
        <v>147</v>
      </c>
      <c r="F2987" s="3" t="s">
        <v>52</v>
      </c>
      <c r="G2987" s="3" t="s">
        <v>147</v>
      </c>
      <c r="H2987" s="3" t="s">
        <v>45</v>
      </c>
      <c r="I2987" s="3">
        <v>2025</v>
      </c>
      <c r="J2987" s="3" t="str">
        <f>CONCATENATE("54820188677")</f>
        <v>54820188677</v>
      </c>
      <c r="K2987" s="3" t="s">
        <v>33</v>
      </c>
      <c r="L2987" s="3"/>
      <c r="M2987" s="3" t="s">
        <v>131</v>
      </c>
      <c r="N2987" s="3" t="str">
        <f>CONCATENATE("MTTDNL62M14L500Z")</f>
        <v>MTTDNL62M14L500Z</v>
      </c>
      <c r="O2987" s="3" t="s">
        <v>3113</v>
      </c>
      <c r="P2987" s="3" t="s">
        <v>36</v>
      </c>
      <c r="Q2987" s="3"/>
      <c r="R2987" s="4">
        <v>45996</v>
      </c>
      <c r="S2987" s="3" t="s">
        <v>37</v>
      </c>
      <c r="T2987" s="3" t="s">
        <v>38</v>
      </c>
      <c r="U2987" s="3" t="s">
        <v>39</v>
      </c>
      <c r="V2987" s="3">
        <v>365.85</v>
      </c>
      <c r="W2987" s="3">
        <v>155.49</v>
      </c>
      <c r="X2987" s="3">
        <v>147.25</v>
      </c>
      <c r="Y2987" s="3">
        <v>63.11</v>
      </c>
    </row>
    <row r="2988" spans="1:25" ht="60.75" x14ac:dyDescent="0.25">
      <c r="A2988" s="3" t="s">
        <v>26</v>
      </c>
      <c r="B2988" s="3" t="s">
        <v>27</v>
      </c>
      <c r="C2988" s="3" t="s">
        <v>28</v>
      </c>
      <c r="D2988" s="3" t="s">
        <v>29</v>
      </c>
      <c r="E2988" s="3" t="s">
        <v>136</v>
      </c>
      <c r="F2988" s="3" t="s">
        <v>31</v>
      </c>
      <c r="G2988" s="3" t="s">
        <v>136</v>
      </c>
      <c r="H2988" s="3" t="s">
        <v>48</v>
      </c>
      <c r="I2988" s="3">
        <v>2025</v>
      </c>
      <c r="J2988" s="3" t="str">
        <f>CONCATENATE("54820131990")</f>
        <v>54820131990</v>
      </c>
      <c r="K2988" s="3" t="s">
        <v>33</v>
      </c>
      <c r="L2988" s="3"/>
      <c r="M2988" s="3" t="s">
        <v>131</v>
      </c>
      <c r="N2988" s="3" t="str">
        <f>CONCATENATE("CCTCLD70E14I461L")</f>
        <v>CCTCLD70E14I461L</v>
      </c>
      <c r="O2988" s="3" t="s">
        <v>3114</v>
      </c>
      <c r="P2988" s="3" t="s">
        <v>36</v>
      </c>
      <c r="Q2988" s="3"/>
      <c r="R2988" s="4">
        <v>45996</v>
      </c>
      <c r="S2988" s="3" t="s">
        <v>37</v>
      </c>
      <c r="T2988" s="3" t="s">
        <v>38</v>
      </c>
      <c r="U2988" s="3" t="s">
        <v>39</v>
      </c>
      <c r="V2988" s="3">
        <v>335.97</v>
      </c>
      <c r="W2988" s="3">
        <v>142.79</v>
      </c>
      <c r="X2988" s="3">
        <v>135.22999999999999</v>
      </c>
      <c r="Y2988" s="3">
        <v>57.95</v>
      </c>
    </row>
    <row r="2989" spans="1:25" ht="60.75" x14ac:dyDescent="0.25">
      <c r="A2989" s="3" t="s">
        <v>26</v>
      </c>
      <c r="B2989" s="3" t="s">
        <v>27</v>
      </c>
      <c r="C2989" s="3" t="s">
        <v>28</v>
      </c>
      <c r="D2989" s="3" t="s">
        <v>29</v>
      </c>
      <c r="E2989" s="3" t="s">
        <v>56</v>
      </c>
      <c r="F2989" s="3" t="s">
        <v>31</v>
      </c>
      <c r="G2989" s="3" t="s">
        <v>56</v>
      </c>
      <c r="H2989" s="3" t="s">
        <v>32</v>
      </c>
      <c r="I2989" s="3">
        <v>2025</v>
      </c>
      <c r="J2989" s="3" t="str">
        <f>CONCATENATE("54820122403")</f>
        <v>54820122403</v>
      </c>
      <c r="K2989" s="3" t="s">
        <v>33</v>
      </c>
      <c r="L2989" s="3"/>
      <c r="M2989" s="3" t="s">
        <v>131</v>
      </c>
      <c r="N2989" s="3" t="str">
        <f>CONCATENATE("PMPMCL53D20G657L")</f>
        <v>PMPMCL53D20G657L</v>
      </c>
      <c r="O2989" s="3" t="s">
        <v>3115</v>
      </c>
      <c r="P2989" s="3" t="s">
        <v>36</v>
      </c>
      <c r="Q2989" s="3"/>
      <c r="R2989" s="4">
        <v>45996</v>
      </c>
      <c r="S2989" s="3" t="s">
        <v>37</v>
      </c>
      <c r="T2989" s="3" t="s">
        <v>38</v>
      </c>
      <c r="U2989" s="3" t="s">
        <v>39</v>
      </c>
      <c r="V2989" s="3">
        <v>140.57</v>
      </c>
      <c r="W2989" s="3">
        <v>59.74</v>
      </c>
      <c r="X2989" s="3">
        <v>56.58</v>
      </c>
      <c r="Y2989" s="3">
        <v>24.25</v>
      </c>
    </row>
    <row r="2990" spans="1:25" ht="60.75" x14ac:dyDescent="0.25">
      <c r="A2990" s="3" t="s">
        <v>26</v>
      </c>
      <c r="B2990" s="3" t="s">
        <v>27</v>
      </c>
      <c r="C2990" s="3" t="s">
        <v>28</v>
      </c>
      <c r="D2990" s="3" t="s">
        <v>40</v>
      </c>
      <c r="E2990" s="3" t="s">
        <v>122</v>
      </c>
      <c r="F2990" s="3" t="s">
        <v>42</v>
      </c>
      <c r="G2990" s="3" t="s">
        <v>122</v>
      </c>
      <c r="H2990" s="3" t="s">
        <v>32</v>
      </c>
      <c r="I2990" s="3">
        <v>2025</v>
      </c>
      <c r="J2990" s="3" t="str">
        <f>CONCATENATE("54820134655")</f>
        <v>54820134655</v>
      </c>
      <c r="K2990" s="3" t="s">
        <v>33</v>
      </c>
      <c r="L2990" s="3"/>
      <c r="M2990" s="3" t="s">
        <v>131</v>
      </c>
      <c r="N2990" s="3" t="str">
        <f>CONCATENATE("NTLMRA55B43I651Q")</f>
        <v>NTLMRA55B43I651Q</v>
      </c>
      <c r="O2990" s="3" t="s">
        <v>3116</v>
      </c>
      <c r="P2990" s="3" t="s">
        <v>36</v>
      </c>
      <c r="Q2990" s="3"/>
      <c r="R2990" s="4">
        <v>45996</v>
      </c>
      <c r="S2990" s="3" t="s">
        <v>37</v>
      </c>
      <c r="T2990" s="3" t="s">
        <v>38</v>
      </c>
      <c r="U2990" s="3" t="s">
        <v>39</v>
      </c>
      <c r="V2990" s="3">
        <v>310.39999999999998</v>
      </c>
      <c r="W2990" s="3">
        <v>131.91999999999999</v>
      </c>
      <c r="X2990" s="3">
        <v>124.94</v>
      </c>
      <c r="Y2990" s="3">
        <v>53.54</v>
      </c>
    </row>
    <row r="2991" spans="1:25" ht="60.75" x14ac:dyDescent="0.25">
      <c r="A2991" s="3" t="s">
        <v>26</v>
      </c>
      <c r="B2991" s="3" t="s">
        <v>27</v>
      </c>
      <c r="C2991" s="3" t="s">
        <v>28</v>
      </c>
      <c r="D2991" s="3" t="s">
        <v>50</v>
      </c>
      <c r="E2991" s="3" t="s">
        <v>147</v>
      </c>
      <c r="F2991" s="3" t="s">
        <v>52</v>
      </c>
      <c r="G2991" s="3" t="s">
        <v>147</v>
      </c>
      <c r="H2991" s="3" t="s">
        <v>45</v>
      </c>
      <c r="I2991" s="3">
        <v>2025</v>
      </c>
      <c r="J2991" s="3" t="str">
        <f>CONCATENATE("54820189188")</f>
        <v>54820189188</v>
      </c>
      <c r="K2991" s="3" t="s">
        <v>33</v>
      </c>
      <c r="L2991" s="3"/>
      <c r="M2991" s="3" t="s">
        <v>131</v>
      </c>
      <c r="N2991" s="3" t="str">
        <f>CONCATENATE("MZZCLR38T61I459L")</f>
        <v>MZZCLR38T61I459L</v>
      </c>
      <c r="O2991" s="3" t="s">
        <v>3117</v>
      </c>
      <c r="P2991" s="3" t="s">
        <v>36</v>
      </c>
      <c r="Q2991" s="3"/>
      <c r="R2991" s="4">
        <v>45996</v>
      </c>
      <c r="S2991" s="3" t="s">
        <v>37</v>
      </c>
      <c r="T2991" s="3" t="s">
        <v>38</v>
      </c>
      <c r="U2991" s="3" t="s">
        <v>39</v>
      </c>
      <c r="V2991" s="3">
        <v>274.39999999999998</v>
      </c>
      <c r="W2991" s="3">
        <v>116.62</v>
      </c>
      <c r="X2991" s="3">
        <v>110.45</v>
      </c>
      <c r="Y2991" s="3">
        <v>47.33</v>
      </c>
    </row>
    <row r="2992" spans="1:25" ht="72.75" x14ac:dyDescent="0.25">
      <c r="A2992" s="3" t="s">
        <v>26</v>
      </c>
      <c r="B2992" s="3" t="s">
        <v>27</v>
      </c>
      <c r="C2992" s="3" t="s">
        <v>28</v>
      </c>
      <c r="D2992" s="3" t="s">
        <v>50</v>
      </c>
      <c r="E2992" s="3" t="s">
        <v>51</v>
      </c>
      <c r="F2992" s="3" t="s">
        <v>52</v>
      </c>
      <c r="G2992" s="3" t="s">
        <v>51</v>
      </c>
      <c r="H2992" s="3" t="s">
        <v>48</v>
      </c>
      <c r="I2992" s="3">
        <v>2025</v>
      </c>
      <c r="J2992" s="3" t="str">
        <f>CONCATENATE("54820193677")</f>
        <v>54820193677</v>
      </c>
      <c r="K2992" s="3" t="s">
        <v>33</v>
      </c>
      <c r="L2992" s="3"/>
      <c r="M2992" s="3" t="s">
        <v>131</v>
      </c>
      <c r="N2992" s="3" t="str">
        <f>CONCATENATE("CNTVGL64R26D007O")</f>
        <v>CNTVGL64R26D007O</v>
      </c>
      <c r="O2992" s="3" t="s">
        <v>3118</v>
      </c>
      <c r="P2992" s="3" t="s">
        <v>36</v>
      </c>
      <c r="Q2992" s="3"/>
      <c r="R2992" s="4">
        <v>45996</v>
      </c>
      <c r="S2992" s="3" t="s">
        <v>37</v>
      </c>
      <c r="T2992" s="3" t="s">
        <v>38</v>
      </c>
      <c r="U2992" s="3" t="s">
        <v>39</v>
      </c>
      <c r="V2992" s="3">
        <v>944</v>
      </c>
      <c r="W2992" s="3">
        <v>401.2</v>
      </c>
      <c r="X2992" s="3">
        <v>379.96</v>
      </c>
      <c r="Y2992" s="3">
        <v>162.84</v>
      </c>
    </row>
    <row r="2993" spans="1:25" ht="72.75" x14ac:dyDescent="0.25">
      <c r="A2993" s="3" t="s">
        <v>26</v>
      </c>
      <c r="B2993" s="3" t="s">
        <v>27</v>
      </c>
      <c r="C2993" s="3" t="s">
        <v>28</v>
      </c>
      <c r="D2993" s="3" t="s">
        <v>40</v>
      </c>
      <c r="E2993" s="3" t="s">
        <v>54</v>
      </c>
      <c r="F2993" s="3" t="s">
        <v>42</v>
      </c>
      <c r="G2993" s="3" t="s">
        <v>54</v>
      </c>
      <c r="H2993" s="3" t="s">
        <v>45</v>
      </c>
      <c r="I2993" s="3">
        <v>2025</v>
      </c>
      <c r="J2993" s="3" t="str">
        <f>CONCATENATE("54820021647")</f>
        <v>54820021647</v>
      </c>
      <c r="K2993" s="3" t="s">
        <v>33</v>
      </c>
      <c r="L2993" s="3"/>
      <c r="M2993" s="3" t="s">
        <v>131</v>
      </c>
      <c r="N2993" s="3" t="str">
        <f>CONCATENATE("GVNFNC78R03D488G")</f>
        <v>GVNFNC78R03D488G</v>
      </c>
      <c r="O2993" s="3" t="s">
        <v>3119</v>
      </c>
      <c r="P2993" s="3" t="s">
        <v>36</v>
      </c>
      <c r="Q2993" s="3"/>
      <c r="R2993" s="4">
        <v>45996</v>
      </c>
      <c r="S2993" s="3" t="s">
        <v>37</v>
      </c>
      <c r="T2993" s="3" t="s">
        <v>38</v>
      </c>
      <c r="U2993" s="3" t="s">
        <v>39</v>
      </c>
      <c r="V2993" s="3">
        <v>395.9</v>
      </c>
      <c r="W2993" s="3">
        <v>168.26</v>
      </c>
      <c r="X2993" s="3">
        <v>159.35</v>
      </c>
      <c r="Y2993" s="3">
        <v>68.290000000000006</v>
      </c>
    </row>
    <row r="2994" spans="1:25" ht="60.75" x14ac:dyDescent="0.25">
      <c r="A2994" s="3" t="s">
        <v>26</v>
      </c>
      <c r="B2994" s="3" t="s">
        <v>27</v>
      </c>
      <c r="C2994" s="3" t="s">
        <v>28</v>
      </c>
      <c r="D2994" s="3" t="s">
        <v>50</v>
      </c>
      <c r="E2994" s="3" t="s">
        <v>252</v>
      </c>
      <c r="F2994" s="3" t="s">
        <v>52</v>
      </c>
      <c r="G2994" s="3" t="s">
        <v>252</v>
      </c>
      <c r="H2994" s="3" t="s">
        <v>45</v>
      </c>
      <c r="I2994" s="3">
        <v>2025</v>
      </c>
      <c r="J2994" s="3" t="str">
        <f>CONCATENATE("54820290663")</f>
        <v>54820290663</v>
      </c>
      <c r="K2994" s="3" t="s">
        <v>33</v>
      </c>
      <c r="L2994" s="3"/>
      <c r="M2994" s="3" t="s">
        <v>131</v>
      </c>
      <c r="N2994" s="3" t="str">
        <f>CONCATENATE("LSSLSN46M20D541W")</f>
        <v>LSSLSN46M20D541W</v>
      </c>
      <c r="O2994" s="3" t="s">
        <v>3120</v>
      </c>
      <c r="P2994" s="3" t="s">
        <v>36</v>
      </c>
      <c r="Q2994" s="3"/>
      <c r="R2994" s="4">
        <v>45996</v>
      </c>
      <c r="S2994" s="3" t="s">
        <v>37</v>
      </c>
      <c r="T2994" s="3" t="s">
        <v>38</v>
      </c>
      <c r="U2994" s="3" t="s">
        <v>39</v>
      </c>
      <c r="V2994" s="3">
        <v>53.59</v>
      </c>
      <c r="W2994" s="3">
        <v>22.78</v>
      </c>
      <c r="X2994" s="3">
        <v>21.57</v>
      </c>
      <c r="Y2994" s="3">
        <v>9.24</v>
      </c>
    </row>
    <row r="2995" spans="1:25" ht="72.75" x14ac:dyDescent="0.25">
      <c r="A2995" s="3" t="s">
        <v>26</v>
      </c>
      <c r="B2995" s="3" t="s">
        <v>27</v>
      </c>
      <c r="C2995" s="3" t="s">
        <v>28</v>
      </c>
      <c r="D2995" s="3" t="s">
        <v>50</v>
      </c>
      <c r="E2995" s="3" t="s">
        <v>51</v>
      </c>
      <c r="F2995" s="3" t="s">
        <v>52</v>
      </c>
      <c r="G2995" s="3" t="s">
        <v>51</v>
      </c>
      <c r="H2995" s="3" t="s">
        <v>48</v>
      </c>
      <c r="I2995" s="3">
        <v>2025</v>
      </c>
      <c r="J2995" s="3" t="str">
        <f>CONCATENATE("54820173224")</f>
        <v>54820173224</v>
      </c>
      <c r="K2995" s="3" t="s">
        <v>33</v>
      </c>
      <c r="L2995" s="3"/>
      <c r="M2995" s="3" t="s">
        <v>131</v>
      </c>
      <c r="N2995" s="3" t="str">
        <f>CONCATENATE("MNTMRN60P23A366D")</f>
        <v>MNTMRN60P23A366D</v>
      </c>
      <c r="O2995" s="3" t="s">
        <v>3121</v>
      </c>
      <c r="P2995" s="3" t="s">
        <v>36</v>
      </c>
      <c r="Q2995" s="3"/>
      <c r="R2995" s="4">
        <v>45996</v>
      </c>
      <c r="S2995" s="3" t="s">
        <v>37</v>
      </c>
      <c r="T2995" s="3" t="s">
        <v>38</v>
      </c>
      <c r="U2995" s="3" t="s">
        <v>39</v>
      </c>
      <c r="V2995" s="3">
        <v>218.02</v>
      </c>
      <c r="W2995" s="3">
        <v>92.66</v>
      </c>
      <c r="X2995" s="3">
        <v>87.75</v>
      </c>
      <c r="Y2995" s="3">
        <v>37.61</v>
      </c>
    </row>
    <row r="2996" spans="1:25" ht="72.75" x14ac:dyDescent="0.25">
      <c r="A2996" s="3" t="s">
        <v>26</v>
      </c>
      <c r="B2996" s="3" t="s">
        <v>27</v>
      </c>
      <c r="C2996" s="3" t="s">
        <v>28</v>
      </c>
      <c r="D2996" s="3" t="s">
        <v>50</v>
      </c>
      <c r="E2996" s="3" t="s">
        <v>51</v>
      </c>
      <c r="F2996" s="3" t="s">
        <v>52</v>
      </c>
      <c r="G2996" s="3" t="s">
        <v>51</v>
      </c>
      <c r="H2996" s="3" t="s">
        <v>48</v>
      </c>
      <c r="I2996" s="3">
        <v>2025</v>
      </c>
      <c r="J2996" s="3" t="str">
        <f>CONCATENATE("54820176201")</f>
        <v>54820176201</v>
      </c>
      <c r="K2996" s="3" t="s">
        <v>33</v>
      </c>
      <c r="L2996" s="3"/>
      <c r="M2996" s="3" t="s">
        <v>131</v>
      </c>
      <c r="N2996" s="3" t="str">
        <f>CONCATENATE("MRUSVT68R14A978E")</f>
        <v>MRUSVT68R14A978E</v>
      </c>
      <c r="O2996" s="3" t="s">
        <v>3122</v>
      </c>
      <c r="P2996" s="3" t="s">
        <v>36</v>
      </c>
      <c r="Q2996" s="3"/>
      <c r="R2996" s="4">
        <v>45996</v>
      </c>
      <c r="S2996" s="3" t="s">
        <v>37</v>
      </c>
      <c r="T2996" s="3" t="s">
        <v>38</v>
      </c>
      <c r="U2996" s="3" t="s">
        <v>39</v>
      </c>
      <c r="V2996" s="3">
        <v>708.88</v>
      </c>
      <c r="W2996" s="3">
        <v>301.27</v>
      </c>
      <c r="X2996" s="3">
        <v>285.32</v>
      </c>
      <c r="Y2996" s="3">
        <v>122.29</v>
      </c>
    </row>
    <row r="2997" spans="1:25" ht="60.75" x14ac:dyDescent="0.25">
      <c r="A2997" s="3" t="s">
        <v>26</v>
      </c>
      <c r="B2997" s="3" t="s">
        <v>27</v>
      </c>
      <c r="C2997" s="3" t="s">
        <v>28</v>
      </c>
      <c r="D2997" s="3" t="s">
        <v>29</v>
      </c>
      <c r="E2997" s="3" t="s">
        <v>47</v>
      </c>
      <c r="F2997" s="3" t="s">
        <v>31</v>
      </c>
      <c r="G2997" s="3" t="s">
        <v>47</v>
      </c>
      <c r="H2997" s="3" t="s">
        <v>48</v>
      </c>
      <c r="I2997" s="3">
        <v>2025</v>
      </c>
      <c r="J2997" s="3" t="str">
        <f>CONCATENATE("54820188107")</f>
        <v>54820188107</v>
      </c>
      <c r="K2997" s="3" t="s">
        <v>33</v>
      </c>
      <c r="L2997" s="3"/>
      <c r="M2997" s="3" t="s">
        <v>131</v>
      </c>
      <c r="N2997" s="3" t="str">
        <f>CONCATENATE("BCCSFN64L12D451T")</f>
        <v>BCCSFN64L12D451T</v>
      </c>
      <c r="O2997" s="3" t="s">
        <v>3123</v>
      </c>
      <c r="P2997" s="3" t="s">
        <v>36</v>
      </c>
      <c r="Q2997" s="3"/>
      <c r="R2997" s="4">
        <v>45996</v>
      </c>
      <c r="S2997" s="3" t="s">
        <v>37</v>
      </c>
      <c r="T2997" s="3" t="s">
        <v>38</v>
      </c>
      <c r="U2997" s="3" t="s">
        <v>39</v>
      </c>
      <c r="V2997" s="3">
        <v>125.92</v>
      </c>
      <c r="W2997" s="3">
        <v>53.52</v>
      </c>
      <c r="X2997" s="3">
        <v>50.68</v>
      </c>
      <c r="Y2997" s="3">
        <v>21.72</v>
      </c>
    </row>
    <row r="2998" spans="1:25" ht="36.75" x14ac:dyDescent="0.25">
      <c r="A2998" s="3" t="s">
        <v>26</v>
      </c>
      <c r="B2998" s="3" t="s">
        <v>27</v>
      </c>
      <c r="C2998" s="3" t="s">
        <v>28</v>
      </c>
      <c r="D2998" s="3" t="s">
        <v>29</v>
      </c>
      <c r="E2998" s="3" t="s">
        <v>56</v>
      </c>
      <c r="F2998" s="3" t="s">
        <v>31</v>
      </c>
      <c r="G2998" s="3" t="s">
        <v>56</v>
      </c>
      <c r="H2998" s="3" t="s">
        <v>32</v>
      </c>
      <c r="I2998" s="3">
        <v>2025</v>
      </c>
      <c r="J2998" s="3" t="str">
        <f>CONCATENATE("54820365721")</f>
        <v>54820365721</v>
      </c>
      <c r="K2998" s="3" t="s">
        <v>33</v>
      </c>
      <c r="L2998" s="3"/>
      <c r="M2998" s="3" t="s">
        <v>131</v>
      </c>
      <c r="N2998" s="3" t="str">
        <f>CONCATENATE("01936560430")</f>
        <v>01936560430</v>
      </c>
      <c r="O2998" s="3" t="s">
        <v>3124</v>
      </c>
      <c r="P2998" s="3" t="s">
        <v>36</v>
      </c>
      <c r="Q2998" s="3"/>
      <c r="R2998" s="4">
        <v>45996</v>
      </c>
      <c r="S2998" s="3" t="s">
        <v>37</v>
      </c>
      <c r="T2998" s="3" t="s">
        <v>38</v>
      </c>
      <c r="U2998" s="3" t="s">
        <v>39</v>
      </c>
      <c r="V2998" s="3">
        <v>698.3</v>
      </c>
      <c r="W2998" s="3">
        <v>296.77999999999997</v>
      </c>
      <c r="X2998" s="3">
        <v>281.07</v>
      </c>
      <c r="Y2998" s="3">
        <v>120.45</v>
      </c>
    </row>
    <row r="2999" spans="1:25" ht="60.75" x14ac:dyDescent="0.25">
      <c r="A2999" s="3" t="s">
        <v>26</v>
      </c>
      <c r="B2999" s="3" t="s">
        <v>27</v>
      </c>
      <c r="C2999" s="3" t="s">
        <v>28</v>
      </c>
      <c r="D2999" s="3" t="s">
        <v>29</v>
      </c>
      <c r="E2999" s="3" t="s">
        <v>47</v>
      </c>
      <c r="F2999" s="3" t="s">
        <v>31</v>
      </c>
      <c r="G2999" s="3" t="s">
        <v>47</v>
      </c>
      <c r="H2999" s="3" t="s">
        <v>48</v>
      </c>
      <c r="I2999" s="3">
        <v>2025</v>
      </c>
      <c r="J2999" s="3" t="str">
        <f>CONCATENATE("54820203146")</f>
        <v>54820203146</v>
      </c>
      <c r="K2999" s="3" t="s">
        <v>33</v>
      </c>
      <c r="L2999" s="3"/>
      <c r="M2999" s="3" t="s">
        <v>131</v>
      </c>
      <c r="N2999" s="3" t="str">
        <f>CONCATENATE("MNCNLT83A62D451T")</f>
        <v>MNCNLT83A62D451T</v>
      </c>
      <c r="O2999" s="3" t="s">
        <v>3125</v>
      </c>
      <c r="P2999" s="3" t="s">
        <v>36</v>
      </c>
      <c r="Q2999" s="3"/>
      <c r="R2999" s="4">
        <v>45996</v>
      </c>
      <c r="S2999" s="3" t="s">
        <v>37</v>
      </c>
      <c r="T2999" s="3" t="s">
        <v>38</v>
      </c>
      <c r="U2999" s="3" t="s">
        <v>39</v>
      </c>
      <c r="V2999" s="3">
        <v>104.83</v>
      </c>
      <c r="W2999" s="3">
        <v>44.55</v>
      </c>
      <c r="X2999" s="3">
        <v>42.19</v>
      </c>
      <c r="Y2999" s="3">
        <v>18.09</v>
      </c>
    </row>
    <row r="3000" spans="1:25" ht="60.75" x14ac:dyDescent="0.25">
      <c r="A3000" s="3" t="s">
        <v>26</v>
      </c>
      <c r="B3000" s="3" t="s">
        <v>27</v>
      </c>
      <c r="C3000" s="3" t="s">
        <v>28</v>
      </c>
      <c r="D3000" s="3" t="s">
        <v>50</v>
      </c>
      <c r="E3000" s="3" t="s">
        <v>60</v>
      </c>
      <c r="F3000" s="3" t="s">
        <v>52</v>
      </c>
      <c r="G3000" s="3" t="s">
        <v>60</v>
      </c>
      <c r="H3000" s="3" t="s">
        <v>45</v>
      </c>
      <c r="I3000" s="3">
        <v>2025</v>
      </c>
      <c r="J3000" s="3" t="str">
        <f>CONCATENATE("54820233333")</f>
        <v>54820233333</v>
      </c>
      <c r="K3000" s="3" t="s">
        <v>33</v>
      </c>
      <c r="L3000" s="3"/>
      <c r="M3000" s="3" t="s">
        <v>131</v>
      </c>
      <c r="N3000" s="3" t="str">
        <f>CONCATENATE("STRKST60P47Z112U")</f>
        <v>STRKST60P47Z112U</v>
      </c>
      <c r="O3000" s="3" t="s">
        <v>3126</v>
      </c>
      <c r="P3000" s="3" t="s">
        <v>36</v>
      </c>
      <c r="Q3000" s="3"/>
      <c r="R3000" s="4">
        <v>45996</v>
      </c>
      <c r="S3000" s="3" t="s">
        <v>37</v>
      </c>
      <c r="T3000" s="3" t="s">
        <v>38</v>
      </c>
      <c r="U3000" s="3" t="s">
        <v>39</v>
      </c>
      <c r="V3000" s="3">
        <v>206.41</v>
      </c>
      <c r="W3000" s="3">
        <v>87.72</v>
      </c>
      <c r="X3000" s="3">
        <v>83.08</v>
      </c>
      <c r="Y3000" s="3">
        <v>35.61</v>
      </c>
    </row>
    <row r="3001" spans="1:25" ht="60.75" x14ac:dyDescent="0.25">
      <c r="A3001" s="3" t="s">
        <v>26</v>
      </c>
      <c r="B3001" s="3" t="s">
        <v>27</v>
      </c>
      <c r="C3001" s="3" t="s">
        <v>28</v>
      </c>
      <c r="D3001" s="3" t="s">
        <v>29</v>
      </c>
      <c r="E3001" s="3" t="s">
        <v>182</v>
      </c>
      <c r="F3001" s="3" t="s">
        <v>31</v>
      </c>
      <c r="G3001" s="3" t="s">
        <v>182</v>
      </c>
      <c r="H3001" s="3" t="s">
        <v>45</v>
      </c>
      <c r="I3001" s="3">
        <v>2025</v>
      </c>
      <c r="J3001" s="3" t="str">
        <f>CONCATENATE("54820153200")</f>
        <v>54820153200</v>
      </c>
      <c r="K3001" s="3" t="s">
        <v>33</v>
      </c>
      <c r="L3001" s="3"/>
      <c r="M3001" s="3" t="s">
        <v>131</v>
      </c>
      <c r="N3001" s="3" t="str">
        <f>CONCATENATE("PRSNRC61A69L500U")</f>
        <v>PRSNRC61A69L500U</v>
      </c>
      <c r="O3001" s="3" t="s">
        <v>3127</v>
      </c>
      <c r="P3001" s="3" t="s">
        <v>36</v>
      </c>
      <c r="Q3001" s="3"/>
      <c r="R3001" s="4">
        <v>45996</v>
      </c>
      <c r="S3001" s="3" t="s">
        <v>37</v>
      </c>
      <c r="T3001" s="3" t="s">
        <v>38</v>
      </c>
      <c r="U3001" s="3" t="s">
        <v>39</v>
      </c>
      <c r="V3001" s="3">
        <v>149.9</v>
      </c>
      <c r="W3001" s="3">
        <v>63.71</v>
      </c>
      <c r="X3001" s="3">
        <v>60.33</v>
      </c>
      <c r="Y3001" s="3">
        <v>25.86</v>
      </c>
    </row>
    <row r="3002" spans="1:25" ht="36.75" x14ac:dyDescent="0.25">
      <c r="A3002" s="3" t="s">
        <v>26</v>
      </c>
      <c r="B3002" s="3" t="s">
        <v>27</v>
      </c>
      <c r="C3002" s="3" t="s">
        <v>28</v>
      </c>
      <c r="D3002" s="3" t="s">
        <v>29</v>
      </c>
      <c r="E3002" s="3" t="s">
        <v>47</v>
      </c>
      <c r="F3002" s="3" t="s">
        <v>31</v>
      </c>
      <c r="G3002" s="3" t="s">
        <v>47</v>
      </c>
      <c r="H3002" s="3" t="s">
        <v>48</v>
      </c>
      <c r="I3002" s="3">
        <v>2025</v>
      </c>
      <c r="J3002" s="3" t="str">
        <f>CONCATENATE("54820155270")</f>
        <v>54820155270</v>
      </c>
      <c r="K3002" s="3" t="s">
        <v>33</v>
      </c>
      <c r="L3002" s="3"/>
      <c r="M3002" s="3" t="s">
        <v>131</v>
      </c>
      <c r="N3002" s="3" t="str">
        <f>CONCATENATE("02711460424")</f>
        <v>02711460424</v>
      </c>
      <c r="O3002" s="3" t="s">
        <v>3128</v>
      </c>
      <c r="P3002" s="3" t="s">
        <v>36</v>
      </c>
      <c r="Q3002" s="3"/>
      <c r="R3002" s="4">
        <v>45996</v>
      </c>
      <c r="S3002" s="3" t="s">
        <v>37</v>
      </c>
      <c r="T3002" s="3" t="s">
        <v>38</v>
      </c>
      <c r="U3002" s="3" t="s">
        <v>39</v>
      </c>
      <c r="V3002" s="5">
        <v>1231.94</v>
      </c>
      <c r="W3002" s="3">
        <v>523.57000000000005</v>
      </c>
      <c r="X3002" s="3">
        <v>495.86</v>
      </c>
      <c r="Y3002" s="3">
        <v>212.51</v>
      </c>
    </row>
    <row r="3003" spans="1:25" ht="60.75" x14ac:dyDescent="0.25">
      <c r="A3003" s="3" t="s">
        <v>26</v>
      </c>
      <c r="B3003" s="3" t="s">
        <v>27</v>
      </c>
      <c r="C3003" s="3" t="s">
        <v>28</v>
      </c>
      <c r="D3003" s="3" t="s">
        <v>29</v>
      </c>
      <c r="E3003" s="3" t="s">
        <v>136</v>
      </c>
      <c r="F3003" s="3" t="s">
        <v>31</v>
      </c>
      <c r="G3003" s="3" t="s">
        <v>136</v>
      </c>
      <c r="H3003" s="3" t="s">
        <v>48</v>
      </c>
      <c r="I3003" s="3">
        <v>2025</v>
      </c>
      <c r="J3003" s="3" t="str">
        <f>CONCATENATE("54820155015")</f>
        <v>54820155015</v>
      </c>
      <c r="K3003" s="3" t="s">
        <v>33</v>
      </c>
      <c r="L3003" s="3"/>
      <c r="M3003" s="3" t="s">
        <v>131</v>
      </c>
      <c r="N3003" s="3" t="str">
        <f>CONCATENATE("CTCNZE47L08I461B")</f>
        <v>CTCNZE47L08I461B</v>
      </c>
      <c r="O3003" s="3" t="s">
        <v>3129</v>
      </c>
      <c r="P3003" s="3" t="s">
        <v>36</v>
      </c>
      <c r="Q3003" s="3"/>
      <c r="R3003" s="4">
        <v>45996</v>
      </c>
      <c r="S3003" s="3" t="s">
        <v>37</v>
      </c>
      <c r="T3003" s="3" t="s">
        <v>38</v>
      </c>
      <c r="U3003" s="3" t="s">
        <v>39</v>
      </c>
      <c r="V3003" s="3">
        <v>222.95</v>
      </c>
      <c r="W3003" s="3">
        <v>94.75</v>
      </c>
      <c r="X3003" s="3">
        <v>89.74</v>
      </c>
      <c r="Y3003" s="3">
        <v>38.46</v>
      </c>
    </row>
    <row r="3004" spans="1:25" ht="60.75" x14ac:dyDescent="0.25">
      <c r="A3004" s="3" t="s">
        <v>26</v>
      </c>
      <c r="B3004" s="3" t="s">
        <v>27</v>
      </c>
      <c r="C3004" s="3" t="s">
        <v>28</v>
      </c>
      <c r="D3004" s="3" t="s">
        <v>50</v>
      </c>
      <c r="E3004" s="3" t="s">
        <v>60</v>
      </c>
      <c r="F3004" s="3" t="s">
        <v>52</v>
      </c>
      <c r="G3004" s="3" t="s">
        <v>60</v>
      </c>
      <c r="H3004" s="3" t="s">
        <v>45</v>
      </c>
      <c r="I3004" s="3">
        <v>2025</v>
      </c>
      <c r="J3004" s="3" t="str">
        <f>CONCATENATE("54820153093")</f>
        <v>54820153093</v>
      </c>
      <c r="K3004" s="3" t="s">
        <v>33</v>
      </c>
      <c r="L3004" s="3"/>
      <c r="M3004" s="3" t="s">
        <v>131</v>
      </c>
      <c r="N3004" s="3" t="str">
        <f>CONCATENATE("DKRGTL85R62Z126L")</f>
        <v>DKRGTL85R62Z126L</v>
      </c>
      <c r="O3004" s="3" t="s">
        <v>3130</v>
      </c>
      <c r="P3004" s="3" t="s">
        <v>36</v>
      </c>
      <c r="Q3004" s="3"/>
      <c r="R3004" s="4">
        <v>45996</v>
      </c>
      <c r="S3004" s="3" t="s">
        <v>37</v>
      </c>
      <c r="T3004" s="3" t="s">
        <v>38</v>
      </c>
      <c r="U3004" s="3" t="s">
        <v>39</v>
      </c>
      <c r="V3004" s="3">
        <v>290.95</v>
      </c>
      <c r="W3004" s="3">
        <v>123.65</v>
      </c>
      <c r="X3004" s="3">
        <v>117.11</v>
      </c>
      <c r="Y3004" s="3">
        <v>50.19</v>
      </c>
    </row>
    <row r="3005" spans="1:25" ht="60.75" x14ac:dyDescent="0.25">
      <c r="A3005" s="3" t="s">
        <v>26</v>
      </c>
      <c r="B3005" s="3" t="s">
        <v>27</v>
      </c>
      <c r="C3005" s="3" t="s">
        <v>28</v>
      </c>
      <c r="D3005" s="3" t="s">
        <v>50</v>
      </c>
      <c r="E3005" s="3" t="s">
        <v>51</v>
      </c>
      <c r="F3005" s="3" t="s">
        <v>52</v>
      </c>
      <c r="G3005" s="3" t="s">
        <v>51</v>
      </c>
      <c r="H3005" s="3" t="s">
        <v>48</v>
      </c>
      <c r="I3005" s="3">
        <v>2025</v>
      </c>
      <c r="J3005" s="3" t="str">
        <f>CONCATENATE("54820109152")</f>
        <v>54820109152</v>
      </c>
      <c r="K3005" s="3" t="s">
        <v>33</v>
      </c>
      <c r="L3005" s="3"/>
      <c r="M3005" s="3" t="s">
        <v>131</v>
      </c>
      <c r="N3005" s="3" t="str">
        <f>CONCATENATE("PLCSRA88T70E388C")</f>
        <v>PLCSRA88T70E388C</v>
      </c>
      <c r="O3005" s="3" t="s">
        <v>3131</v>
      </c>
      <c r="P3005" s="3" t="s">
        <v>36</v>
      </c>
      <c r="Q3005" s="3"/>
      <c r="R3005" s="4">
        <v>45996</v>
      </c>
      <c r="S3005" s="3" t="s">
        <v>37</v>
      </c>
      <c r="T3005" s="3" t="s">
        <v>38</v>
      </c>
      <c r="U3005" s="3" t="s">
        <v>39</v>
      </c>
      <c r="V3005" s="3">
        <v>150.05000000000001</v>
      </c>
      <c r="W3005" s="3">
        <v>63.77</v>
      </c>
      <c r="X3005" s="3">
        <v>60.4</v>
      </c>
      <c r="Y3005" s="3">
        <v>25.88</v>
      </c>
    </row>
    <row r="3006" spans="1:25" ht="60.75" x14ac:dyDescent="0.25">
      <c r="A3006" s="3" t="s">
        <v>26</v>
      </c>
      <c r="B3006" s="3" t="s">
        <v>27</v>
      </c>
      <c r="C3006" s="3" t="s">
        <v>28</v>
      </c>
      <c r="D3006" s="3" t="s">
        <v>50</v>
      </c>
      <c r="E3006" s="3" t="s">
        <v>252</v>
      </c>
      <c r="F3006" s="3" t="s">
        <v>52</v>
      </c>
      <c r="G3006" s="3" t="s">
        <v>252</v>
      </c>
      <c r="H3006" s="3" t="s">
        <v>45</v>
      </c>
      <c r="I3006" s="3">
        <v>2025</v>
      </c>
      <c r="J3006" s="3" t="str">
        <f>CONCATENATE("54820187802")</f>
        <v>54820187802</v>
      </c>
      <c r="K3006" s="3" t="s">
        <v>33</v>
      </c>
      <c r="L3006" s="3"/>
      <c r="M3006" s="3" t="s">
        <v>131</v>
      </c>
      <c r="N3006" s="3" t="str">
        <f>CONCATENATE("PNNFBA82C26D749Z")</f>
        <v>PNNFBA82C26D749Z</v>
      </c>
      <c r="O3006" s="3" t="s">
        <v>3132</v>
      </c>
      <c r="P3006" s="3" t="s">
        <v>36</v>
      </c>
      <c r="Q3006" s="3"/>
      <c r="R3006" s="4">
        <v>45996</v>
      </c>
      <c r="S3006" s="3" t="s">
        <v>37</v>
      </c>
      <c r="T3006" s="3" t="s">
        <v>38</v>
      </c>
      <c r="U3006" s="3" t="s">
        <v>39</v>
      </c>
      <c r="V3006" s="3">
        <v>90.66</v>
      </c>
      <c r="W3006" s="3">
        <v>38.53</v>
      </c>
      <c r="X3006" s="3">
        <v>36.49</v>
      </c>
      <c r="Y3006" s="3">
        <v>15.64</v>
      </c>
    </row>
    <row r="3007" spans="1:25" ht="60.75" x14ac:dyDescent="0.25">
      <c r="A3007" s="3" t="s">
        <v>26</v>
      </c>
      <c r="B3007" s="3" t="s">
        <v>27</v>
      </c>
      <c r="C3007" s="3" t="s">
        <v>28</v>
      </c>
      <c r="D3007" s="3" t="s">
        <v>50</v>
      </c>
      <c r="E3007" s="3" t="s">
        <v>60</v>
      </c>
      <c r="F3007" s="3" t="s">
        <v>52</v>
      </c>
      <c r="G3007" s="3" t="s">
        <v>60</v>
      </c>
      <c r="H3007" s="3" t="s">
        <v>45</v>
      </c>
      <c r="I3007" s="3">
        <v>2025</v>
      </c>
      <c r="J3007" s="3" t="str">
        <f>CONCATENATE("54820105689")</f>
        <v>54820105689</v>
      </c>
      <c r="K3007" s="3" t="s">
        <v>33</v>
      </c>
      <c r="L3007" s="3"/>
      <c r="M3007" s="3" t="s">
        <v>131</v>
      </c>
      <c r="N3007" s="3" t="str">
        <f>CONCATENATE("BCCNLL45R29G453D")</f>
        <v>BCCNLL45R29G453D</v>
      </c>
      <c r="O3007" s="3" t="s">
        <v>3133</v>
      </c>
      <c r="P3007" s="3" t="s">
        <v>36</v>
      </c>
      <c r="Q3007" s="3"/>
      <c r="R3007" s="4">
        <v>45996</v>
      </c>
      <c r="S3007" s="3" t="s">
        <v>37</v>
      </c>
      <c r="T3007" s="3" t="s">
        <v>38</v>
      </c>
      <c r="U3007" s="3" t="s">
        <v>39</v>
      </c>
      <c r="V3007" s="3">
        <v>219.94</v>
      </c>
      <c r="W3007" s="3">
        <v>93.47</v>
      </c>
      <c r="X3007" s="3">
        <v>88.53</v>
      </c>
      <c r="Y3007" s="3">
        <v>37.94</v>
      </c>
    </row>
    <row r="3008" spans="1:25" ht="72.75" x14ac:dyDescent="0.25">
      <c r="A3008" s="3" t="s">
        <v>26</v>
      </c>
      <c r="B3008" s="3" t="s">
        <v>27</v>
      </c>
      <c r="C3008" s="3" t="s">
        <v>28</v>
      </c>
      <c r="D3008" s="3" t="s">
        <v>50</v>
      </c>
      <c r="E3008" s="3" t="s">
        <v>252</v>
      </c>
      <c r="F3008" s="3" t="s">
        <v>52</v>
      </c>
      <c r="G3008" s="3" t="s">
        <v>252</v>
      </c>
      <c r="H3008" s="3" t="s">
        <v>45</v>
      </c>
      <c r="I3008" s="3">
        <v>2025</v>
      </c>
      <c r="J3008" s="3" t="str">
        <f>CONCATENATE("54820181342")</f>
        <v>54820181342</v>
      </c>
      <c r="K3008" s="3" t="s">
        <v>33</v>
      </c>
      <c r="L3008" s="3"/>
      <c r="M3008" s="3" t="s">
        <v>131</v>
      </c>
      <c r="N3008" s="3" t="str">
        <f>CONCATENATE("MRNLNZ35M50F497F")</f>
        <v>MRNLNZ35M50F497F</v>
      </c>
      <c r="O3008" s="3" t="s">
        <v>3134</v>
      </c>
      <c r="P3008" s="3" t="s">
        <v>36</v>
      </c>
      <c r="Q3008" s="3"/>
      <c r="R3008" s="4">
        <v>45996</v>
      </c>
      <c r="S3008" s="3" t="s">
        <v>37</v>
      </c>
      <c r="T3008" s="3" t="s">
        <v>38</v>
      </c>
      <c r="U3008" s="3" t="s">
        <v>39</v>
      </c>
      <c r="V3008" s="3">
        <v>116.99</v>
      </c>
      <c r="W3008" s="3">
        <v>49.72</v>
      </c>
      <c r="X3008" s="3">
        <v>47.09</v>
      </c>
      <c r="Y3008" s="3">
        <v>20.18</v>
      </c>
    </row>
    <row r="3009" spans="1:25" ht="60.75" x14ac:dyDescent="0.25">
      <c r="A3009" s="3" t="s">
        <v>26</v>
      </c>
      <c r="B3009" s="3" t="s">
        <v>27</v>
      </c>
      <c r="C3009" s="3" t="s">
        <v>28</v>
      </c>
      <c r="D3009" s="3" t="s">
        <v>50</v>
      </c>
      <c r="E3009" s="3" t="s">
        <v>147</v>
      </c>
      <c r="F3009" s="3" t="s">
        <v>52</v>
      </c>
      <c r="G3009" s="3" t="s">
        <v>147</v>
      </c>
      <c r="H3009" s="3" t="s">
        <v>45</v>
      </c>
      <c r="I3009" s="3">
        <v>2025</v>
      </c>
      <c r="J3009" s="3" t="str">
        <f>CONCATENATE("54820192406")</f>
        <v>54820192406</v>
      </c>
      <c r="K3009" s="3" t="s">
        <v>33</v>
      </c>
      <c r="L3009" s="3"/>
      <c r="M3009" s="3" t="s">
        <v>131</v>
      </c>
      <c r="N3009" s="3" t="str">
        <f>CONCATENATE("BRGLDI48B59A493W")</f>
        <v>BRGLDI48B59A493W</v>
      </c>
      <c r="O3009" s="3" t="s">
        <v>3135</v>
      </c>
      <c r="P3009" s="3" t="s">
        <v>36</v>
      </c>
      <c r="Q3009" s="3"/>
      <c r="R3009" s="4">
        <v>45996</v>
      </c>
      <c r="S3009" s="3" t="s">
        <v>37</v>
      </c>
      <c r="T3009" s="3" t="s">
        <v>38</v>
      </c>
      <c r="U3009" s="3" t="s">
        <v>39</v>
      </c>
      <c r="V3009" s="3">
        <v>184.26</v>
      </c>
      <c r="W3009" s="3">
        <v>78.31</v>
      </c>
      <c r="X3009" s="3">
        <v>74.16</v>
      </c>
      <c r="Y3009" s="3">
        <v>31.79</v>
      </c>
    </row>
    <row r="3010" spans="1:25" ht="60.75" x14ac:dyDescent="0.25">
      <c r="A3010" s="3" t="s">
        <v>26</v>
      </c>
      <c r="B3010" s="3" t="s">
        <v>27</v>
      </c>
      <c r="C3010" s="3" t="s">
        <v>28</v>
      </c>
      <c r="D3010" s="3" t="s">
        <v>50</v>
      </c>
      <c r="E3010" s="3" t="s">
        <v>60</v>
      </c>
      <c r="F3010" s="3" t="s">
        <v>52</v>
      </c>
      <c r="G3010" s="3" t="s">
        <v>60</v>
      </c>
      <c r="H3010" s="3" t="s">
        <v>45</v>
      </c>
      <c r="I3010" s="3">
        <v>2025</v>
      </c>
      <c r="J3010" s="3" t="str">
        <f>CONCATENATE("54820117536")</f>
        <v>54820117536</v>
      </c>
      <c r="K3010" s="3" t="s">
        <v>33</v>
      </c>
      <c r="L3010" s="3"/>
      <c r="M3010" s="3" t="s">
        <v>131</v>
      </c>
      <c r="N3010" s="3" t="str">
        <f>CONCATENATE("RNZLFR70A66D749N")</f>
        <v>RNZLFR70A66D749N</v>
      </c>
      <c r="O3010" s="3" t="s">
        <v>3136</v>
      </c>
      <c r="P3010" s="3" t="s">
        <v>36</v>
      </c>
      <c r="Q3010" s="3"/>
      <c r="R3010" s="4">
        <v>45996</v>
      </c>
      <c r="S3010" s="3" t="s">
        <v>37</v>
      </c>
      <c r="T3010" s="3" t="s">
        <v>38</v>
      </c>
      <c r="U3010" s="3" t="s">
        <v>39</v>
      </c>
      <c r="V3010" s="3">
        <v>48.18</v>
      </c>
      <c r="W3010" s="3">
        <v>20.48</v>
      </c>
      <c r="X3010" s="3">
        <v>19.39</v>
      </c>
      <c r="Y3010" s="3">
        <v>8.31</v>
      </c>
    </row>
    <row r="3011" spans="1:25" ht="36.75" x14ac:dyDescent="0.25">
      <c r="A3011" s="3" t="s">
        <v>26</v>
      </c>
      <c r="B3011" s="3" t="s">
        <v>27</v>
      </c>
      <c r="C3011" s="3" t="s">
        <v>28</v>
      </c>
      <c r="D3011" s="3" t="s">
        <v>104</v>
      </c>
      <c r="E3011" s="3" t="s">
        <v>141</v>
      </c>
      <c r="F3011" s="3" t="s">
        <v>104</v>
      </c>
      <c r="G3011" s="3" t="s">
        <v>141</v>
      </c>
      <c r="H3011" s="3" t="s">
        <v>32</v>
      </c>
      <c r="I3011" s="3">
        <v>2025</v>
      </c>
      <c r="J3011" s="3" t="str">
        <f>CONCATENATE("54820117783")</f>
        <v>54820117783</v>
      </c>
      <c r="K3011" s="3" t="s">
        <v>33</v>
      </c>
      <c r="L3011" s="3"/>
      <c r="M3011" s="3" t="s">
        <v>131</v>
      </c>
      <c r="N3011" s="3" t="str">
        <f>CONCATENATE("02055080432")</f>
        <v>02055080432</v>
      </c>
      <c r="O3011" s="3" t="s">
        <v>3137</v>
      </c>
      <c r="P3011" s="3" t="s">
        <v>36</v>
      </c>
      <c r="Q3011" s="3"/>
      <c r="R3011" s="4">
        <v>45996</v>
      </c>
      <c r="S3011" s="3" t="s">
        <v>37</v>
      </c>
      <c r="T3011" s="3" t="s">
        <v>38</v>
      </c>
      <c r="U3011" s="3" t="s">
        <v>39</v>
      </c>
      <c r="V3011" s="3">
        <v>310.12</v>
      </c>
      <c r="W3011" s="3">
        <v>131.80000000000001</v>
      </c>
      <c r="X3011" s="3">
        <v>124.82</v>
      </c>
      <c r="Y3011" s="3">
        <v>53.5</v>
      </c>
    </row>
    <row r="3012" spans="1:25" ht="60.75" x14ac:dyDescent="0.25">
      <c r="A3012" s="3" t="s">
        <v>26</v>
      </c>
      <c r="B3012" s="3" t="s">
        <v>27</v>
      </c>
      <c r="C3012" s="3" t="s">
        <v>28</v>
      </c>
      <c r="D3012" s="3" t="s">
        <v>29</v>
      </c>
      <c r="E3012" s="3" t="s">
        <v>182</v>
      </c>
      <c r="F3012" s="3" t="s">
        <v>31</v>
      </c>
      <c r="G3012" s="3" t="s">
        <v>182</v>
      </c>
      <c r="H3012" s="3" t="s">
        <v>45</v>
      </c>
      <c r="I3012" s="3">
        <v>2025</v>
      </c>
      <c r="J3012" s="3" t="str">
        <f>CONCATENATE("54820106265")</f>
        <v>54820106265</v>
      </c>
      <c r="K3012" s="3" t="s">
        <v>33</v>
      </c>
      <c r="L3012" s="3"/>
      <c r="M3012" s="3" t="s">
        <v>131</v>
      </c>
      <c r="N3012" s="3" t="str">
        <f>CONCATENATE("DMNSFN70T27L500C")</f>
        <v>DMNSFN70T27L500C</v>
      </c>
      <c r="O3012" s="3" t="s">
        <v>3138</v>
      </c>
      <c r="P3012" s="3" t="s">
        <v>36</v>
      </c>
      <c r="Q3012" s="3"/>
      <c r="R3012" s="4">
        <v>45996</v>
      </c>
      <c r="S3012" s="3" t="s">
        <v>37</v>
      </c>
      <c r="T3012" s="3" t="s">
        <v>38</v>
      </c>
      <c r="U3012" s="3" t="s">
        <v>39</v>
      </c>
      <c r="V3012" s="3">
        <v>729.29</v>
      </c>
      <c r="W3012" s="3">
        <v>309.95</v>
      </c>
      <c r="X3012" s="3">
        <v>293.54000000000002</v>
      </c>
      <c r="Y3012" s="3">
        <v>125.8</v>
      </c>
    </row>
    <row r="3013" spans="1:25" ht="60.75" x14ac:dyDescent="0.25">
      <c r="A3013" s="3" t="s">
        <v>26</v>
      </c>
      <c r="B3013" s="3" t="s">
        <v>27</v>
      </c>
      <c r="C3013" s="3" t="s">
        <v>28</v>
      </c>
      <c r="D3013" s="3" t="s">
        <v>29</v>
      </c>
      <c r="E3013" s="3" t="s">
        <v>136</v>
      </c>
      <c r="F3013" s="3" t="s">
        <v>31</v>
      </c>
      <c r="G3013" s="3" t="s">
        <v>136</v>
      </c>
      <c r="H3013" s="3" t="s">
        <v>48</v>
      </c>
      <c r="I3013" s="3">
        <v>2025</v>
      </c>
      <c r="J3013" s="3" t="str">
        <f>CONCATENATE("54820115795")</f>
        <v>54820115795</v>
      </c>
      <c r="K3013" s="3" t="s">
        <v>33</v>
      </c>
      <c r="L3013" s="3"/>
      <c r="M3013" s="3" t="s">
        <v>131</v>
      </c>
      <c r="N3013" s="3" t="str">
        <f>CONCATENATE("NREMRA38E68A366N")</f>
        <v>NREMRA38E68A366N</v>
      </c>
      <c r="O3013" s="3" t="s">
        <v>3139</v>
      </c>
      <c r="P3013" s="3" t="s">
        <v>36</v>
      </c>
      <c r="Q3013" s="3"/>
      <c r="R3013" s="4">
        <v>45996</v>
      </c>
      <c r="S3013" s="3" t="s">
        <v>37</v>
      </c>
      <c r="T3013" s="3" t="s">
        <v>38</v>
      </c>
      <c r="U3013" s="3" t="s">
        <v>39</v>
      </c>
      <c r="V3013" s="3">
        <v>47.8</v>
      </c>
      <c r="W3013" s="3">
        <v>20.32</v>
      </c>
      <c r="X3013" s="3">
        <v>19.239999999999998</v>
      </c>
      <c r="Y3013" s="3">
        <v>8.24</v>
      </c>
    </row>
    <row r="3014" spans="1:25" ht="60.75" x14ac:dyDescent="0.25">
      <c r="A3014" s="3" t="s">
        <v>26</v>
      </c>
      <c r="B3014" s="3" t="s">
        <v>27</v>
      </c>
      <c r="C3014" s="3" t="s">
        <v>28</v>
      </c>
      <c r="D3014" s="3" t="s">
        <v>50</v>
      </c>
      <c r="E3014" s="3" t="s">
        <v>173</v>
      </c>
      <c r="F3014" s="3" t="s">
        <v>52</v>
      </c>
      <c r="G3014" s="3" t="s">
        <v>173</v>
      </c>
      <c r="H3014" s="3" t="s">
        <v>45</v>
      </c>
      <c r="I3014" s="3">
        <v>2025</v>
      </c>
      <c r="J3014" s="3" t="str">
        <f>CONCATENATE("54820083704")</f>
        <v>54820083704</v>
      </c>
      <c r="K3014" s="3" t="s">
        <v>33</v>
      </c>
      <c r="L3014" s="3"/>
      <c r="M3014" s="3" t="s">
        <v>131</v>
      </c>
      <c r="N3014" s="3" t="str">
        <f>CONCATENATE("VRGGNN55A23G627T")</f>
        <v>VRGGNN55A23G627T</v>
      </c>
      <c r="O3014" s="3" t="s">
        <v>3140</v>
      </c>
      <c r="P3014" s="3" t="s">
        <v>36</v>
      </c>
      <c r="Q3014" s="3"/>
      <c r="R3014" s="4">
        <v>45996</v>
      </c>
      <c r="S3014" s="3" t="s">
        <v>37</v>
      </c>
      <c r="T3014" s="3" t="s">
        <v>38</v>
      </c>
      <c r="U3014" s="3" t="s">
        <v>39</v>
      </c>
      <c r="V3014" s="3">
        <v>87.07</v>
      </c>
      <c r="W3014" s="3">
        <v>37</v>
      </c>
      <c r="X3014" s="3">
        <v>35.049999999999997</v>
      </c>
      <c r="Y3014" s="3">
        <v>15.02</v>
      </c>
    </row>
    <row r="3015" spans="1:25" ht="36.75" x14ac:dyDescent="0.25">
      <c r="A3015" s="3" t="s">
        <v>26</v>
      </c>
      <c r="B3015" s="3" t="s">
        <v>27</v>
      </c>
      <c r="C3015" s="3" t="s">
        <v>28</v>
      </c>
      <c r="D3015" s="3" t="s">
        <v>29</v>
      </c>
      <c r="E3015" s="3" t="s">
        <v>56</v>
      </c>
      <c r="F3015" s="3" t="s">
        <v>31</v>
      </c>
      <c r="G3015" s="3" t="s">
        <v>56</v>
      </c>
      <c r="H3015" s="3" t="s">
        <v>32</v>
      </c>
      <c r="I3015" s="3">
        <v>2025</v>
      </c>
      <c r="J3015" s="3" t="str">
        <f>CONCATENATE("54820161807")</f>
        <v>54820161807</v>
      </c>
      <c r="K3015" s="3" t="s">
        <v>33</v>
      </c>
      <c r="L3015" s="3"/>
      <c r="M3015" s="3" t="s">
        <v>131</v>
      </c>
      <c r="N3015" s="3" t="str">
        <f>CONCATENATE("00327410429")</f>
        <v>00327410429</v>
      </c>
      <c r="O3015" s="3" t="s">
        <v>3141</v>
      </c>
      <c r="P3015" s="3" t="s">
        <v>36</v>
      </c>
      <c r="Q3015" s="3"/>
      <c r="R3015" s="4">
        <v>45996</v>
      </c>
      <c r="S3015" s="3" t="s">
        <v>37</v>
      </c>
      <c r="T3015" s="3" t="s">
        <v>38</v>
      </c>
      <c r="U3015" s="3" t="s">
        <v>39</v>
      </c>
      <c r="V3015" s="3">
        <v>101.91</v>
      </c>
      <c r="W3015" s="3">
        <v>43.31</v>
      </c>
      <c r="X3015" s="3">
        <v>41.02</v>
      </c>
      <c r="Y3015" s="3">
        <v>17.579999999999998</v>
      </c>
    </row>
    <row r="3016" spans="1:25" ht="60.75" x14ac:dyDescent="0.25">
      <c r="A3016" s="3" t="s">
        <v>26</v>
      </c>
      <c r="B3016" s="3" t="s">
        <v>27</v>
      </c>
      <c r="C3016" s="3" t="s">
        <v>28</v>
      </c>
      <c r="D3016" s="3" t="s">
        <v>29</v>
      </c>
      <c r="E3016" s="3" t="s">
        <v>182</v>
      </c>
      <c r="F3016" s="3" t="s">
        <v>31</v>
      </c>
      <c r="G3016" s="3" t="s">
        <v>182</v>
      </c>
      <c r="H3016" s="3" t="s">
        <v>45</v>
      </c>
      <c r="I3016" s="3">
        <v>2025</v>
      </c>
      <c r="J3016" s="3" t="str">
        <f>CONCATENATE("54820145511")</f>
        <v>54820145511</v>
      </c>
      <c r="K3016" s="3" t="s">
        <v>33</v>
      </c>
      <c r="L3016" s="3"/>
      <c r="M3016" s="3" t="s">
        <v>131</v>
      </c>
      <c r="N3016" s="3" t="str">
        <f>CONCATENATE("LGIFNC54B13D749W")</f>
        <v>LGIFNC54B13D749W</v>
      </c>
      <c r="O3016" s="3" t="s">
        <v>3142</v>
      </c>
      <c r="P3016" s="3" t="s">
        <v>36</v>
      </c>
      <c r="Q3016" s="3"/>
      <c r="R3016" s="4">
        <v>45996</v>
      </c>
      <c r="S3016" s="3" t="s">
        <v>37</v>
      </c>
      <c r="T3016" s="3" t="s">
        <v>38</v>
      </c>
      <c r="U3016" s="3" t="s">
        <v>39</v>
      </c>
      <c r="V3016" s="3">
        <v>261.01</v>
      </c>
      <c r="W3016" s="3">
        <v>110.93</v>
      </c>
      <c r="X3016" s="3">
        <v>105.06</v>
      </c>
      <c r="Y3016" s="3">
        <v>45.02</v>
      </c>
    </row>
    <row r="3017" spans="1:25" ht="60.75" x14ac:dyDescent="0.25">
      <c r="A3017" s="3" t="s">
        <v>26</v>
      </c>
      <c r="B3017" s="3" t="s">
        <v>27</v>
      </c>
      <c r="C3017" s="3" t="s">
        <v>28</v>
      </c>
      <c r="D3017" s="3" t="s">
        <v>29</v>
      </c>
      <c r="E3017" s="3" t="s">
        <v>72</v>
      </c>
      <c r="F3017" s="3" t="s">
        <v>31</v>
      </c>
      <c r="G3017" s="3" t="s">
        <v>72</v>
      </c>
      <c r="H3017" s="3" t="s">
        <v>45</v>
      </c>
      <c r="I3017" s="3">
        <v>2025</v>
      </c>
      <c r="J3017" s="3" t="str">
        <f>CONCATENATE("54820176631")</f>
        <v>54820176631</v>
      </c>
      <c r="K3017" s="3" t="s">
        <v>33</v>
      </c>
      <c r="L3017" s="3"/>
      <c r="M3017" s="3" t="s">
        <v>131</v>
      </c>
      <c r="N3017" s="3" t="str">
        <f>CONCATENATE("PZZRCR69C01Z120R")</f>
        <v>PZZRCR69C01Z120R</v>
      </c>
      <c r="O3017" s="3" t="s">
        <v>192</v>
      </c>
      <c r="P3017" s="3" t="s">
        <v>36</v>
      </c>
      <c r="Q3017" s="3"/>
      <c r="R3017" s="4">
        <v>45996</v>
      </c>
      <c r="S3017" s="3" t="s">
        <v>37</v>
      </c>
      <c r="T3017" s="3" t="s">
        <v>38</v>
      </c>
      <c r="U3017" s="3" t="s">
        <v>39</v>
      </c>
      <c r="V3017" s="3">
        <v>291.60000000000002</v>
      </c>
      <c r="W3017" s="3">
        <v>123.93</v>
      </c>
      <c r="X3017" s="3">
        <v>117.37</v>
      </c>
      <c r="Y3017" s="3">
        <v>50.3</v>
      </c>
    </row>
    <row r="3018" spans="1:25" ht="60.75" x14ac:dyDescent="0.25">
      <c r="A3018" s="3" t="s">
        <v>26</v>
      </c>
      <c r="B3018" s="3" t="s">
        <v>27</v>
      </c>
      <c r="C3018" s="3" t="s">
        <v>28</v>
      </c>
      <c r="D3018" s="3" t="s">
        <v>50</v>
      </c>
      <c r="E3018" s="3" t="s">
        <v>252</v>
      </c>
      <c r="F3018" s="3" t="s">
        <v>52</v>
      </c>
      <c r="G3018" s="3" t="s">
        <v>252</v>
      </c>
      <c r="H3018" s="3" t="s">
        <v>45</v>
      </c>
      <c r="I3018" s="3">
        <v>2025</v>
      </c>
      <c r="J3018" s="3" t="str">
        <f>CONCATENATE("54820188081")</f>
        <v>54820188081</v>
      </c>
      <c r="K3018" s="3" t="s">
        <v>33</v>
      </c>
      <c r="L3018" s="3"/>
      <c r="M3018" s="3" t="s">
        <v>131</v>
      </c>
      <c r="N3018" s="3" t="str">
        <f>CONCATENATE("CCHSRG42H14D749J")</f>
        <v>CCHSRG42H14D749J</v>
      </c>
      <c r="O3018" s="3" t="s">
        <v>3143</v>
      </c>
      <c r="P3018" s="3" t="s">
        <v>36</v>
      </c>
      <c r="Q3018" s="3"/>
      <c r="R3018" s="4">
        <v>45996</v>
      </c>
      <c r="S3018" s="3" t="s">
        <v>37</v>
      </c>
      <c r="T3018" s="3" t="s">
        <v>38</v>
      </c>
      <c r="U3018" s="3" t="s">
        <v>39</v>
      </c>
      <c r="V3018" s="3">
        <v>142.6</v>
      </c>
      <c r="W3018" s="3">
        <v>60.61</v>
      </c>
      <c r="X3018" s="3">
        <v>57.4</v>
      </c>
      <c r="Y3018" s="3">
        <v>24.59</v>
      </c>
    </row>
    <row r="3019" spans="1:25" ht="60.75" x14ac:dyDescent="0.25">
      <c r="A3019" s="3" t="s">
        <v>26</v>
      </c>
      <c r="B3019" s="3" t="s">
        <v>27</v>
      </c>
      <c r="C3019" s="3" t="s">
        <v>28</v>
      </c>
      <c r="D3019" s="3" t="s">
        <v>29</v>
      </c>
      <c r="E3019" s="3" t="s">
        <v>47</v>
      </c>
      <c r="F3019" s="3" t="s">
        <v>31</v>
      </c>
      <c r="G3019" s="3" t="s">
        <v>47</v>
      </c>
      <c r="H3019" s="3" t="s">
        <v>48</v>
      </c>
      <c r="I3019" s="3">
        <v>2025</v>
      </c>
      <c r="J3019" s="3" t="str">
        <f>CONCATENATE("54820131719")</f>
        <v>54820131719</v>
      </c>
      <c r="K3019" s="3" t="s">
        <v>33</v>
      </c>
      <c r="L3019" s="3"/>
      <c r="M3019" s="3" t="s">
        <v>131</v>
      </c>
      <c r="N3019" s="3" t="str">
        <f>CONCATENATE("DLCGPP38C04C524Y")</f>
        <v>DLCGPP38C04C524Y</v>
      </c>
      <c r="O3019" s="3" t="s">
        <v>3144</v>
      </c>
      <c r="P3019" s="3" t="s">
        <v>36</v>
      </c>
      <c r="Q3019" s="3"/>
      <c r="R3019" s="4">
        <v>45996</v>
      </c>
      <c r="S3019" s="3" t="s">
        <v>37</v>
      </c>
      <c r="T3019" s="3" t="s">
        <v>38</v>
      </c>
      <c r="U3019" s="3" t="s">
        <v>39</v>
      </c>
      <c r="V3019" s="3">
        <v>74.94</v>
      </c>
      <c r="W3019" s="3">
        <v>31.85</v>
      </c>
      <c r="X3019" s="3">
        <v>30.16</v>
      </c>
      <c r="Y3019" s="3">
        <v>12.93</v>
      </c>
    </row>
    <row r="3020" spans="1:25" ht="60.75" x14ac:dyDescent="0.25">
      <c r="A3020" s="3" t="s">
        <v>26</v>
      </c>
      <c r="B3020" s="3" t="s">
        <v>27</v>
      </c>
      <c r="C3020" s="3" t="s">
        <v>28</v>
      </c>
      <c r="D3020" s="3" t="s">
        <v>29</v>
      </c>
      <c r="E3020" s="3" t="s">
        <v>72</v>
      </c>
      <c r="F3020" s="3" t="s">
        <v>31</v>
      </c>
      <c r="G3020" s="3" t="s">
        <v>72</v>
      </c>
      <c r="H3020" s="3" t="s">
        <v>45</v>
      </c>
      <c r="I3020" s="3">
        <v>2025</v>
      </c>
      <c r="J3020" s="3" t="str">
        <f>CONCATENATE("54820076104")</f>
        <v>54820076104</v>
      </c>
      <c r="K3020" s="3" t="s">
        <v>33</v>
      </c>
      <c r="L3020" s="3"/>
      <c r="M3020" s="3" t="s">
        <v>131</v>
      </c>
      <c r="N3020" s="3" t="str">
        <f>CONCATENATE("BRZMHL90M09B352C")</f>
        <v>BRZMHL90M09B352C</v>
      </c>
      <c r="O3020" s="3" t="s">
        <v>3145</v>
      </c>
      <c r="P3020" s="3" t="s">
        <v>36</v>
      </c>
      <c r="Q3020" s="3"/>
      <c r="R3020" s="4">
        <v>45996</v>
      </c>
      <c r="S3020" s="3" t="s">
        <v>37</v>
      </c>
      <c r="T3020" s="3" t="s">
        <v>38</v>
      </c>
      <c r="U3020" s="3" t="s">
        <v>39</v>
      </c>
      <c r="V3020" s="5">
        <v>1015.6</v>
      </c>
      <c r="W3020" s="3">
        <v>431.63</v>
      </c>
      <c r="X3020" s="3">
        <v>408.78</v>
      </c>
      <c r="Y3020" s="3">
        <v>175.19</v>
      </c>
    </row>
    <row r="3021" spans="1:25" ht="60.75" x14ac:dyDescent="0.25">
      <c r="A3021" s="3" t="s">
        <v>26</v>
      </c>
      <c r="B3021" s="3" t="s">
        <v>27</v>
      </c>
      <c r="C3021" s="3" t="s">
        <v>28</v>
      </c>
      <c r="D3021" s="3" t="s">
        <v>29</v>
      </c>
      <c r="E3021" s="3" t="s">
        <v>47</v>
      </c>
      <c r="F3021" s="3" t="s">
        <v>31</v>
      </c>
      <c r="G3021" s="3" t="s">
        <v>47</v>
      </c>
      <c r="H3021" s="3" t="s">
        <v>48</v>
      </c>
      <c r="I3021" s="3">
        <v>2025</v>
      </c>
      <c r="J3021" s="3" t="str">
        <f>CONCATENATE("54820044607")</f>
        <v>54820044607</v>
      </c>
      <c r="K3021" s="3" t="s">
        <v>33</v>
      </c>
      <c r="L3021" s="3"/>
      <c r="M3021" s="3" t="s">
        <v>131</v>
      </c>
      <c r="N3021" s="3" t="str">
        <f>CONCATENATE("TRNLDI40H70D451Y")</f>
        <v>TRNLDI40H70D451Y</v>
      </c>
      <c r="O3021" s="3" t="s">
        <v>3146</v>
      </c>
      <c r="P3021" s="3" t="s">
        <v>36</v>
      </c>
      <c r="Q3021" s="3"/>
      <c r="R3021" s="4">
        <v>45996</v>
      </c>
      <c r="S3021" s="3" t="s">
        <v>37</v>
      </c>
      <c r="T3021" s="3" t="s">
        <v>38</v>
      </c>
      <c r="U3021" s="3" t="s">
        <v>39</v>
      </c>
      <c r="V3021" s="3">
        <v>62.45</v>
      </c>
      <c r="W3021" s="3">
        <v>26.54</v>
      </c>
      <c r="X3021" s="3">
        <v>25.14</v>
      </c>
      <c r="Y3021" s="3">
        <v>10.77</v>
      </c>
    </row>
    <row r="3022" spans="1:25" ht="60.75" x14ac:dyDescent="0.25">
      <c r="A3022" s="3" t="s">
        <v>26</v>
      </c>
      <c r="B3022" s="3" t="s">
        <v>27</v>
      </c>
      <c r="C3022" s="3" t="s">
        <v>28</v>
      </c>
      <c r="D3022" s="3" t="s">
        <v>29</v>
      </c>
      <c r="E3022" s="3" t="s">
        <v>47</v>
      </c>
      <c r="F3022" s="3" t="s">
        <v>31</v>
      </c>
      <c r="G3022" s="3" t="s">
        <v>47</v>
      </c>
      <c r="H3022" s="3" t="s">
        <v>48</v>
      </c>
      <c r="I3022" s="3">
        <v>2025</v>
      </c>
      <c r="J3022" s="3" t="str">
        <f>CONCATENATE("54820029962")</f>
        <v>54820029962</v>
      </c>
      <c r="K3022" s="3" t="s">
        <v>33</v>
      </c>
      <c r="L3022" s="3"/>
      <c r="M3022" s="3" t="s">
        <v>131</v>
      </c>
      <c r="N3022" s="3" t="str">
        <f>CONCATENATE("MNCLCN72E20I461P")</f>
        <v>MNCLCN72E20I461P</v>
      </c>
      <c r="O3022" s="3" t="s">
        <v>3147</v>
      </c>
      <c r="P3022" s="3" t="s">
        <v>36</v>
      </c>
      <c r="Q3022" s="3"/>
      <c r="R3022" s="4">
        <v>45996</v>
      </c>
      <c r="S3022" s="3" t="s">
        <v>37</v>
      </c>
      <c r="T3022" s="3" t="s">
        <v>38</v>
      </c>
      <c r="U3022" s="3" t="s">
        <v>39</v>
      </c>
      <c r="V3022" s="3">
        <v>519.6</v>
      </c>
      <c r="W3022" s="3">
        <v>220.83</v>
      </c>
      <c r="X3022" s="3">
        <v>209.14</v>
      </c>
      <c r="Y3022" s="3">
        <v>89.63</v>
      </c>
    </row>
    <row r="3023" spans="1:25" ht="72.75" x14ac:dyDescent="0.25">
      <c r="A3023" s="3" t="s">
        <v>26</v>
      </c>
      <c r="B3023" s="3" t="s">
        <v>27</v>
      </c>
      <c r="C3023" s="3" t="s">
        <v>28</v>
      </c>
      <c r="D3023" s="3" t="s">
        <v>91</v>
      </c>
      <c r="E3023" s="3" t="s">
        <v>95</v>
      </c>
      <c r="F3023" s="3" t="s">
        <v>93</v>
      </c>
      <c r="G3023" s="3" t="s">
        <v>95</v>
      </c>
      <c r="H3023" s="3" t="s">
        <v>96</v>
      </c>
      <c r="I3023" s="3">
        <v>2025</v>
      </c>
      <c r="J3023" s="3" t="str">
        <f>CONCATENATE("54820069463")</f>
        <v>54820069463</v>
      </c>
      <c r="K3023" s="3" t="s">
        <v>33</v>
      </c>
      <c r="L3023" s="3"/>
      <c r="M3023" s="3" t="s">
        <v>131</v>
      </c>
      <c r="N3023" s="3" t="str">
        <f>CONCATENATE("CPPNDR83H18D542O")</f>
        <v>CPPNDR83H18D542O</v>
      </c>
      <c r="O3023" s="3" t="s">
        <v>3148</v>
      </c>
      <c r="P3023" s="3" t="s">
        <v>36</v>
      </c>
      <c r="Q3023" s="3"/>
      <c r="R3023" s="4">
        <v>45996</v>
      </c>
      <c r="S3023" s="3" t="s">
        <v>37</v>
      </c>
      <c r="T3023" s="3" t="s">
        <v>38</v>
      </c>
      <c r="U3023" s="3" t="s">
        <v>39</v>
      </c>
      <c r="V3023" s="3">
        <v>186.45</v>
      </c>
      <c r="W3023" s="3">
        <v>79.239999999999995</v>
      </c>
      <c r="X3023" s="3">
        <v>75.05</v>
      </c>
      <c r="Y3023" s="3">
        <v>32.159999999999997</v>
      </c>
    </row>
    <row r="3024" spans="1:25" ht="60.75" x14ac:dyDescent="0.25">
      <c r="A3024" s="3" t="s">
        <v>26</v>
      </c>
      <c r="B3024" s="3" t="s">
        <v>27</v>
      </c>
      <c r="C3024" s="3" t="s">
        <v>28</v>
      </c>
      <c r="D3024" s="3" t="s">
        <v>50</v>
      </c>
      <c r="E3024" s="3" t="s">
        <v>60</v>
      </c>
      <c r="F3024" s="3" t="s">
        <v>52</v>
      </c>
      <c r="G3024" s="3" t="s">
        <v>60</v>
      </c>
      <c r="H3024" s="3" t="s">
        <v>45</v>
      </c>
      <c r="I3024" s="3">
        <v>2025</v>
      </c>
      <c r="J3024" s="3" t="str">
        <f>CONCATENATE("54820094248")</f>
        <v>54820094248</v>
      </c>
      <c r="K3024" s="3" t="s">
        <v>33</v>
      </c>
      <c r="L3024" s="3"/>
      <c r="M3024" s="3" t="s">
        <v>131</v>
      </c>
      <c r="N3024" s="3" t="str">
        <f>CONCATENATE("SNTGBR57H19B636Z")</f>
        <v>SNTGBR57H19B636Z</v>
      </c>
      <c r="O3024" s="3" t="s">
        <v>3149</v>
      </c>
      <c r="P3024" s="3" t="s">
        <v>36</v>
      </c>
      <c r="Q3024" s="3"/>
      <c r="R3024" s="4">
        <v>45996</v>
      </c>
      <c r="S3024" s="3" t="s">
        <v>37</v>
      </c>
      <c r="T3024" s="3" t="s">
        <v>38</v>
      </c>
      <c r="U3024" s="3" t="s">
        <v>39</v>
      </c>
      <c r="V3024" s="3">
        <v>105.27</v>
      </c>
      <c r="W3024" s="3">
        <v>44.74</v>
      </c>
      <c r="X3024" s="3">
        <v>42.37</v>
      </c>
      <c r="Y3024" s="3">
        <v>18.16</v>
      </c>
    </row>
    <row r="3025" spans="1:25" ht="72.75" x14ac:dyDescent="0.25">
      <c r="A3025" s="3" t="s">
        <v>26</v>
      </c>
      <c r="B3025" s="3" t="s">
        <v>27</v>
      </c>
      <c r="C3025" s="3" t="s">
        <v>28</v>
      </c>
      <c r="D3025" s="3" t="s">
        <v>29</v>
      </c>
      <c r="E3025" s="3" t="s">
        <v>119</v>
      </c>
      <c r="F3025" s="3" t="s">
        <v>31</v>
      </c>
      <c r="G3025" s="3" t="s">
        <v>119</v>
      </c>
      <c r="H3025" s="3" t="s">
        <v>96</v>
      </c>
      <c r="I3025" s="3">
        <v>2025</v>
      </c>
      <c r="J3025" s="3" t="str">
        <f>CONCATENATE("54820032073")</f>
        <v>54820032073</v>
      </c>
      <c r="K3025" s="3" t="s">
        <v>33</v>
      </c>
      <c r="L3025" s="3"/>
      <c r="M3025" s="3" t="s">
        <v>131</v>
      </c>
      <c r="N3025" s="3" t="str">
        <f>CONCATENATE("GRCFDN69H26D691R")</f>
        <v>GRCFDN69H26D691R</v>
      </c>
      <c r="O3025" s="3" t="s">
        <v>3150</v>
      </c>
      <c r="P3025" s="3" t="s">
        <v>36</v>
      </c>
      <c r="Q3025" s="3"/>
      <c r="R3025" s="4">
        <v>45996</v>
      </c>
      <c r="S3025" s="3" t="s">
        <v>37</v>
      </c>
      <c r="T3025" s="3" t="s">
        <v>38</v>
      </c>
      <c r="U3025" s="3" t="s">
        <v>39</v>
      </c>
      <c r="V3025" s="3">
        <v>134.54</v>
      </c>
      <c r="W3025" s="3">
        <v>57.18</v>
      </c>
      <c r="X3025" s="3">
        <v>54.15</v>
      </c>
      <c r="Y3025" s="3">
        <v>23.21</v>
      </c>
    </row>
    <row r="3026" spans="1:25" ht="60.75" x14ac:dyDescent="0.25">
      <c r="A3026" s="3" t="s">
        <v>26</v>
      </c>
      <c r="B3026" s="3" t="s">
        <v>27</v>
      </c>
      <c r="C3026" s="3" t="s">
        <v>28</v>
      </c>
      <c r="D3026" s="3" t="s">
        <v>29</v>
      </c>
      <c r="E3026" s="3" t="s">
        <v>186</v>
      </c>
      <c r="F3026" s="3" t="s">
        <v>31</v>
      </c>
      <c r="G3026" s="3" t="s">
        <v>186</v>
      </c>
      <c r="H3026" s="3" t="s">
        <v>45</v>
      </c>
      <c r="I3026" s="3">
        <v>2025</v>
      </c>
      <c r="J3026" s="3" t="str">
        <f>CONCATENATE("54820053616")</f>
        <v>54820053616</v>
      </c>
      <c r="K3026" s="3" t="s">
        <v>33</v>
      </c>
      <c r="L3026" s="3"/>
      <c r="M3026" s="3" t="s">
        <v>131</v>
      </c>
      <c r="N3026" s="3" t="str">
        <f>CONCATENATE("SLVLRT63D60L245G")</f>
        <v>SLVLRT63D60L245G</v>
      </c>
      <c r="O3026" s="3" t="s">
        <v>3151</v>
      </c>
      <c r="P3026" s="3" t="s">
        <v>36</v>
      </c>
      <c r="Q3026" s="3"/>
      <c r="R3026" s="4">
        <v>45996</v>
      </c>
      <c r="S3026" s="3" t="s">
        <v>37</v>
      </c>
      <c r="T3026" s="3" t="s">
        <v>38</v>
      </c>
      <c r="U3026" s="3" t="s">
        <v>39</v>
      </c>
      <c r="V3026" s="3">
        <v>90.18</v>
      </c>
      <c r="W3026" s="3">
        <v>38.33</v>
      </c>
      <c r="X3026" s="3">
        <v>36.299999999999997</v>
      </c>
      <c r="Y3026" s="3">
        <v>15.55</v>
      </c>
    </row>
    <row r="3027" spans="1:25" ht="60.75" x14ac:dyDescent="0.25">
      <c r="A3027" s="3" t="s">
        <v>26</v>
      </c>
      <c r="B3027" s="3" t="s">
        <v>27</v>
      </c>
      <c r="C3027" s="3" t="s">
        <v>28</v>
      </c>
      <c r="D3027" s="3" t="s">
        <v>29</v>
      </c>
      <c r="E3027" s="3" t="s">
        <v>228</v>
      </c>
      <c r="F3027" s="3" t="s">
        <v>31</v>
      </c>
      <c r="G3027" s="3" t="s">
        <v>228</v>
      </c>
      <c r="H3027" s="3" t="s">
        <v>45</v>
      </c>
      <c r="I3027" s="3">
        <v>2025</v>
      </c>
      <c r="J3027" s="3" t="str">
        <f>CONCATENATE("54820042700")</f>
        <v>54820042700</v>
      </c>
      <c r="K3027" s="3" t="s">
        <v>33</v>
      </c>
      <c r="L3027" s="3"/>
      <c r="M3027" s="3" t="s">
        <v>131</v>
      </c>
      <c r="N3027" s="3" t="str">
        <f>CONCATENATE("PLNNGL72B21D749J")</f>
        <v>PLNNGL72B21D749J</v>
      </c>
      <c r="O3027" s="3" t="s">
        <v>3152</v>
      </c>
      <c r="P3027" s="3" t="s">
        <v>36</v>
      </c>
      <c r="Q3027" s="3"/>
      <c r="R3027" s="4">
        <v>45996</v>
      </c>
      <c r="S3027" s="3" t="s">
        <v>37</v>
      </c>
      <c r="T3027" s="3" t="s">
        <v>38</v>
      </c>
      <c r="U3027" s="3" t="s">
        <v>39</v>
      </c>
      <c r="V3027" s="3">
        <v>72.8</v>
      </c>
      <c r="W3027" s="3">
        <v>30.94</v>
      </c>
      <c r="X3027" s="3">
        <v>29.3</v>
      </c>
      <c r="Y3027" s="3">
        <v>12.56</v>
      </c>
    </row>
    <row r="3028" spans="1:25" ht="60.75" x14ac:dyDescent="0.25">
      <c r="A3028" s="3" t="s">
        <v>26</v>
      </c>
      <c r="B3028" s="3" t="s">
        <v>27</v>
      </c>
      <c r="C3028" s="3" t="s">
        <v>28</v>
      </c>
      <c r="D3028" s="3" t="s">
        <v>29</v>
      </c>
      <c r="E3028" s="3" t="s">
        <v>228</v>
      </c>
      <c r="F3028" s="3" t="s">
        <v>31</v>
      </c>
      <c r="G3028" s="3" t="s">
        <v>228</v>
      </c>
      <c r="H3028" s="3" t="s">
        <v>45</v>
      </c>
      <c r="I3028" s="3">
        <v>2025</v>
      </c>
      <c r="J3028" s="3" t="str">
        <f>CONCATENATE("54820042718")</f>
        <v>54820042718</v>
      </c>
      <c r="K3028" s="3" t="s">
        <v>33</v>
      </c>
      <c r="L3028" s="3"/>
      <c r="M3028" s="3" t="s">
        <v>131</v>
      </c>
      <c r="N3028" s="3" t="str">
        <f>CONCATENATE("PLNGLN59P64B352L")</f>
        <v>PLNGLN59P64B352L</v>
      </c>
      <c r="O3028" s="3" t="s">
        <v>3153</v>
      </c>
      <c r="P3028" s="3" t="s">
        <v>36</v>
      </c>
      <c r="Q3028" s="3"/>
      <c r="R3028" s="4">
        <v>45996</v>
      </c>
      <c r="S3028" s="3" t="s">
        <v>37</v>
      </c>
      <c r="T3028" s="3" t="s">
        <v>38</v>
      </c>
      <c r="U3028" s="3" t="s">
        <v>39</v>
      </c>
      <c r="V3028" s="3">
        <v>55.94</v>
      </c>
      <c r="W3028" s="3">
        <v>23.77</v>
      </c>
      <c r="X3028" s="3">
        <v>22.52</v>
      </c>
      <c r="Y3028" s="3">
        <v>9.65</v>
      </c>
    </row>
    <row r="3029" spans="1:25" ht="60.75" x14ac:dyDescent="0.25">
      <c r="A3029" s="3" t="s">
        <v>26</v>
      </c>
      <c r="B3029" s="3" t="s">
        <v>27</v>
      </c>
      <c r="C3029" s="3" t="s">
        <v>28</v>
      </c>
      <c r="D3029" s="3" t="s">
        <v>29</v>
      </c>
      <c r="E3029" s="3" t="s">
        <v>72</v>
      </c>
      <c r="F3029" s="3" t="s">
        <v>31</v>
      </c>
      <c r="G3029" s="3" t="s">
        <v>72</v>
      </c>
      <c r="H3029" s="3" t="s">
        <v>45</v>
      </c>
      <c r="I3029" s="3">
        <v>2025</v>
      </c>
      <c r="J3029" s="3" t="str">
        <f>CONCATENATE("54820075544")</f>
        <v>54820075544</v>
      </c>
      <c r="K3029" s="3" t="s">
        <v>33</v>
      </c>
      <c r="L3029" s="3"/>
      <c r="M3029" s="3" t="s">
        <v>131</v>
      </c>
      <c r="N3029" s="3" t="str">
        <f>CONCATENATE("RBNGFR45E19A035X")</f>
        <v>RBNGFR45E19A035X</v>
      </c>
      <c r="O3029" s="3" t="s">
        <v>3154</v>
      </c>
      <c r="P3029" s="3" t="s">
        <v>36</v>
      </c>
      <c r="Q3029" s="3"/>
      <c r="R3029" s="4">
        <v>45996</v>
      </c>
      <c r="S3029" s="3" t="s">
        <v>37</v>
      </c>
      <c r="T3029" s="3" t="s">
        <v>38</v>
      </c>
      <c r="U3029" s="3" t="s">
        <v>39</v>
      </c>
      <c r="V3029" s="3">
        <v>72.069999999999993</v>
      </c>
      <c r="W3029" s="3">
        <v>30.63</v>
      </c>
      <c r="X3029" s="3">
        <v>29.01</v>
      </c>
      <c r="Y3029" s="3">
        <v>12.43</v>
      </c>
    </row>
    <row r="3030" spans="1:25" ht="60.75" x14ac:dyDescent="0.25">
      <c r="A3030" s="3" t="s">
        <v>26</v>
      </c>
      <c r="B3030" s="3" t="s">
        <v>27</v>
      </c>
      <c r="C3030" s="3" t="s">
        <v>28</v>
      </c>
      <c r="D3030" s="3" t="s">
        <v>29</v>
      </c>
      <c r="E3030" s="3" t="s">
        <v>119</v>
      </c>
      <c r="F3030" s="3" t="s">
        <v>31</v>
      </c>
      <c r="G3030" s="3" t="s">
        <v>119</v>
      </c>
      <c r="H3030" s="3" t="s">
        <v>96</v>
      </c>
      <c r="I3030" s="3">
        <v>2025</v>
      </c>
      <c r="J3030" s="3" t="str">
        <f>CONCATENATE("54820040407")</f>
        <v>54820040407</v>
      </c>
      <c r="K3030" s="3" t="s">
        <v>33</v>
      </c>
      <c r="L3030" s="3"/>
      <c r="M3030" s="3" t="s">
        <v>131</v>
      </c>
      <c r="N3030" s="3" t="str">
        <f>CONCATENATE("RTNMRA55M66F509H")</f>
        <v>RTNMRA55M66F509H</v>
      </c>
      <c r="O3030" s="3" t="s">
        <v>3155</v>
      </c>
      <c r="P3030" s="3" t="s">
        <v>36</v>
      </c>
      <c r="Q3030" s="3"/>
      <c r="R3030" s="4">
        <v>45996</v>
      </c>
      <c r="S3030" s="3" t="s">
        <v>37</v>
      </c>
      <c r="T3030" s="3" t="s">
        <v>38</v>
      </c>
      <c r="U3030" s="3" t="s">
        <v>39</v>
      </c>
      <c r="V3030" s="3">
        <v>53.23</v>
      </c>
      <c r="W3030" s="3">
        <v>22.62</v>
      </c>
      <c r="X3030" s="3">
        <v>21.43</v>
      </c>
      <c r="Y3030" s="3">
        <v>9.18</v>
      </c>
    </row>
    <row r="3031" spans="1:25" ht="60.75" x14ac:dyDescent="0.25">
      <c r="A3031" s="3" t="s">
        <v>26</v>
      </c>
      <c r="B3031" s="3" t="s">
        <v>27</v>
      </c>
      <c r="C3031" s="3" t="s">
        <v>28</v>
      </c>
      <c r="D3031" s="3" t="s">
        <v>29</v>
      </c>
      <c r="E3031" s="3" t="s">
        <v>47</v>
      </c>
      <c r="F3031" s="3" t="s">
        <v>31</v>
      </c>
      <c r="G3031" s="3" t="s">
        <v>47</v>
      </c>
      <c r="H3031" s="3" t="s">
        <v>48</v>
      </c>
      <c r="I3031" s="3">
        <v>2025</v>
      </c>
      <c r="J3031" s="3" t="str">
        <f>CONCATENATE("54820055587")</f>
        <v>54820055587</v>
      </c>
      <c r="K3031" s="3" t="s">
        <v>33</v>
      </c>
      <c r="L3031" s="3"/>
      <c r="M3031" s="3" t="s">
        <v>131</v>
      </c>
      <c r="N3031" s="3" t="str">
        <f>CONCATENATE("RLNMLB52E28Z600M")</f>
        <v>RLNMLB52E28Z600M</v>
      </c>
      <c r="O3031" s="3" t="s">
        <v>3156</v>
      </c>
      <c r="P3031" s="3" t="s">
        <v>36</v>
      </c>
      <c r="Q3031" s="3"/>
      <c r="R3031" s="4">
        <v>45996</v>
      </c>
      <c r="S3031" s="3" t="s">
        <v>37</v>
      </c>
      <c r="T3031" s="3" t="s">
        <v>38</v>
      </c>
      <c r="U3031" s="3" t="s">
        <v>39</v>
      </c>
      <c r="V3031" s="3">
        <v>72.83</v>
      </c>
      <c r="W3031" s="3">
        <v>30.95</v>
      </c>
      <c r="X3031" s="3">
        <v>29.31</v>
      </c>
      <c r="Y3031" s="3">
        <v>12.57</v>
      </c>
    </row>
    <row r="3032" spans="1:25" ht="60.75" x14ac:dyDescent="0.25">
      <c r="A3032" s="3" t="s">
        <v>26</v>
      </c>
      <c r="B3032" s="3" t="s">
        <v>27</v>
      </c>
      <c r="C3032" s="3" t="s">
        <v>28</v>
      </c>
      <c r="D3032" s="3" t="s">
        <v>40</v>
      </c>
      <c r="E3032" s="3" t="s">
        <v>287</v>
      </c>
      <c r="F3032" s="3" t="s">
        <v>42</v>
      </c>
      <c r="G3032" s="3" t="s">
        <v>287</v>
      </c>
      <c r="H3032" s="3" t="s">
        <v>32</v>
      </c>
      <c r="I3032" s="3">
        <v>2025</v>
      </c>
      <c r="J3032" s="3" t="str">
        <f>CONCATENATE("54820017371")</f>
        <v>54820017371</v>
      </c>
      <c r="K3032" s="3" t="s">
        <v>33</v>
      </c>
      <c r="L3032" s="3"/>
      <c r="M3032" s="3" t="s">
        <v>131</v>
      </c>
      <c r="N3032" s="3" t="str">
        <f>CONCATENATE("RCCRTR74D24B474Y")</f>
        <v>RCCRTR74D24B474Y</v>
      </c>
      <c r="O3032" s="3" t="s">
        <v>3157</v>
      </c>
      <c r="P3032" s="3" t="s">
        <v>36</v>
      </c>
      <c r="Q3032" s="3"/>
      <c r="R3032" s="4">
        <v>45996</v>
      </c>
      <c r="S3032" s="3" t="s">
        <v>37</v>
      </c>
      <c r="T3032" s="3" t="s">
        <v>38</v>
      </c>
      <c r="U3032" s="3" t="s">
        <v>39</v>
      </c>
      <c r="V3032" s="3">
        <v>718.9</v>
      </c>
      <c r="W3032" s="3">
        <v>305.52999999999997</v>
      </c>
      <c r="X3032" s="3">
        <v>289.36</v>
      </c>
      <c r="Y3032" s="3">
        <v>124.01</v>
      </c>
    </row>
    <row r="3033" spans="1:25" ht="60.75" x14ac:dyDescent="0.25">
      <c r="A3033" s="3" t="s">
        <v>26</v>
      </c>
      <c r="B3033" s="3" t="s">
        <v>27</v>
      </c>
      <c r="C3033" s="3" t="s">
        <v>28</v>
      </c>
      <c r="D3033" s="3" t="s">
        <v>29</v>
      </c>
      <c r="E3033" s="3" t="s">
        <v>186</v>
      </c>
      <c r="F3033" s="3" t="s">
        <v>31</v>
      </c>
      <c r="G3033" s="3" t="s">
        <v>186</v>
      </c>
      <c r="H3033" s="3" t="s">
        <v>45</v>
      </c>
      <c r="I3033" s="3">
        <v>2025</v>
      </c>
      <c r="J3033" s="3" t="str">
        <f>CONCATENATE("54820043112")</f>
        <v>54820043112</v>
      </c>
      <c r="K3033" s="3" t="s">
        <v>33</v>
      </c>
      <c r="L3033" s="3"/>
      <c r="M3033" s="3" t="s">
        <v>131</v>
      </c>
      <c r="N3033" s="3" t="str">
        <f>CONCATENATE("DMNTTN85S43I459T")</f>
        <v>DMNTTN85S43I459T</v>
      </c>
      <c r="O3033" s="3" t="s">
        <v>3158</v>
      </c>
      <c r="P3033" s="3" t="s">
        <v>36</v>
      </c>
      <c r="Q3033" s="3"/>
      <c r="R3033" s="4">
        <v>45996</v>
      </c>
      <c r="S3033" s="3" t="s">
        <v>37</v>
      </c>
      <c r="T3033" s="3" t="s">
        <v>38</v>
      </c>
      <c r="U3033" s="3" t="s">
        <v>39</v>
      </c>
      <c r="V3033" s="3">
        <v>488.57</v>
      </c>
      <c r="W3033" s="3">
        <v>207.64</v>
      </c>
      <c r="X3033" s="3">
        <v>196.65</v>
      </c>
      <c r="Y3033" s="3">
        <v>84.28</v>
      </c>
    </row>
    <row r="3034" spans="1:25" ht="60.75" x14ac:dyDescent="0.25">
      <c r="A3034" s="3" t="s">
        <v>26</v>
      </c>
      <c r="B3034" s="3" t="s">
        <v>27</v>
      </c>
      <c r="C3034" s="3" t="s">
        <v>28</v>
      </c>
      <c r="D3034" s="3" t="s">
        <v>29</v>
      </c>
      <c r="E3034" s="3" t="s">
        <v>136</v>
      </c>
      <c r="F3034" s="3" t="s">
        <v>31</v>
      </c>
      <c r="G3034" s="3" t="s">
        <v>136</v>
      </c>
      <c r="H3034" s="3" t="s">
        <v>48</v>
      </c>
      <c r="I3034" s="3">
        <v>2025</v>
      </c>
      <c r="J3034" s="3" t="str">
        <f>CONCATENATE("54820046404")</f>
        <v>54820046404</v>
      </c>
      <c r="K3034" s="3" t="s">
        <v>33</v>
      </c>
      <c r="L3034" s="3"/>
      <c r="M3034" s="3" t="s">
        <v>131</v>
      </c>
      <c r="N3034" s="3" t="str">
        <f>CONCATENATE("LSSMRA51T42I461K")</f>
        <v>LSSMRA51T42I461K</v>
      </c>
      <c r="O3034" s="3" t="s">
        <v>3159</v>
      </c>
      <c r="P3034" s="3" t="s">
        <v>36</v>
      </c>
      <c r="Q3034" s="3"/>
      <c r="R3034" s="4">
        <v>45996</v>
      </c>
      <c r="S3034" s="3" t="s">
        <v>37</v>
      </c>
      <c r="T3034" s="3" t="s">
        <v>38</v>
      </c>
      <c r="U3034" s="3" t="s">
        <v>39</v>
      </c>
      <c r="V3034" s="3">
        <v>658.96</v>
      </c>
      <c r="W3034" s="3">
        <v>280.06</v>
      </c>
      <c r="X3034" s="3">
        <v>265.23</v>
      </c>
      <c r="Y3034" s="3">
        <v>113.67</v>
      </c>
    </row>
    <row r="3035" spans="1:25" ht="36.75" x14ac:dyDescent="0.25">
      <c r="A3035" s="3" t="s">
        <v>26</v>
      </c>
      <c r="B3035" s="3" t="s">
        <v>27</v>
      </c>
      <c r="C3035" s="3" t="s">
        <v>28</v>
      </c>
      <c r="D3035" s="3" t="s">
        <v>40</v>
      </c>
      <c r="E3035" s="3" t="s">
        <v>218</v>
      </c>
      <c r="F3035" s="3" t="s">
        <v>42</v>
      </c>
      <c r="G3035" s="3" t="s">
        <v>218</v>
      </c>
      <c r="H3035" s="3" t="s">
        <v>45</v>
      </c>
      <c r="I3035" s="3">
        <v>2025</v>
      </c>
      <c r="J3035" s="3" t="str">
        <f>CONCATENATE("54820168224")</f>
        <v>54820168224</v>
      </c>
      <c r="K3035" s="3" t="s">
        <v>33</v>
      </c>
      <c r="L3035" s="3"/>
      <c r="M3035" s="3" t="s">
        <v>131</v>
      </c>
      <c r="N3035" s="3" t="str">
        <f>CONCATENATE("02607370414")</f>
        <v>02607370414</v>
      </c>
      <c r="O3035" s="3" t="s">
        <v>3160</v>
      </c>
      <c r="P3035" s="3" t="s">
        <v>36</v>
      </c>
      <c r="Q3035" s="3"/>
      <c r="R3035" s="4">
        <v>45996</v>
      </c>
      <c r="S3035" s="3" t="s">
        <v>37</v>
      </c>
      <c r="T3035" s="3" t="s">
        <v>38</v>
      </c>
      <c r="U3035" s="3" t="s">
        <v>39</v>
      </c>
      <c r="V3035" s="5">
        <v>1265.6400000000001</v>
      </c>
      <c r="W3035" s="3">
        <v>537.9</v>
      </c>
      <c r="X3035" s="3">
        <v>509.42</v>
      </c>
      <c r="Y3035" s="3">
        <v>218.32</v>
      </c>
    </row>
    <row r="3036" spans="1:25" ht="36.75" x14ac:dyDescent="0.25">
      <c r="A3036" s="3" t="s">
        <v>26</v>
      </c>
      <c r="B3036" s="3" t="s">
        <v>27</v>
      </c>
      <c r="C3036" s="3" t="s">
        <v>28</v>
      </c>
      <c r="D3036" s="3" t="s">
        <v>40</v>
      </c>
      <c r="E3036" s="3" t="s">
        <v>99</v>
      </c>
      <c r="F3036" s="3" t="s">
        <v>42</v>
      </c>
      <c r="G3036" s="3" t="s">
        <v>99</v>
      </c>
      <c r="H3036" s="3" t="s">
        <v>32</v>
      </c>
      <c r="I3036" s="3">
        <v>2025</v>
      </c>
      <c r="J3036" s="3" t="str">
        <f>CONCATENATE("54820051255")</f>
        <v>54820051255</v>
      </c>
      <c r="K3036" s="3" t="s">
        <v>33</v>
      </c>
      <c r="L3036" s="3"/>
      <c r="M3036" s="3" t="s">
        <v>131</v>
      </c>
      <c r="N3036" s="3" t="str">
        <f>CONCATENATE("01909630434")</f>
        <v>01909630434</v>
      </c>
      <c r="O3036" s="3" t="s">
        <v>3161</v>
      </c>
      <c r="P3036" s="3" t="s">
        <v>36</v>
      </c>
      <c r="Q3036" s="3"/>
      <c r="R3036" s="4">
        <v>45996</v>
      </c>
      <c r="S3036" s="3" t="s">
        <v>37</v>
      </c>
      <c r="T3036" s="3" t="s">
        <v>38</v>
      </c>
      <c r="U3036" s="3" t="s">
        <v>39</v>
      </c>
      <c r="V3036" s="3">
        <v>216.94</v>
      </c>
      <c r="W3036" s="3">
        <v>92.2</v>
      </c>
      <c r="X3036" s="3">
        <v>87.32</v>
      </c>
      <c r="Y3036" s="3">
        <v>37.42</v>
      </c>
    </row>
    <row r="3037" spans="1:25" ht="60.75" x14ac:dyDescent="0.25">
      <c r="A3037" s="3" t="s">
        <v>26</v>
      </c>
      <c r="B3037" s="3" t="s">
        <v>27</v>
      </c>
      <c r="C3037" s="3" t="s">
        <v>28</v>
      </c>
      <c r="D3037" s="3" t="s">
        <v>157</v>
      </c>
      <c r="E3037" s="3" t="s">
        <v>310</v>
      </c>
      <c r="F3037" s="3" t="s">
        <v>159</v>
      </c>
      <c r="G3037" s="3" t="s">
        <v>310</v>
      </c>
      <c r="H3037" s="3" t="s">
        <v>96</v>
      </c>
      <c r="I3037" s="3">
        <v>2025</v>
      </c>
      <c r="J3037" s="3" t="str">
        <f>CONCATENATE("54820083142")</f>
        <v>54820083142</v>
      </c>
      <c r="K3037" s="3" t="s">
        <v>33</v>
      </c>
      <c r="L3037" s="3"/>
      <c r="M3037" s="3" t="s">
        <v>131</v>
      </c>
      <c r="N3037" s="3" t="str">
        <f>CONCATENATE("TRBRRT58M29F493L")</f>
        <v>TRBRRT58M29F493L</v>
      </c>
      <c r="O3037" s="3" t="s">
        <v>3162</v>
      </c>
      <c r="P3037" s="3" t="s">
        <v>36</v>
      </c>
      <c r="Q3037" s="3"/>
      <c r="R3037" s="4">
        <v>45996</v>
      </c>
      <c r="S3037" s="3" t="s">
        <v>37</v>
      </c>
      <c r="T3037" s="3" t="s">
        <v>38</v>
      </c>
      <c r="U3037" s="3" t="s">
        <v>39</v>
      </c>
      <c r="V3037" s="3">
        <v>58.61</v>
      </c>
      <c r="W3037" s="3">
        <v>24.91</v>
      </c>
      <c r="X3037" s="3">
        <v>23.59</v>
      </c>
      <c r="Y3037" s="3">
        <v>10.11</v>
      </c>
    </row>
    <row r="3038" spans="1:25" ht="60.75" x14ac:dyDescent="0.25">
      <c r="A3038" s="3" t="s">
        <v>26</v>
      </c>
      <c r="B3038" s="3" t="s">
        <v>27</v>
      </c>
      <c r="C3038" s="3" t="s">
        <v>28</v>
      </c>
      <c r="D3038" s="3" t="s">
        <v>29</v>
      </c>
      <c r="E3038" s="3" t="s">
        <v>72</v>
      </c>
      <c r="F3038" s="3" t="s">
        <v>31</v>
      </c>
      <c r="G3038" s="3" t="s">
        <v>72</v>
      </c>
      <c r="H3038" s="3" t="s">
        <v>45</v>
      </c>
      <c r="I3038" s="3">
        <v>2025</v>
      </c>
      <c r="J3038" s="3" t="str">
        <f>CONCATENATE("54820070032")</f>
        <v>54820070032</v>
      </c>
      <c r="K3038" s="3" t="s">
        <v>33</v>
      </c>
      <c r="L3038" s="3"/>
      <c r="M3038" s="3" t="s">
        <v>131</v>
      </c>
      <c r="N3038" s="3" t="str">
        <f>CONCATENATE("CCCNZR56M31B352T")</f>
        <v>CCCNZR56M31B352T</v>
      </c>
      <c r="O3038" s="3" t="s">
        <v>3163</v>
      </c>
      <c r="P3038" s="3" t="s">
        <v>36</v>
      </c>
      <c r="Q3038" s="3"/>
      <c r="R3038" s="4">
        <v>45996</v>
      </c>
      <c r="S3038" s="3" t="s">
        <v>37</v>
      </c>
      <c r="T3038" s="3" t="s">
        <v>38</v>
      </c>
      <c r="U3038" s="3" t="s">
        <v>39</v>
      </c>
      <c r="V3038" s="3">
        <v>306.08999999999997</v>
      </c>
      <c r="W3038" s="3">
        <v>130.09</v>
      </c>
      <c r="X3038" s="3">
        <v>123.2</v>
      </c>
      <c r="Y3038" s="3">
        <v>52.8</v>
      </c>
    </row>
    <row r="3039" spans="1:25" ht="60.75" x14ac:dyDescent="0.25">
      <c r="A3039" s="3" t="s">
        <v>26</v>
      </c>
      <c r="B3039" s="3" t="s">
        <v>27</v>
      </c>
      <c r="C3039" s="3" t="s">
        <v>28</v>
      </c>
      <c r="D3039" s="3" t="s">
        <v>29</v>
      </c>
      <c r="E3039" s="3" t="s">
        <v>182</v>
      </c>
      <c r="F3039" s="3" t="s">
        <v>31</v>
      </c>
      <c r="G3039" s="3" t="s">
        <v>182</v>
      </c>
      <c r="H3039" s="3" t="s">
        <v>45</v>
      </c>
      <c r="I3039" s="3">
        <v>2025</v>
      </c>
      <c r="J3039" s="3" t="str">
        <f>CONCATENATE("54820086764")</f>
        <v>54820086764</v>
      </c>
      <c r="K3039" s="3" t="s">
        <v>33</v>
      </c>
      <c r="L3039" s="3"/>
      <c r="M3039" s="3" t="s">
        <v>131</v>
      </c>
      <c r="N3039" s="3" t="str">
        <f>CONCATENATE("BLTCSR62T07L500Z")</f>
        <v>BLTCSR62T07L500Z</v>
      </c>
      <c r="O3039" s="3" t="s">
        <v>3164</v>
      </c>
      <c r="P3039" s="3" t="s">
        <v>36</v>
      </c>
      <c r="Q3039" s="3"/>
      <c r="R3039" s="4">
        <v>45996</v>
      </c>
      <c r="S3039" s="3" t="s">
        <v>37</v>
      </c>
      <c r="T3039" s="3" t="s">
        <v>38</v>
      </c>
      <c r="U3039" s="3" t="s">
        <v>39</v>
      </c>
      <c r="V3039" s="3">
        <v>47.32</v>
      </c>
      <c r="W3039" s="3">
        <v>20.11</v>
      </c>
      <c r="X3039" s="3">
        <v>19.05</v>
      </c>
      <c r="Y3039" s="3">
        <v>8.16</v>
      </c>
    </row>
    <row r="3040" spans="1:25" ht="60.75" x14ac:dyDescent="0.25">
      <c r="A3040" s="3" t="s">
        <v>26</v>
      </c>
      <c r="B3040" s="3" t="s">
        <v>27</v>
      </c>
      <c r="C3040" s="3" t="s">
        <v>28</v>
      </c>
      <c r="D3040" s="3" t="s">
        <v>40</v>
      </c>
      <c r="E3040" s="3" t="s">
        <v>287</v>
      </c>
      <c r="F3040" s="3" t="s">
        <v>42</v>
      </c>
      <c r="G3040" s="3" t="s">
        <v>287</v>
      </c>
      <c r="H3040" s="3" t="s">
        <v>32</v>
      </c>
      <c r="I3040" s="3">
        <v>2025</v>
      </c>
      <c r="J3040" s="3" t="str">
        <f>CONCATENATE("54820039656")</f>
        <v>54820039656</v>
      </c>
      <c r="K3040" s="3" t="s">
        <v>33</v>
      </c>
      <c r="L3040" s="3"/>
      <c r="M3040" s="3" t="s">
        <v>131</v>
      </c>
      <c r="N3040" s="3" t="str">
        <f>CONCATENATE("BTSGTN46M28C267S")</f>
        <v>BTSGTN46M28C267S</v>
      </c>
      <c r="O3040" s="3" t="s">
        <v>3165</v>
      </c>
      <c r="P3040" s="3" t="s">
        <v>36</v>
      </c>
      <c r="Q3040" s="3"/>
      <c r="R3040" s="4">
        <v>45996</v>
      </c>
      <c r="S3040" s="3" t="s">
        <v>37</v>
      </c>
      <c r="T3040" s="3" t="s">
        <v>38</v>
      </c>
      <c r="U3040" s="3" t="s">
        <v>39</v>
      </c>
      <c r="V3040" s="5">
        <v>1072.45</v>
      </c>
      <c r="W3040" s="3">
        <v>455.79</v>
      </c>
      <c r="X3040" s="3">
        <v>431.66</v>
      </c>
      <c r="Y3040" s="3">
        <v>185</v>
      </c>
    </row>
    <row r="3041" spans="1:25" ht="60.75" x14ac:dyDescent="0.25">
      <c r="A3041" s="3" t="s">
        <v>26</v>
      </c>
      <c r="B3041" s="3" t="s">
        <v>27</v>
      </c>
      <c r="C3041" s="3" t="s">
        <v>28</v>
      </c>
      <c r="D3041" s="3" t="s">
        <v>29</v>
      </c>
      <c r="E3041" s="3" t="s">
        <v>228</v>
      </c>
      <c r="F3041" s="3" t="s">
        <v>31</v>
      </c>
      <c r="G3041" s="3" t="s">
        <v>228</v>
      </c>
      <c r="H3041" s="3" t="s">
        <v>45</v>
      </c>
      <c r="I3041" s="3">
        <v>2025</v>
      </c>
      <c r="J3041" s="3" t="str">
        <f>CONCATENATE("54820033246")</f>
        <v>54820033246</v>
      </c>
      <c r="K3041" s="3" t="s">
        <v>33</v>
      </c>
      <c r="L3041" s="3"/>
      <c r="M3041" s="3" t="s">
        <v>131</v>
      </c>
      <c r="N3041" s="3" t="str">
        <f>CONCATENATE("BNCLGU61E28D749Z")</f>
        <v>BNCLGU61E28D749Z</v>
      </c>
      <c r="O3041" s="3" t="s">
        <v>3166</v>
      </c>
      <c r="P3041" s="3" t="s">
        <v>36</v>
      </c>
      <c r="Q3041" s="3"/>
      <c r="R3041" s="4">
        <v>45996</v>
      </c>
      <c r="S3041" s="3" t="s">
        <v>37</v>
      </c>
      <c r="T3041" s="3" t="s">
        <v>38</v>
      </c>
      <c r="U3041" s="3" t="s">
        <v>39</v>
      </c>
      <c r="V3041" s="3">
        <v>298.49</v>
      </c>
      <c r="W3041" s="3">
        <v>126.86</v>
      </c>
      <c r="X3041" s="3">
        <v>120.14</v>
      </c>
      <c r="Y3041" s="3">
        <v>51.49</v>
      </c>
    </row>
    <row r="3042" spans="1:25" ht="60.75" x14ac:dyDescent="0.25">
      <c r="A3042" s="3" t="s">
        <v>26</v>
      </c>
      <c r="B3042" s="3" t="s">
        <v>27</v>
      </c>
      <c r="C3042" s="3" t="s">
        <v>28</v>
      </c>
      <c r="D3042" s="3" t="s">
        <v>40</v>
      </c>
      <c r="E3042" s="3" t="s">
        <v>287</v>
      </c>
      <c r="F3042" s="3" t="s">
        <v>42</v>
      </c>
      <c r="G3042" s="3" t="s">
        <v>287</v>
      </c>
      <c r="H3042" s="3" t="s">
        <v>32</v>
      </c>
      <c r="I3042" s="3">
        <v>2025</v>
      </c>
      <c r="J3042" s="3" t="str">
        <f>CONCATENATE("54820017462")</f>
        <v>54820017462</v>
      </c>
      <c r="K3042" s="3" t="s">
        <v>33</v>
      </c>
      <c r="L3042" s="3"/>
      <c r="M3042" s="3" t="s">
        <v>131</v>
      </c>
      <c r="N3042" s="3" t="str">
        <f>CONCATENATE("SNTRST40R12D653K")</f>
        <v>SNTRST40R12D653K</v>
      </c>
      <c r="O3042" s="3" t="s">
        <v>3167</v>
      </c>
      <c r="P3042" s="3" t="s">
        <v>36</v>
      </c>
      <c r="Q3042" s="3"/>
      <c r="R3042" s="4">
        <v>45996</v>
      </c>
      <c r="S3042" s="3" t="s">
        <v>37</v>
      </c>
      <c r="T3042" s="3" t="s">
        <v>38</v>
      </c>
      <c r="U3042" s="3" t="s">
        <v>39</v>
      </c>
      <c r="V3042" s="3">
        <v>110.5</v>
      </c>
      <c r="W3042" s="3">
        <v>46.96</v>
      </c>
      <c r="X3042" s="3">
        <v>44.48</v>
      </c>
      <c r="Y3042" s="3">
        <v>19.059999999999999</v>
      </c>
    </row>
    <row r="3043" spans="1:25" ht="36.75" x14ac:dyDescent="0.25">
      <c r="A3043" s="3" t="s">
        <v>26</v>
      </c>
      <c r="B3043" s="3" t="s">
        <v>27</v>
      </c>
      <c r="C3043" s="3" t="s">
        <v>28</v>
      </c>
      <c r="D3043" s="3" t="s">
        <v>29</v>
      </c>
      <c r="E3043" s="3" t="s">
        <v>182</v>
      </c>
      <c r="F3043" s="3" t="s">
        <v>31</v>
      </c>
      <c r="G3043" s="3" t="s">
        <v>182</v>
      </c>
      <c r="H3043" s="3" t="s">
        <v>45</v>
      </c>
      <c r="I3043" s="3">
        <v>2025</v>
      </c>
      <c r="J3043" s="3" t="str">
        <f>CONCATENATE("54820086772")</f>
        <v>54820086772</v>
      </c>
      <c r="K3043" s="3" t="s">
        <v>33</v>
      </c>
      <c r="L3043" s="3"/>
      <c r="M3043" s="3" t="s">
        <v>131</v>
      </c>
      <c r="N3043" s="3" t="str">
        <f>CONCATENATE("01106380411")</f>
        <v>01106380411</v>
      </c>
      <c r="O3043" s="3" t="s">
        <v>3168</v>
      </c>
      <c r="P3043" s="3" t="s">
        <v>36</v>
      </c>
      <c r="Q3043" s="3"/>
      <c r="R3043" s="4">
        <v>45996</v>
      </c>
      <c r="S3043" s="3" t="s">
        <v>37</v>
      </c>
      <c r="T3043" s="3" t="s">
        <v>38</v>
      </c>
      <c r="U3043" s="3" t="s">
        <v>39</v>
      </c>
      <c r="V3043" s="3">
        <v>927.93</v>
      </c>
      <c r="W3043" s="3">
        <v>394.37</v>
      </c>
      <c r="X3043" s="3">
        <v>373.49</v>
      </c>
      <c r="Y3043" s="3">
        <v>160.07</v>
      </c>
    </row>
    <row r="3044" spans="1:25" ht="72.75" x14ac:dyDescent="0.25">
      <c r="A3044" s="3" t="s">
        <v>26</v>
      </c>
      <c r="B3044" s="3" t="s">
        <v>27</v>
      </c>
      <c r="C3044" s="3" t="s">
        <v>28</v>
      </c>
      <c r="D3044" s="3" t="s">
        <v>29</v>
      </c>
      <c r="E3044" s="3" t="s">
        <v>47</v>
      </c>
      <c r="F3044" s="3" t="s">
        <v>31</v>
      </c>
      <c r="G3044" s="3" t="s">
        <v>47</v>
      </c>
      <c r="H3044" s="3" t="s">
        <v>48</v>
      </c>
      <c r="I3044" s="3">
        <v>2025</v>
      </c>
      <c r="J3044" s="3" t="str">
        <f>CONCATENATE("54820206412")</f>
        <v>54820206412</v>
      </c>
      <c r="K3044" s="3" t="s">
        <v>33</v>
      </c>
      <c r="L3044" s="3"/>
      <c r="M3044" s="3" t="s">
        <v>131</v>
      </c>
      <c r="N3044" s="3" t="str">
        <f>CONCATENATE("PNDMRN59D64D451N")</f>
        <v>PNDMRN59D64D451N</v>
      </c>
      <c r="O3044" s="3" t="s">
        <v>3169</v>
      </c>
      <c r="P3044" s="3" t="s">
        <v>36</v>
      </c>
      <c r="Q3044" s="3"/>
      <c r="R3044" s="4">
        <v>45996</v>
      </c>
      <c r="S3044" s="3" t="s">
        <v>37</v>
      </c>
      <c r="T3044" s="3" t="s">
        <v>38</v>
      </c>
      <c r="U3044" s="3" t="s">
        <v>39</v>
      </c>
      <c r="V3044" s="3">
        <v>48.5</v>
      </c>
      <c r="W3044" s="3">
        <v>20.61</v>
      </c>
      <c r="X3044" s="3">
        <v>19.52</v>
      </c>
      <c r="Y3044" s="3">
        <v>8.3699999999999992</v>
      </c>
    </row>
    <row r="3045" spans="1:25" ht="72.75" x14ac:dyDescent="0.25">
      <c r="A3045" s="3" t="s">
        <v>26</v>
      </c>
      <c r="B3045" s="3" t="s">
        <v>27</v>
      </c>
      <c r="C3045" s="3" t="s">
        <v>28</v>
      </c>
      <c r="D3045" s="3" t="s">
        <v>40</v>
      </c>
      <c r="E3045" s="3" t="s">
        <v>99</v>
      </c>
      <c r="F3045" s="3" t="s">
        <v>42</v>
      </c>
      <c r="G3045" s="3" t="s">
        <v>99</v>
      </c>
      <c r="H3045" s="3" t="s">
        <v>32</v>
      </c>
      <c r="I3045" s="3">
        <v>2025</v>
      </c>
      <c r="J3045" s="3" t="str">
        <f>CONCATENATE("54820370192")</f>
        <v>54820370192</v>
      </c>
      <c r="K3045" s="3" t="s">
        <v>33</v>
      </c>
      <c r="L3045" s="3"/>
      <c r="M3045" s="3" t="s">
        <v>131</v>
      </c>
      <c r="N3045" s="3" t="str">
        <f>CONCATENATE("MRNFNC94L10A271V")</f>
        <v>MRNFNC94L10A271V</v>
      </c>
      <c r="O3045" s="3" t="s">
        <v>3170</v>
      </c>
      <c r="P3045" s="3" t="s">
        <v>36</v>
      </c>
      <c r="Q3045" s="3"/>
      <c r="R3045" s="4">
        <v>45996</v>
      </c>
      <c r="S3045" s="3" t="s">
        <v>37</v>
      </c>
      <c r="T3045" s="3" t="s">
        <v>38</v>
      </c>
      <c r="U3045" s="3" t="s">
        <v>39</v>
      </c>
      <c r="V3045" s="3">
        <v>68.36</v>
      </c>
      <c r="W3045" s="3">
        <v>29.05</v>
      </c>
      <c r="X3045" s="3">
        <v>27.51</v>
      </c>
      <c r="Y3045" s="3">
        <v>11.8</v>
      </c>
    </row>
    <row r="3046" spans="1:25" ht="60.75" x14ac:dyDescent="0.25">
      <c r="A3046" s="3" t="s">
        <v>26</v>
      </c>
      <c r="B3046" s="3" t="s">
        <v>27</v>
      </c>
      <c r="C3046" s="3" t="s">
        <v>28</v>
      </c>
      <c r="D3046" s="3" t="s">
        <v>50</v>
      </c>
      <c r="E3046" s="3" t="s">
        <v>252</v>
      </c>
      <c r="F3046" s="3" t="s">
        <v>52</v>
      </c>
      <c r="G3046" s="3" t="s">
        <v>252</v>
      </c>
      <c r="H3046" s="3" t="s">
        <v>45</v>
      </c>
      <c r="I3046" s="3">
        <v>2025</v>
      </c>
      <c r="J3046" s="3" t="str">
        <f>CONCATENATE("54820209556")</f>
        <v>54820209556</v>
      </c>
      <c r="K3046" s="3" t="s">
        <v>33</v>
      </c>
      <c r="L3046" s="3"/>
      <c r="M3046" s="3" t="s">
        <v>131</v>
      </c>
      <c r="N3046" s="3" t="str">
        <f>CONCATENATE("ZNBDNL56T27E351I")</f>
        <v>ZNBDNL56T27E351I</v>
      </c>
      <c r="O3046" s="3" t="s">
        <v>3171</v>
      </c>
      <c r="P3046" s="3" t="s">
        <v>36</v>
      </c>
      <c r="Q3046" s="3"/>
      <c r="R3046" s="4">
        <v>45996</v>
      </c>
      <c r="S3046" s="3" t="s">
        <v>37</v>
      </c>
      <c r="T3046" s="3" t="s">
        <v>38</v>
      </c>
      <c r="U3046" s="3" t="s">
        <v>39</v>
      </c>
      <c r="V3046" s="3">
        <v>131.96</v>
      </c>
      <c r="W3046" s="3">
        <v>56.08</v>
      </c>
      <c r="X3046" s="3">
        <v>53.11</v>
      </c>
      <c r="Y3046" s="3">
        <v>22.77</v>
      </c>
    </row>
    <row r="3047" spans="1:25" ht="60.75" x14ac:dyDescent="0.25">
      <c r="A3047" s="3" t="s">
        <v>26</v>
      </c>
      <c r="B3047" s="3" t="s">
        <v>27</v>
      </c>
      <c r="C3047" s="3" t="s">
        <v>28</v>
      </c>
      <c r="D3047" s="3" t="s">
        <v>29</v>
      </c>
      <c r="E3047" s="3" t="s">
        <v>47</v>
      </c>
      <c r="F3047" s="3" t="s">
        <v>31</v>
      </c>
      <c r="G3047" s="3" t="s">
        <v>47</v>
      </c>
      <c r="H3047" s="3" t="s">
        <v>48</v>
      </c>
      <c r="I3047" s="3">
        <v>2025</v>
      </c>
      <c r="J3047" s="3" t="str">
        <f>CONCATENATE("54820201256")</f>
        <v>54820201256</v>
      </c>
      <c r="K3047" s="3" t="s">
        <v>33</v>
      </c>
      <c r="L3047" s="3"/>
      <c r="M3047" s="3" t="s">
        <v>131</v>
      </c>
      <c r="N3047" s="3" t="str">
        <f>CONCATENATE("NBLGPP93S50I653W")</f>
        <v>NBLGPP93S50I653W</v>
      </c>
      <c r="O3047" s="3" t="s">
        <v>3172</v>
      </c>
      <c r="P3047" s="3" t="s">
        <v>36</v>
      </c>
      <c r="Q3047" s="3"/>
      <c r="R3047" s="4">
        <v>45996</v>
      </c>
      <c r="S3047" s="3" t="s">
        <v>37</v>
      </c>
      <c r="T3047" s="3" t="s">
        <v>38</v>
      </c>
      <c r="U3047" s="3" t="s">
        <v>39</v>
      </c>
      <c r="V3047" s="3">
        <v>100.15</v>
      </c>
      <c r="W3047" s="3">
        <v>42.56</v>
      </c>
      <c r="X3047" s="3">
        <v>40.31</v>
      </c>
      <c r="Y3047" s="3">
        <v>17.28</v>
      </c>
    </row>
    <row r="3048" spans="1:25" ht="72.75" x14ac:dyDescent="0.25">
      <c r="A3048" s="3" t="s">
        <v>26</v>
      </c>
      <c r="B3048" s="3" t="s">
        <v>27</v>
      </c>
      <c r="C3048" s="3" t="s">
        <v>28</v>
      </c>
      <c r="D3048" s="3" t="s">
        <v>29</v>
      </c>
      <c r="E3048" s="3" t="s">
        <v>72</v>
      </c>
      <c r="F3048" s="3" t="s">
        <v>31</v>
      </c>
      <c r="G3048" s="3" t="s">
        <v>72</v>
      </c>
      <c r="H3048" s="3" t="s">
        <v>45</v>
      </c>
      <c r="I3048" s="3">
        <v>2025</v>
      </c>
      <c r="J3048" s="3" t="str">
        <f>CONCATENATE("54820211404")</f>
        <v>54820211404</v>
      </c>
      <c r="K3048" s="3" t="s">
        <v>33</v>
      </c>
      <c r="L3048" s="3"/>
      <c r="M3048" s="3" t="s">
        <v>131</v>
      </c>
      <c r="N3048" s="3" t="str">
        <f>CONCATENATE("CTNSNO63R48G479G")</f>
        <v>CTNSNO63R48G479G</v>
      </c>
      <c r="O3048" s="3" t="s">
        <v>3173</v>
      </c>
      <c r="P3048" s="3" t="s">
        <v>36</v>
      </c>
      <c r="Q3048" s="3"/>
      <c r="R3048" s="4">
        <v>45996</v>
      </c>
      <c r="S3048" s="3" t="s">
        <v>37</v>
      </c>
      <c r="T3048" s="3" t="s">
        <v>38</v>
      </c>
      <c r="U3048" s="3" t="s">
        <v>39</v>
      </c>
      <c r="V3048" s="3">
        <v>538.4</v>
      </c>
      <c r="W3048" s="3">
        <v>228.82</v>
      </c>
      <c r="X3048" s="3">
        <v>216.71</v>
      </c>
      <c r="Y3048" s="3">
        <v>92.87</v>
      </c>
    </row>
    <row r="3049" spans="1:25" ht="60.75" x14ac:dyDescent="0.25">
      <c r="A3049" s="3" t="s">
        <v>26</v>
      </c>
      <c r="B3049" s="3" t="s">
        <v>27</v>
      </c>
      <c r="C3049" s="3" t="s">
        <v>28</v>
      </c>
      <c r="D3049" s="3" t="s">
        <v>104</v>
      </c>
      <c r="E3049" s="3" t="s">
        <v>141</v>
      </c>
      <c r="F3049" s="3" t="s">
        <v>104</v>
      </c>
      <c r="G3049" s="3" t="s">
        <v>141</v>
      </c>
      <c r="H3049" s="3" t="s">
        <v>96</v>
      </c>
      <c r="I3049" s="3">
        <v>2025</v>
      </c>
      <c r="J3049" s="3" t="str">
        <f>CONCATENATE("54820276753")</f>
        <v>54820276753</v>
      </c>
      <c r="K3049" s="3" t="s">
        <v>33</v>
      </c>
      <c r="L3049" s="3"/>
      <c r="M3049" s="3" t="s">
        <v>131</v>
      </c>
      <c r="N3049" s="3" t="str">
        <f>CONCATENATE("SCMSDR81L23A252S")</f>
        <v>SCMSDR81L23A252S</v>
      </c>
      <c r="O3049" s="3" t="s">
        <v>3174</v>
      </c>
      <c r="P3049" s="3" t="s">
        <v>36</v>
      </c>
      <c r="Q3049" s="3"/>
      <c r="R3049" s="4">
        <v>45996</v>
      </c>
      <c r="S3049" s="3" t="s">
        <v>37</v>
      </c>
      <c r="T3049" s="3" t="s">
        <v>38</v>
      </c>
      <c r="U3049" s="3" t="s">
        <v>39</v>
      </c>
      <c r="V3049" s="3">
        <v>54</v>
      </c>
      <c r="W3049" s="3">
        <v>22.95</v>
      </c>
      <c r="X3049" s="3">
        <v>21.74</v>
      </c>
      <c r="Y3049" s="3">
        <v>9.31</v>
      </c>
    </row>
    <row r="3050" spans="1:25" ht="72.75" x14ac:dyDescent="0.25">
      <c r="A3050" s="3" t="s">
        <v>26</v>
      </c>
      <c r="B3050" s="3" t="s">
        <v>27</v>
      </c>
      <c r="C3050" s="3" t="s">
        <v>28</v>
      </c>
      <c r="D3050" s="3" t="s">
        <v>50</v>
      </c>
      <c r="E3050" s="3" t="s">
        <v>290</v>
      </c>
      <c r="F3050" s="3" t="s">
        <v>52</v>
      </c>
      <c r="G3050" s="3" t="s">
        <v>290</v>
      </c>
      <c r="H3050" s="3" t="s">
        <v>96</v>
      </c>
      <c r="I3050" s="3">
        <v>2025</v>
      </c>
      <c r="J3050" s="3" t="str">
        <f>CONCATENATE("54820267216")</f>
        <v>54820267216</v>
      </c>
      <c r="K3050" s="3" t="s">
        <v>33</v>
      </c>
      <c r="L3050" s="3"/>
      <c r="M3050" s="3" t="s">
        <v>131</v>
      </c>
      <c r="N3050" s="3" t="str">
        <f>CONCATENATE("MROLRT74R31A252B")</f>
        <v>MROLRT74R31A252B</v>
      </c>
      <c r="O3050" s="3" t="s">
        <v>3175</v>
      </c>
      <c r="P3050" s="3" t="s">
        <v>36</v>
      </c>
      <c r="Q3050" s="3"/>
      <c r="R3050" s="4">
        <v>45996</v>
      </c>
      <c r="S3050" s="3" t="s">
        <v>37</v>
      </c>
      <c r="T3050" s="3" t="s">
        <v>38</v>
      </c>
      <c r="U3050" s="3" t="s">
        <v>39</v>
      </c>
      <c r="V3050" s="3">
        <v>184.49</v>
      </c>
      <c r="W3050" s="3">
        <v>78.41</v>
      </c>
      <c r="X3050" s="3">
        <v>74.260000000000005</v>
      </c>
      <c r="Y3050" s="3">
        <v>31.82</v>
      </c>
    </row>
    <row r="3051" spans="1:25" ht="60.75" x14ac:dyDescent="0.25">
      <c r="A3051" s="3" t="s">
        <v>26</v>
      </c>
      <c r="B3051" s="3" t="s">
        <v>27</v>
      </c>
      <c r="C3051" s="3" t="s">
        <v>28</v>
      </c>
      <c r="D3051" s="3" t="s">
        <v>29</v>
      </c>
      <c r="E3051" s="3" t="s">
        <v>68</v>
      </c>
      <c r="F3051" s="3" t="s">
        <v>31</v>
      </c>
      <c r="G3051" s="3" t="s">
        <v>68</v>
      </c>
      <c r="H3051" s="3" t="s">
        <v>32</v>
      </c>
      <c r="I3051" s="3">
        <v>2025</v>
      </c>
      <c r="J3051" s="3" t="str">
        <f>CONCATENATE("54820273636")</f>
        <v>54820273636</v>
      </c>
      <c r="K3051" s="3" t="s">
        <v>33</v>
      </c>
      <c r="L3051" s="3"/>
      <c r="M3051" s="3" t="s">
        <v>131</v>
      </c>
      <c r="N3051" s="3" t="str">
        <f>CONCATENATE("MRZLGN75A18L191E")</f>
        <v>MRZLGN75A18L191E</v>
      </c>
      <c r="O3051" s="3" t="s">
        <v>3176</v>
      </c>
      <c r="P3051" s="3" t="s">
        <v>36</v>
      </c>
      <c r="Q3051" s="3"/>
      <c r="R3051" s="4">
        <v>45996</v>
      </c>
      <c r="S3051" s="3" t="s">
        <v>37</v>
      </c>
      <c r="T3051" s="3" t="s">
        <v>38</v>
      </c>
      <c r="U3051" s="3" t="s">
        <v>39</v>
      </c>
      <c r="V3051" s="3">
        <v>552.14</v>
      </c>
      <c r="W3051" s="3">
        <v>234.66</v>
      </c>
      <c r="X3051" s="3">
        <v>222.24</v>
      </c>
      <c r="Y3051" s="3">
        <v>95.24</v>
      </c>
    </row>
    <row r="3052" spans="1:25" ht="72.75" x14ac:dyDescent="0.25">
      <c r="A3052" s="3" t="s">
        <v>26</v>
      </c>
      <c r="B3052" s="3" t="s">
        <v>27</v>
      </c>
      <c r="C3052" s="3" t="s">
        <v>28</v>
      </c>
      <c r="D3052" s="3" t="s">
        <v>29</v>
      </c>
      <c r="E3052" s="3" t="s">
        <v>101</v>
      </c>
      <c r="F3052" s="3" t="s">
        <v>31</v>
      </c>
      <c r="G3052" s="3" t="s">
        <v>101</v>
      </c>
      <c r="H3052" s="3" t="s">
        <v>32</v>
      </c>
      <c r="I3052" s="3">
        <v>2025</v>
      </c>
      <c r="J3052" s="3" t="str">
        <f>CONCATENATE("54820208822")</f>
        <v>54820208822</v>
      </c>
      <c r="K3052" s="3" t="s">
        <v>33</v>
      </c>
      <c r="L3052" s="3"/>
      <c r="M3052" s="3" t="s">
        <v>131</v>
      </c>
      <c r="N3052" s="3" t="str">
        <f>CONCATENATE("PLMMRN49H05B562I")</f>
        <v>PLMMRN49H05B562I</v>
      </c>
      <c r="O3052" s="3" t="s">
        <v>3177</v>
      </c>
      <c r="P3052" s="3" t="s">
        <v>36</v>
      </c>
      <c r="Q3052" s="3"/>
      <c r="R3052" s="4">
        <v>45996</v>
      </c>
      <c r="S3052" s="3" t="s">
        <v>37</v>
      </c>
      <c r="T3052" s="3" t="s">
        <v>38</v>
      </c>
      <c r="U3052" s="3" t="s">
        <v>39</v>
      </c>
      <c r="V3052" s="3">
        <v>63.09</v>
      </c>
      <c r="W3052" s="3">
        <v>26.81</v>
      </c>
      <c r="X3052" s="3">
        <v>25.39</v>
      </c>
      <c r="Y3052" s="3">
        <v>10.89</v>
      </c>
    </row>
    <row r="3053" spans="1:25" ht="60.75" x14ac:dyDescent="0.25">
      <c r="A3053" s="3" t="s">
        <v>26</v>
      </c>
      <c r="B3053" s="3" t="s">
        <v>27</v>
      </c>
      <c r="C3053" s="3" t="s">
        <v>28</v>
      </c>
      <c r="D3053" s="3" t="s">
        <v>29</v>
      </c>
      <c r="E3053" s="3" t="s">
        <v>136</v>
      </c>
      <c r="F3053" s="3" t="s">
        <v>31</v>
      </c>
      <c r="G3053" s="3" t="s">
        <v>136</v>
      </c>
      <c r="H3053" s="3" t="s">
        <v>48</v>
      </c>
      <c r="I3053" s="3">
        <v>2025</v>
      </c>
      <c r="J3053" s="3" t="str">
        <f>CONCATENATE("54820203237")</f>
        <v>54820203237</v>
      </c>
      <c r="K3053" s="3" t="s">
        <v>33</v>
      </c>
      <c r="L3053" s="3"/>
      <c r="M3053" s="3" t="s">
        <v>131</v>
      </c>
      <c r="N3053" s="3" t="str">
        <f>CONCATENATE("TSTSNT58L30I461Z")</f>
        <v>TSTSNT58L30I461Z</v>
      </c>
      <c r="O3053" s="3" t="s">
        <v>3178</v>
      </c>
      <c r="P3053" s="3" t="s">
        <v>36</v>
      </c>
      <c r="Q3053" s="3"/>
      <c r="R3053" s="4">
        <v>45996</v>
      </c>
      <c r="S3053" s="3" t="s">
        <v>37</v>
      </c>
      <c r="T3053" s="3" t="s">
        <v>38</v>
      </c>
      <c r="U3053" s="3" t="s">
        <v>39</v>
      </c>
      <c r="V3053" s="3">
        <v>229.48</v>
      </c>
      <c r="W3053" s="3">
        <v>97.53</v>
      </c>
      <c r="X3053" s="3">
        <v>92.37</v>
      </c>
      <c r="Y3053" s="3">
        <v>39.58</v>
      </c>
    </row>
    <row r="3054" spans="1:25" ht="72.75" x14ac:dyDescent="0.25">
      <c r="A3054" s="3" t="s">
        <v>26</v>
      </c>
      <c r="B3054" s="3" t="s">
        <v>27</v>
      </c>
      <c r="C3054" s="3" t="s">
        <v>28</v>
      </c>
      <c r="D3054" s="3" t="s">
        <v>50</v>
      </c>
      <c r="E3054" s="3" t="s">
        <v>147</v>
      </c>
      <c r="F3054" s="3" t="s">
        <v>52</v>
      </c>
      <c r="G3054" s="3" t="s">
        <v>147</v>
      </c>
      <c r="H3054" s="3" t="s">
        <v>45</v>
      </c>
      <c r="I3054" s="3">
        <v>2025</v>
      </c>
      <c r="J3054" s="3" t="str">
        <f>CONCATENATE("54820203450")</f>
        <v>54820203450</v>
      </c>
      <c r="K3054" s="3" t="s">
        <v>33</v>
      </c>
      <c r="L3054" s="3"/>
      <c r="M3054" s="3" t="s">
        <v>131</v>
      </c>
      <c r="N3054" s="3" t="str">
        <f>CONCATENATE("CRBLCU57M23D749U")</f>
        <v>CRBLCU57M23D749U</v>
      </c>
      <c r="O3054" s="3" t="s">
        <v>3179</v>
      </c>
      <c r="P3054" s="3" t="s">
        <v>36</v>
      </c>
      <c r="Q3054" s="3"/>
      <c r="R3054" s="4">
        <v>45996</v>
      </c>
      <c r="S3054" s="3" t="s">
        <v>37</v>
      </c>
      <c r="T3054" s="3" t="s">
        <v>38</v>
      </c>
      <c r="U3054" s="3" t="s">
        <v>39</v>
      </c>
      <c r="V3054" s="3">
        <v>247.23</v>
      </c>
      <c r="W3054" s="3">
        <v>105.07</v>
      </c>
      <c r="X3054" s="3">
        <v>99.51</v>
      </c>
      <c r="Y3054" s="3">
        <v>42.65</v>
      </c>
    </row>
    <row r="3055" spans="1:25" ht="60.75" x14ac:dyDescent="0.25">
      <c r="A3055" s="3" t="s">
        <v>26</v>
      </c>
      <c r="B3055" s="3" t="s">
        <v>27</v>
      </c>
      <c r="C3055" s="3" t="s">
        <v>28</v>
      </c>
      <c r="D3055" s="3" t="s">
        <v>104</v>
      </c>
      <c r="E3055" s="3" t="s">
        <v>141</v>
      </c>
      <c r="F3055" s="3" t="s">
        <v>104</v>
      </c>
      <c r="G3055" s="3" t="s">
        <v>141</v>
      </c>
      <c r="H3055" s="3" t="s">
        <v>96</v>
      </c>
      <c r="I3055" s="3">
        <v>2025</v>
      </c>
      <c r="J3055" s="3" t="str">
        <f>CONCATENATE("54820277447")</f>
        <v>54820277447</v>
      </c>
      <c r="K3055" s="3" t="s">
        <v>33</v>
      </c>
      <c r="L3055" s="3"/>
      <c r="M3055" s="3" t="s">
        <v>131</v>
      </c>
      <c r="N3055" s="3" t="str">
        <f>CONCATENATE("SCMFNC78C27F509R")</f>
        <v>SCMFNC78C27F509R</v>
      </c>
      <c r="O3055" s="3" t="s">
        <v>3180</v>
      </c>
      <c r="P3055" s="3" t="s">
        <v>36</v>
      </c>
      <c r="Q3055" s="3"/>
      <c r="R3055" s="4">
        <v>45996</v>
      </c>
      <c r="S3055" s="3" t="s">
        <v>37</v>
      </c>
      <c r="T3055" s="3" t="s">
        <v>38</v>
      </c>
      <c r="U3055" s="3" t="s">
        <v>39</v>
      </c>
      <c r="V3055" s="3">
        <v>107.85</v>
      </c>
      <c r="W3055" s="3">
        <v>45.84</v>
      </c>
      <c r="X3055" s="3">
        <v>43.41</v>
      </c>
      <c r="Y3055" s="3">
        <v>18.600000000000001</v>
      </c>
    </row>
    <row r="3056" spans="1:25" ht="72.75" x14ac:dyDescent="0.25">
      <c r="A3056" s="3" t="s">
        <v>26</v>
      </c>
      <c r="B3056" s="3" t="s">
        <v>27</v>
      </c>
      <c r="C3056" s="3" t="s">
        <v>28</v>
      </c>
      <c r="D3056" s="3" t="s">
        <v>29</v>
      </c>
      <c r="E3056" s="3" t="s">
        <v>47</v>
      </c>
      <c r="F3056" s="3" t="s">
        <v>31</v>
      </c>
      <c r="G3056" s="3" t="s">
        <v>47</v>
      </c>
      <c r="H3056" s="3" t="s">
        <v>48</v>
      </c>
      <c r="I3056" s="3">
        <v>2025</v>
      </c>
      <c r="J3056" s="3" t="str">
        <f>CONCATENATE("54820365598")</f>
        <v>54820365598</v>
      </c>
      <c r="K3056" s="3" t="s">
        <v>33</v>
      </c>
      <c r="L3056" s="3"/>
      <c r="M3056" s="3" t="s">
        <v>131</v>
      </c>
      <c r="N3056" s="3" t="str">
        <f>CONCATENATE("PNTNMR63A57D451G")</f>
        <v>PNTNMR63A57D451G</v>
      </c>
      <c r="O3056" s="3" t="s">
        <v>3181</v>
      </c>
      <c r="P3056" s="3" t="s">
        <v>36</v>
      </c>
      <c r="Q3056" s="3"/>
      <c r="R3056" s="4">
        <v>45996</v>
      </c>
      <c r="S3056" s="3" t="s">
        <v>37</v>
      </c>
      <c r="T3056" s="3" t="s">
        <v>38</v>
      </c>
      <c r="U3056" s="3" t="s">
        <v>39</v>
      </c>
      <c r="V3056" s="3">
        <v>125.29</v>
      </c>
      <c r="W3056" s="3">
        <v>53.25</v>
      </c>
      <c r="X3056" s="3">
        <v>50.43</v>
      </c>
      <c r="Y3056" s="3">
        <v>21.61</v>
      </c>
    </row>
    <row r="3057" spans="1:25" ht="60.75" x14ac:dyDescent="0.25">
      <c r="A3057" s="3" t="s">
        <v>26</v>
      </c>
      <c r="B3057" s="3" t="s">
        <v>27</v>
      </c>
      <c r="C3057" s="3" t="s">
        <v>28</v>
      </c>
      <c r="D3057" s="3" t="s">
        <v>29</v>
      </c>
      <c r="E3057" s="3" t="s">
        <v>101</v>
      </c>
      <c r="F3057" s="3" t="s">
        <v>31</v>
      </c>
      <c r="G3057" s="3" t="s">
        <v>101</v>
      </c>
      <c r="H3057" s="3" t="s">
        <v>32</v>
      </c>
      <c r="I3057" s="3">
        <v>2025</v>
      </c>
      <c r="J3057" s="3" t="str">
        <f>CONCATENATE("54820219076")</f>
        <v>54820219076</v>
      </c>
      <c r="K3057" s="3" t="s">
        <v>33</v>
      </c>
      <c r="L3057" s="3"/>
      <c r="M3057" s="3" t="s">
        <v>131</v>
      </c>
      <c r="N3057" s="3" t="str">
        <f>CONCATENATE("PRSFNC50T21B398U")</f>
        <v>PRSFNC50T21B398U</v>
      </c>
      <c r="O3057" s="3" t="s">
        <v>3182</v>
      </c>
      <c r="P3057" s="3" t="s">
        <v>36</v>
      </c>
      <c r="Q3057" s="3"/>
      <c r="R3057" s="4">
        <v>45996</v>
      </c>
      <c r="S3057" s="3" t="s">
        <v>37</v>
      </c>
      <c r="T3057" s="3" t="s">
        <v>38</v>
      </c>
      <c r="U3057" s="3" t="s">
        <v>39</v>
      </c>
      <c r="V3057" s="3">
        <v>181.24</v>
      </c>
      <c r="W3057" s="3">
        <v>77.03</v>
      </c>
      <c r="X3057" s="3">
        <v>72.95</v>
      </c>
      <c r="Y3057" s="3">
        <v>31.26</v>
      </c>
    </row>
    <row r="3058" spans="1:25" ht="60.75" x14ac:dyDescent="0.25">
      <c r="A3058" s="3" t="s">
        <v>26</v>
      </c>
      <c r="B3058" s="3" t="s">
        <v>27</v>
      </c>
      <c r="C3058" s="3" t="s">
        <v>28</v>
      </c>
      <c r="D3058" s="3" t="s">
        <v>29</v>
      </c>
      <c r="E3058" s="3" t="s">
        <v>47</v>
      </c>
      <c r="F3058" s="3" t="s">
        <v>31</v>
      </c>
      <c r="G3058" s="3" t="s">
        <v>47</v>
      </c>
      <c r="H3058" s="3" t="s">
        <v>48</v>
      </c>
      <c r="I3058" s="3">
        <v>2025</v>
      </c>
      <c r="J3058" s="3" t="str">
        <f>CONCATENATE("54820230446")</f>
        <v>54820230446</v>
      </c>
      <c r="K3058" s="3" t="s">
        <v>33</v>
      </c>
      <c r="L3058" s="3"/>
      <c r="M3058" s="3" t="s">
        <v>131</v>
      </c>
      <c r="N3058" s="3" t="str">
        <f>CONCATENATE("CPPSNT59L46D451M")</f>
        <v>CPPSNT59L46D451M</v>
      </c>
      <c r="O3058" s="3" t="s">
        <v>3183</v>
      </c>
      <c r="P3058" s="3" t="s">
        <v>36</v>
      </c>
      <c r="Q3058" s="3"/>
      <c r="R3058" s="4">
        <v>45996</v>
      </c>
      <c r="S3058" s="3" t="s">
        <v>37</v>
      </c>
      <c r="T3058" s="3" t="s">
        <v>38</v>
      </c>
      <c r="U3058" s="3" t="s">
        <v>39</v>
      </c>
      <c r="V3058" s="3">
        <v>752.23</v>
      </c>
      <c r="W3058" s="3">
        <v>319.7</v>
      </c>
      <c r="X3058" s="3">
        <v>302.77</v>
      </c>
      <c r="Y3058" s="3">
        <v>129.76</v>
      </c>
    </row>
    <row r="3059" spans="1:25" ht="60.75" x14ac:dyDescent="0.25">
      <c r="A3059" s="3" t="s">
        <v>26</v>
      </c>
      <c r="B3059" s="3" t="s">
        <v>27</v>
      </c>
      <c r="C3059" s="3" t="s">
        <v>28</v>
      </c>
      <c r="D3059" s="3" t="s">
        <v>104</v>
      </c>
      <c r="E3059" s="3" t="s">
        <v>141</v>
      </c>
      <c r="F3059" s="3" t="s">
        <v>104</v>
      </c>
      <c r="G3059" s="3" t="s">
        <v>141</v>
      </c>
      <c r="H3059" s="3" t="s">
        <v>96</v>
      </c>
      <c r="I3059" s="3">
        <v>2025</v>
      </c>
      <c r="J3059" s="3" t="str">
        <f>CONCATENATE("54820277298")</f>
        <v>54820277298</v>
      </c>
      <c r="K3059" s="3" t="s">
        <v>33</v>
      </c>
      <c r="L3059" s="3"/>
      <c r="M3059" s="3" t="s">
        <v>131</v>
      </c>
      <c r="N3059" s="3" t="str">
        <f>CONCATENATE("BRTLSS75L17A252B")</f>
        <v>BRTLSS75L17A252B</v>
      </c>
      <c r="O3059" s="3" t="s">
        <v>3184</v>
      </c>
      <c r="P3059" s="3" t="s">
        <v>36</v>
      </c>
      <c r="Q3059" s="3"/>
      <c r="R3059" s="4">
        <v>45996</v>
      </c>
      <c r="S3059" s="3" t="s">
        <v>37</v>
      </c>
      <c r="T3059" s="3" t="s">
        <v>38</v>
      </c>
      <c r="U3059" s="3" t="s">
        <v>39</v>
      </c>
      <c r="V3059" s="3">
        <v>201.74</v>
      </c>
      <c r="W3059" s="3">
        <v>85.74</v>
      </c>
      <c r="X3059" s="3">
        <v>81.2</v>
      </c>
      <c r="Y3059" s="3">
        <v>34.799999999999997</v>
      </c>
    </row>
    <row r="3060" spans="1:25" ht="60.75" x14ac:dyDescent="0.25">
      <c r="A3060" s="3" t="s">
        <v>26</v>
      </c>
      <c r="B3060" s="3" t="s">
        <v>27</v>
      </c>
      <c r="C3060" s="3" t="s">
        <v>28</v>
      </c>
      <c r="D3060" s="3" t="s">
        <v>50</v>
      </c>
      <c r="E3060" s="3" t="s">
        <v>252</v>
      </c>
      <c r="F3060" s="3" t="s">
        <v>52</v>
      </c>
      <c r="G3060" s="3" t="s">
        <v>252</v>
      </c>
      <c r="H3060" s="3" t="s">
        <v>45</v>
      </c>
      <c r="I3060" s="3">
        <v>2025</v>
      </c>
      <c r="J3060" s="3" t="str">
        <f>CONCATENATE("54820209051")</f>
        <v>54820209051</v>
      </c>
      <c r="K3060" s="3" t="s">
        <v>33</v>
      </c>
      <c r="L3060" s="3"/>
      <c r="M3060" s="3" t="s">
        <v>131</v>
      </c>
      <c r="N3060" s="3" t="str">
        <f>CONCATENATE("BTTLCU62T52I608W")</f>
        <v>BTTLCU62T52I608W</v>
      </c>
      <c r="O3060" s="3" t="s">
        <v>3185</v>
      </c>
      <c r="P3060" s="3" t="s">
        <v>36</v>
      </c>
      <c r="Q3060" s="3"/>
      <c r="R3060" s="4">
        <v>45996</v>
      </c>
      <c r="S3060" s="3" t="s">
        <v>37</v>
      </c>
      <c r="T3060" s="3" t="s">
        <v>38</v>
      </c>
      <c r="U3060" s="3" t="s">
        <v>39</v>
      </c>
      <c r="V3060" s="3">
        <v>277.31</v>
      </c>
      <c r="W3060" s="3">
        <v>117.86</v>
      </c>
      <c r="X3060" s="3">
        <v>111.62</v>
      </c>
      <c r="Y3060" s="3">
        <v>47.83</v>
      </c>
    </row>
    <row r="3061" spans="1:25" ht="60.75" x14ac:dyDescent="0.25">
      <c r="A3061" s="3" t="s">
        <v>26</v>
      </c>
      <c r="B3061" s="3" t="s">
        <v>27</v>
      </c>
      <c r="C3061" s="3" t="s">
        <v>28</v>
      </c>
      <c r="D3061" s="3" t="s">
        <v>29</v>
      </c>
      <c r="E3061" s="3" t="s">
        <v>56</v>
      </c>
      <c r="F3061" s="3" t="s">
        <v>31</v>
      </c>
      <c r="G3061" s="3" t="s">
        <v>56</v>
      </c>
      <c r="H3061" s="3" t="s">
        <v>32</v>
      </c>
      <c r="I3061" s="3">
        <v>2025</v>
      </c>
      <c r="J3061" s="3" t="str">
        <f>CONCATENATE("54820162326")</f>
        <v>54820162326</v>
      </c>
      <c r="K3061" s="3" t="s">
        <v>33</v>
      </c>
      <c r="L3061" s="3"/>
      <c r="M3061" s="3" t="s">
        <v>131</v>
      </c>
      <c r="N3061" s="3" t="str">
        <f>CONCATENATE("FDLCRN51E71I661Y")</f>
        <v>FDLCRN51E71I661Y</v>
      </c>
      <c r="O3061" s="3" t="s">
        <v>3186</v>
      </c>
      <c r="P3061" s="3" t="s">
        <v>36</v>
      </c>
      <c r="Q3061" s="3"/>
      <c r="R3061" s="4">
        <v>45996</v>
      </c>
      <c r="S3061" s="3" t="s">
        <v>37</v>
      </c>
      <c r="T3061" s="3" t="s">
        <v>38</v>
      </c>
      <c r="U3061" s="3" t="s">
        <v>39</v>
      </c>
      <c r="V3061" s="5">
        <v>1257.3599999999999</v>
      </c>
      <c r="W3061" s="3">
        <v>534.38</v>
      </c>
      <c r="X3061" s="3">
        <v>506.09</v>
      </c>
      <c r="Y3061" s="3">
        <v>216.89</v>
      </c>
    </row>
    <row r="3062" spans="1:25" ht="72.75" x14ac:dyDescent="0.25">
      <c r="A3062" s="3" t="s">
        <v>26</v>
      </c>
      <c r="B3062" s="3" t="s">
        <v>27</v>
      </c>
      <c r="C3062" s="3" t="s">
        <v>28</v>
      </c>
      <c r="D3062" s="3" t="s">
        <v>29</v>
      </c>
      <c r="E3062" s="3" t="s">
        <v>56</v>
      </c>
      <c r="F3062" s="3" t="s">
        <v>31</v>
      </c>
      <c r="G3062" s="3" t="s">
        <v>56</v>
      </c>
      <c r="H3062" s="3" t="s">
        <v>32</v>
      </c>
      <c r="I3062" s="3">
        <v>2025</v>
      </c>
      <c r="J3062" s="3" t="str">
        <f>CONCATENATE("54820213244")</f>
        <v>54820213244</v>
      </c>
      <c r="K3062" s="3" t="s">
        <v>33</v>
      </c>
      <c r="L3062" s="3"/>
      <c r="M3062" s="3" t="s">
        <v>131</v>
      </c>
      <c r="N3062" s="3" t="str">
        <f>CONCATENATE("LNEMSM74R04F051H")</f>
        <v>LNEMSM74R04F051H</v>
      </c>
      <c r="O3062" s="3" t="s">
        <v>3187</v>
      </c>
      <c r="P3062" s="3" t="s">
        <v>36</v>
      </c>
      <c r="Q3062" s="3"/>
      <c r="R3062" s="4">
        <v>45996</v>
      </c>
      <c r="S3062" s="3" t="s">
        <v>37</v>
      </c>
      <c r="T3062" s="3" t="s">
        <v>38</v>
      </c>
      <c r="U3062" s="3" t="s">
        <v>39</v>
      </c>
      <c r="V3062" s="3">
        <v>126.67</v>
      </c>
      <c r="W3062" s="3">
        <v>53.83</v>
      </c>
      <c r="X3062" s="3">
        <v>50.98</v>
      </c>
      <c r="Y3062" s="3">
        <v>21.86</v>
      </c>
    </row>
    <row r="3063" spans="1:25" ht="60.75" x14ac:dyDescent="0.25">
      <c r="A3063" s="3" t="s">
        <v>26</v>
      </c>
      <c r="B3063" s="3" t="s">
        <v>27</v>
      </c>
      <c r="C3063" s="3" t="s">
        <v>28</v>
      </c>
      <c r="D3063" s="3" t="s">
        <v>29</v>
      </c>
      <c r="E3063" s="3" t="s">
        <v>68</v>
      </c>
      <c r="F3063" s="3" t="s">
        <v>31</v>
      </c>
      <c r="G3063" s="3" t="s">
        <v>68</v>
      </c>
      <c r="H3063" s="3" t="s">
        <v>32</v>
      </c>
      <c r="I3063" s="3">
        <v>2025</v>
      </c>
      <c r="J3063" s="3" t="str">
        <f>CONCATENATE("54820146907")</f>
        <v>54820146907</v>
      </c>
      <c r="K3063" s="3" t="s">
        <v>33</v>
      </c>
      <c r="L3063" s="3"/>
      <c r="M3063" s="3" t="s">
        <v>131</v>
      </c>
      <c r="N3063" s="3" t="str">
        <f>CONCATENATE("RFFMSL60A54C886F")</f>
        <v>RFFMSL60A54C886F</v>
      </c>
      <c r="O3063" s="3" t="s">
        <v>3188</v>
      </c>
      <c r="P3063" s="3" t="s">
        <v>36</v>
      </c>
      <c r="Q3063" s="3"/>
      <c r="R3063" s="4">
        <v>45996</v>
      </c>
      <c r="S3063" s="3" t="s">
        <v>37</v>
      </c>
      <c r="T3063" s="3" t="s">
        <v>38</v>
      </c>
      <c r="U3063" s="3" t="s">
        <v>39</v>
      </c>
      <c r="V3063" s="3">
        <v>154.9</v>
      </c>
      <c r="W3063" s="3">
        <v>65.83</v>
      </c>
      <c r="X3063" s="3">
        <v>62.35</v>
      </c>
      <c r="Y3063" s="3">
        <v>26.72</v>
      </c>
    </row>
    <row r="3064" spans="1:25" ht="60.75" x14ac:dyDescent="0.25">
      <c r="A3064" s="3" t="s">
        <v>26</v>
      </c>
      <c r="B3064" s="3" t="s">
        <v>27</v>
      </c>
      <c r="C3064" s="3" t="s">
        <v>28</v>
      </c>
      <c r="D3064" s="3" t="s">
        <v>29</v>
      </c>
      <c r="E3064" s="3" t="s">
        <v>72</v>
      </c>
      <c r="F3064" s="3" t="s">
        <v>31</v>
      </c>
      <c r="G3064" s="3" t="s">
        <v>72</v>
      </c>
      <c r="H3064" s="3" t="s">
        <v>45</v>
      </c>
      <c r="I3064" s="3">
        <v>2025</v>
      </c>
      <c r="J3064" s="3" t="str">
        <f>CONCATENATE("54820079256")</f>
        <v>54820079256</v>
      </c>
      <c r="K3064" s="3" t="s">
        <v>33</v>
      </c>
      <c r="L3064" s="3"/>
      <c r="M3064" s="3" t="s">
        <v>131</v>
      </c>
      <c r="N3064" s="3" t="str">
        <f>CONCATENATE("BNDRRT66B27B352S")</f>
        <v>BNDRRT66B27B352S</v>
      </c>
      <c r="O3064" s="3" t="s">
        <v>3189</v>
      </c>
      <c r="P3064" s="3" t="s">
        <v>36</v>
      </c>
      <c r="Q3064" s="3"/>
      <c r="R3064" s="4">
        <v>45996</v>
      </c>
      <c r="S3064" s="3" t="s">
        <v>37</v>
      </c>
      <c r="T3064" s="3" t="s">
        <v>38</v>
      </c>
      <c r="U3064" s="3" t="s">
        <v>39</v>
      </c>
      <c r="V3064" s="3">
        <v>66.91</v>
      </c>
      <c r="W3064" s="3">
        <v>28.44</v>
      </c>
      <c r="X3064" s="3">
        <v>26.93</v>
      </c>
      <c r="Y3064" s="3">
        <v>11.54</v>
      </c>
    </row>
    <row r="3065" spans="1:25" ht="36.75" x14ac:dyDescent="0.25">
      <c r="A3065" s="3" t="s">
        <v>26</v>
      </c>
      <c r="B3065" s="3" t="s">
        <v>27</v>
      </c>
      <c r="C3065" s="3" t="s">
        <v>28</v>
      </c>
      <c r="D3065" s="3" t="s">
        <v>29</v>
      </c>
      <c r="E3065" s="3" t="s">
        <v>68</v>
      </c>
      <c r="F3065" s="3" t="s">
        <v>31</v>
      </c>
      <c r="G3065" s="3" t="s">
        <v>68</v>
      </c>
      <c r="H3065" s="3" t="s">
        <v>32</v>
      </c>
      <c r="I3065" s="3">
        <v>2025</v>
      </c>
      <c r="J3065" s="3" t="str">
        <f>CONCATENATE("54820199120")</f>
        <v>54820199120</v>
      </c>
      <c r="K3065" s="3" t="s">
        <v>33</v>
      </c>
      <c r="L3065" s="3"/>
      <c r="M3065" s="3" t="s">
        <v>131</v>
      </c>
      <c r="N3065" s="3" t="str">
        <f>CONCATENATE("01914550437")</f>
        <v>01914550437</v>
      </c>
      <c r="O3065" s="3" t="s">
        <v>3190</v>
      </c>
      <c r="P3065" s="3" t="s">
        <v>36</v>
      </c>
      <c r="Q3065" s="3"/>
      <c r="R3065" s="4">
        <v>45996</v>
      </c>
      <c r="S3065" s="3" t="s">
        <v>37</v>
      </c>
      <c r="T3065" s="3" t="s">
        <v>38</v>
      </c>
      <c r="U3065" s="3" t="s">
        <v>39</v>
      </c>
      <c r="V3065" s="5">
        <v>1054.69</v>
      </c>
      <c r="W3065" s="3">
        <v>448.24</v>
      </c>
      <c r="X3065" s="3">
        <v>424.51</v>
      </c>
      <c r="Y3065" s="3">
        <v>181.94</v>
      </c>
    </row>
    <row r="3066" spans="1:25" ht="60.75" x14ac:dyDescent="0.25">
      <c r="A3066" s="3" t="s">
        <v>26</v>
      </c>
      <c r="B3066" s="3" t="s">
        <v>27</v>
      </c>
      <c r="C3066" s="3" t="s">
        <v>28</v>
      </c>
      <c r="D3066" s="3" t="s">
        <v>50</v>
      </c>
      <c r="E3066" s="3" t="s">
        <v>60</v>
      </c>
      <c r="F3066" s="3" t="s">
        <v>52</v>
      </c>
      <c r="G3066" s="3" t="s">
        <v>60</v>
      </c>
      <c r="H3066" s="3" t="s">
        <v>45</v>
      </c>
      <c r="I3066" s="3">
        <v>2025</v>
      </c>
      <c r="J3066" s="3" t="str">
        <f>CONCATENATE("54820116652")</f>
        <v>54820116652</v>
      </c>
      <c r="K3066" s="3" t="s">
        <v>33</v>
      </c>
      <c r="L3066" s="3"/>
      <c r="M3066" s="3" t="s">
        <v>131</v>
      </c>
      <c r="N3066" s="3" t="str">
        <f>CONCATENATE("MNSCLD60E05B352D")</f>
        <v>MNSCLD60E05B352D</v>
      </c>
      <c r="O3066" s="3" t="s">
        <v>3191</v>
      </c>
      <c r="P3066" s="3" t="s">
        <v>36</v>
      </c>
      <c r="Q3066" s="3"/>
      <c r="R3066" s="4">
        <v>45996</v>
      </c>
      <c r="S3066" s="3" t="s">
        <v>37</v>
      </c>
      <c r="T3066" s="3" t="s">
        <v>38</v>
      </c>
      <c r="U3066" s="3" t="s">
        <v>39</v>
      </c>
      <c r="V3066" s="3">
        <v>397.77</v>
      </c>
      <c r="W3066" s="3">
        <v>169.05</v>
      </c>
      <c r="X3066" s="3">
        <v>160.1</v>
      </c>
      <c r="Y3066" s="3">
        <v>68.62</v>
      </c>
    </row>
    <row r="3067" spans="1:25" ht="60.75" x14ac:dyDescent="0.25">
      <c r="A3067" s="3" t="s">
        <v>26</v>
      </c>
      <c r="B3067" s="3" t="s">
        <v>27</v>
      </c>
      <c r="C3067" s="3" t="s">
        <v>28</v>
      </c>
      <c r="D3067" s="3" t="s">
        <v>50</v>
      </c>
      <c r="E3067" s="3" t="s">
        <v>147</v>
      </c>
      <c r="F3067" s="3" t="s">
        <v>52</v>
      </c>
      <c r="G3067" s="3" t="s">
        <v>147</v>
      </c>
      <c r="H3067" s="3" t="s">
        <v>45</v>
      </c>
      <c r="I3067" s="3">
        <v>2025</v>
      </c>
      <c r="J3067" s="3" t="str">
        <f>CONCATENATE("54820151436")</f>
        <v>54820151436</v>
      </c>
      <c r="K3067" s="3" t="s">
        <v>33</v>
      </c>
      <c r="L3067" s="3"/>
      <c r="M3067" s="3" t="s">
        <v>131</v>
      </c>
      <c r="N3067" s="3" t="str">
        <f>CONCATENATE("PRSTTH71S70L500F")</f>
        <v>PRSTTH71S70L500F</v>
      </c>
      <c r="O3067" s="3" t="s">
        <v>3192</v>
      </c>
      <c r="P3067" s="3" t="s">
        <v>36</v>
      </c>
      <c r="Q3067" s="3"/>
      <c r="R3067" s="4">
        <v>45996</v>
      </c>
      <c r="S3067" s="3" t="s">
        <v>37</v>
      </c>
      <c r="T3067" s="3" t="s">
        <v>38</v>
      </c>
      <c r="U3067" s="3" t="s">
        <v>39</v>
      </c>
      <c r="V3067" s="3">
        <v>111.43</v>
      </c>
      <c r="W3067" s="3">
        <v>47.36</v>
      </c>
      <c r="X3067" s="3">
        <v>44.85</v>
      </c>
      <c r="Y3067" s="3">
        <v>19.22</v>
      </c>
    </row>
    <row r="3068" spans="1:25" ht="60.75" x14ac:dyDescent="0.25">
      <c r="A3068" s="3" t="s">
        <v>26</v>
      </c>
      <c r="B3068" s="3" t="s">
        <v>27</v>
      </c>
      <c r="C3068" s="3" t="s">
        <v>28</v>
      </c>
      <c r="D3068" s="3" t="s">
        <v>50</v>
      </c>
      <c r="E3068" s="3" t="s">
        <v>60</v>
      </c>
      <c r="F3068" s="3" t="s">
        <v>52</v>
      </c>
      <c r="G3068" s="3" t="s">
        <v>60</v>
      </c>
      <c r="H3068" s="3" t="s">
        <v>45</v>
      </c>
      <c r="I3068" s="3">
        <v>2025</v>
      </c>
      <c r="J3068" s="3" t="str">
        <f>CONCATENATE("54820126438")</f>
        <v>54820126438</v>
      </c>
      <c r="K3068" s="3" t="s">
        <v>33</v>
      </c>
      <c r="L3068" s="3"/>
      <c r="M3068" s="3" t="s">
        <v>131</v>
      </c>
      <c r="N3068" s="3" t="str">
        <f>CONCATENATE("ZPPVCN68B17B352J")</f>
        <v>ZPPVCN68B17B352J</v>
      </c>
      <c r="O3068" s="3" t="s">
        <v>3193</v>
      </c>
      <c r="P3068" s="3" t="s">
        <v>36</v>
      </c>
      <c r="Q3068" s="3"/>
      <c r="R3068" s="4">
        <v>45996</v>
      </c>
      <c r="S3068" s="3" t="s">
        <v>37</v>
      </c>
      <c r="T3068" s="3" t="s">
        <v>38</v>
      </c>
      <c r="U3068" s="3" t="s">
        <v>39</v>
      </c>
      <c r="V3068" s="3">
        <v>71.17</v>
      </c>
      <c r="W3068" s="3">
        <v>30.25</v>
      </c>
      <c r="X3068" s="3">
        <v>28.65</v>
      </c>
      <c r="Y3068" s="3">
        <v>12.27</v>
      </c>
    </row>
    <row r="3069" spans="1:25" ht="60.75" x14ac:dyDescent="0.25">
      <c r="A3069" s="3" t="s">
        <v>26</v>
      </c>
      <c r="B3069" s="3" t="s">
        <v>27</v>
      </c>
      <c r="C3069" s="3" t="s">
        <v>28</v>
      </c>
      <c r="D3069" s="3" t="s">
        <v>29</v>
      </c>
      <c r="E3069" s="3" t="s">
        <v>182</v>
      </c>
      <c r="F3069" s="3" t="s">
        <v>31</v>
      </c>
      <c r="G3069" s="3" t="s">
        <v>182</v>
      </c>
      <c r="H3069" s="3" t="s">
        <v>45</v>
      </c>
      <c r="I3069" s="3">
        <v>2025</v>
      </c>
      <c r="J3069" s="3" t="str">
        <f>CONCATENATE("54820138748")</f>
        <v>54820138748</v>
      </c>
      <c r="K3069" s="3" t="s">
        <v>33</v>
      </c>
      <c r="L3069" s="3"/>
      <c r="M3069" s="3" t="s">
        <v>131</v>
      </c>
      <c r="N3069" s="3" t="str">
        <f>CONCATENATE("GBNGRG57M31L500S")</f>
        <v>GBNGRG57M31L500S</v>
      </c>
      <c r="O3069" s="3" t="s">
        <v>3194</v>
      </c>
      <c r="P3069" s="3" t="s">
        <v>36</v>
      </c>
      <c r="Q3069" s="3"/>
      <c r="R3069" s="4">
        <v>45996</v>
      </c>
      <c r="S3069" s="3" t="s">
        <v>37</v>
      </c>
      <c r="T3069" s="3" t="s">
        <v>38</v>
      </c>
      <c r="U3069" s="3" t="s">
        <v>39</v>
      </c>
      <c r="V3069" s="3">
        <v>74.36</v>
      </c>
      <c r="W3069" s="3">
        <v>31.6</v>
      </c>
      <c r="X3069" s="3">
        <v>29.93</v>
      </c>
      <c r="Y3069" s="3">
        <v>12.83</v>
      </c>
    </row>
    <row r="3070" spans="1:25" ht="60.75" x14ac:dyDescent="0.25">
      <c r="A3070" s="3" t="s">
        <v>26</v>
      </c>
      <c r="B3070" s="3" t="s">
        <v>27</v>
      </c>
      <c r="C3070" s="3" t="s">
        <v>28</v>
      </c>
      <c r="D3070" s="3" t="s">
        <v>50</v>
      </c>
      <c r="E3070" s="3" t="s">
        <v>60</v>
      </c>
      <c r="F3070" s="3" t="s">
        <v>52</v>
      </c>
      <c r="G3070" s="3" t="s">
        <v>60</v>
      </c>
      <c r="H3070" s="3" t="s">
        <v>45</v>
      </c>
      <c r="I3070" s="3">
        <v>2025</v>
      </c>
      <c r="J3070" s="3" t="str">
        <f>CONCATENATE("54820148333")</f>
        <v>54820148333</v>
      </c>
      <c r="K3070" s="3" t="s">
        <v>33</v>
      </c>
      <c r="L3070" s="3"/>
      <c r="M3070" s="3" t="s">
        <v>131</v>
      </c>
      <c r="N3070" s="3" t="str">
        <f>CONCATENATE("LCHLRZ94D49A944C")</f>
        <v>LCHLRZ94D49A944C</v>
      </c>
      <c r="O3070" s="3" t="s">
        <v>3195</v>
      </c>
      <c r="P3070" s="3" t="s">
        <v>36</v>
      </c>
      <c r="Q3070" s="3"/>
      <c r="R3070" s="4">
        <v>45996</v>
      </c>
      <c r="S3070" s="3" t="s">
        <v>37</v>
      </c>
      <c r="T3070" s="3" t="s">
        <v>38</v>
      </c>
      <c r="U3070" s="3" t="s">
        <v>39</v>
      </c>
      <c r="V3070" s="3">
        <v>104.29</v>
      </c>
      <c r="W3070" s="3">
        <v>44.32</v>
      </c>
      <c r="X3070" s="3">
        <v>41.98</v>
      </c>
      <c r="Y3070" s="3">
        <v>17.989999999999998</v>
      </c>
    </row>
    <row r="3071" spans="1:25" ht="60.75" x14ac:dyDescent="0.25">
      <c r="A3071" s="3" t="s">
        <v>26</v>
      </c>
      <c r="B3071" s="3" t="s">
        <v>27</v>
      </c>
      <c r="C3071" s="3" t="s">
        <v>28</v>
      </c>
      <c r="D3071" s="3" t="s">
        <v>91</v>
      </c>
      <c r="E3071" s="3" t="s">
        <v>151</v>
      </c>
      <c r="F3071" s="3" t="s">
        <v>93</v>
      </c>
      <c r="G3071" s="3" t="s">
        <v>151</v>
      </c>
      <c r="H3071" s="3" t="s">
        <v>45</v>
      </c>
      <c r="I3071" s="3">
        <v>2025</v>
      </c>
      <c r="J3071" s="3" t="str">
        <f>CONCATENATE("54820211123")</f>
        <v>54820211123</v>
      </c>
      <c r="K3071" s="3" t="s">
        <v>33</v>
      </c>
      <c r="L3071" s="3"/>
      <c r="M3071" s="3" t="s">
        <v>131</v>
      </c>
      <c r="N3071" s="3" t="str">
        <f>CONCATENATE("RNZMRA41B28H501L")</f>
        <v>RNZMRA41B28H501L</v>
      </c>
      <c r="O3071" s="3" t="s">
        <v>3196</v>
      </c>
      <c r="P3071" s="3" t="s">
        <v>36</v>
      </c>
      <c r="Q3071" s="3"/>
      <c r="R3071" s="4">
        <v>45996</v>
      </c>
      <c r="S3071" s="3" t="s">
        <v>37</v>
      </c>
      <c r="T3071" s="3" t="s">
        <v>38</v>
      </c>
      <c r="U3071" s="3" t="s">
        <v>39</v>
      </c>
      <c r="V3071" s="5">
        <v>1056.1300000000001</v>
      </c>
      <c r="W3071" s="3">
        <v>448.86</v>
      </c>
      <c r="X3071" s="3">
        <v>425.09</v>
      </c>
      <c r="Y3071" s="3">
        <v>182.18</v>
      </c>
    </row>
    <row r="3072" spans="1:25" ht="60.75" x14ac:dyDescent="0.25">
      <c r="A3072" s="3" t="s">
        <v>26</v>
      </c>
      <c r="B3072" s="3" t="s">
        <v>27</v>
      </c>
      <c r="C3072" s="3" t="s">
        <v>28</v>
      </c>
      <c r="D3072" s="3" t="s">
        <v>50</v>
      </c>
      <c r="E3072" s="3" t="s">
        <v>252</v>
      </c>
      <c r="F3072" s="3" t="s">
        <v>52</v>
      </c>
      <c r="G3072" s="3" t="s">
        <v>252</v>
      </c>
      <c r="H3072" s="3" t="s">
        <v>45</v>
      </c>
      <c r="I3072" s="3">
        <v>2025</v>
      </c>
      <c r="J3072" s="3" t="str">
        <f>CONCATENATE("54820213608")</f>
        <v>54820213608</v>
      </c>
      <c r="K3072" s="3" t="s">
        <v>33</v>
      </c>
      <c r="L3072" s="3"/>
      <c r="M3072" s="3" t="s">
        <v>131</v>
      </c>
      <c r="N3072" s="3" t="str">
        <f>CONCATENATE("ZNCMHL73C18L500V")</f>
        <v>ZNCMHL73C18L500V</v>
      </c>
      <c r="O3072" s="3" t="s">
        <v>3197</v>
      </c>
      <c r="P3072" s="3" t="s">
        <v>36</v>
      </c>
      <c r="Q3072" s="3"/>
      <c r="R3072" s="4">
        <v>45996</v>
      </c>
      <c r="S3072" s="3" t="s">
        <v>37</v>
      </c>
      <c r="T3072" s="3" t="s">
        <v>38</v>
      </c>
      <c r="U3072" s="3" t="s">
        <v>39</v>
      </c>
      <c r="V3072" s="3">
        <v>91.52</v>
      </c>
      <c r="W3072" s="3">
        <v>38.9</v>
      </c>
      <c r="X3072" s="3">
        <v>36.840000000000003</v>
      </c>
      <c r="Y3072" s="3">
        <v>15.78</v>
      </c>
    </row>
    <row r="3073" spans="1:25" ht="60.75" x14ac:dyDescent="0.25">
      <c r="A3073" s="3" t="s">
        <v>26</v>
      </c>
      <c r="B3073" s="3" t="s">
        <v>27</v>
      </c>
      <c r="C3073" s="3" t="s">
        <v>28</v>
      </c>
      <c r="D3073" s="3" t="s">
        <v>29</v>
      </c>
      <c r="E3073" s="3" t="s">
        <v>136</v>
      </c>
      <c r="F3073" s="3" t="s">
        <v>31</v>
      </c>
      <c r="G3073" s="3" t="s">
        <v>136</v>
      </c>
      <c r="H3073" s="3" t="s">
        <v>48</v>
      </c>
      <c r="I3073" s="3">
        <v>2025</v>
      </c>
      <c r="J3073" s="3" t="str">
        <f>CONCATENATE("54820180575")</f>
        <v>54820180575</v>
      </c>
      <c r="K3073" s="3" t="s">
        <v>33</v>
      </c>
      <c r="L3073" s="3"/>
      <c r="M3073" s="3" t="s">
        <v>131</v>
      </c>
      <c r="N3073" s="3" t="str">
        <f>CONCATENATE("SNTLGN63C12A366F")</f>
        <v>SNTLGN63C12A366F</v>
      </c>
      <c r="O3073" s="3" t="s">
        <v>3198</v>
      </c>
      <c r="P3073" s="3" t="s">
        <v>36</v>
      </c>
      <c r="Q3073" s="3"/>
      <c r="R3073" s="4">
        <v>45996</v>
      </c>
      <c r="S3073" s="3" t="s">
        <v>37</v>
      </c>
      <c r="T3073" s="3" t="s">
        <v>38</v>
      </c>
      <c r="U3073" s="3" t="s">
        <v>39</v>
      </c>
      <c r="V3073" s="3">
        <v>95.25</v>
      </c>
      <c r="W3073" s="3">
        <v>40.479999999999997</v>
      </c>
      <c r="X3073" s="3">
        <v>38.340000000000003</v>
      </c>
      <c r="Y3073" s="3">
        <v>16.43</v>
      </c>
    </row>
    <row r="3074" spans="1:25" ht="60.75" x14ac:dyDescent="0.25">
      <c r="A3074" s="3" t="s">
        <v>26</v>
      </c>
      <c r="B3074" s="3" t="s">
        <v>27</v>
      </c>
      <c r="C3074" s="3" t="s">
        <v>28</v>
      </c>
      <c r="D3074" s="3" t="s">
        <v>50</v>
      </c>
      <c r="E3074" s="3" t="s">
        <v>147</v>
      </c>
      <c r="F3074" s="3" t="s">
        <v>52</v>
      </c>
      <c r="G3074" s="3" t="s">
        <v>147</v>
      </c>
      <c r="H3074" s="3" t="s">
        <v>45</v>
      </c>
      <c r="I3074" s="3">
        <v>2025</v>
      </c>
      <c r="J3074" s="3" t="str">
        <f>CONCATENATE("54820158530")</f>
        <v>54820158530</v>
      </c>
      <c r="K3074" s="3" t="s">
        <v>33</v>
      </c>
      <c r="L3074" s="3"/>
      <c r="M3074" s="3" t="s">
        <v>131</v>
      </c>
      <c r="N3074" s="3" t="str">
        <f>CONCATENATE("MCHDNL63C58C357T")</f>
        <v>MCHDNL63C58C357T</v>
      </c>
      <c r="O3074" s="3" t="s">
        <v>3199</v>
      </c>
      <c r="P3074" s="3" t="s">
        <v>36</v>
      </c>
      <c r="Q3074" s="3"/>
      <c r="R3074" s="4">
        <v>45996</v>
      </c>
      <c r="S3074" s="3" t="s">
        <v>37</v>
      </c>
      <c r="T3074" s="3" t="s">
        <v>38</v>
      </c>
      <c r="U3074" s="3" t="s">
        <v>39</v>
      </c>
      <c r="V3074" s="3">
        <v>151.38</v>
      </c>
      <c r="W3074" s="3">
        <v>64.34</v>
      </c>
      <c r="X3074" s="3">
        <v>60.93</v>
      </c>
      <c r="Y3074" s="3">
        <v>26.11</v>
      </c>
    </row>
    <row r="3075" spans="1:25" ht="60.75" x14ac:dyDescent="0.25">
      <c r="A3075" s="3" t="s">
        <v>26</v>
      </c>
      <c r="B3075" s="3" t="s">
        <v>27</v>
      </c>
      <c r="C3075" s="3" t="s">
        <v>28</v>
      </c>
      <c r="D3075" s="3" t="s">
        <v>29</v>
      </c>
      <c r="E3075" s="3" t="s">
        <v>47</v>
      </c>
      <c r="F3075" s="3" t="s">
        <v>31</v>
      </c>
      <c r="G3075" s="3" t="s">
        <v>47</v>
      </c>
      <c r="H3075" s="3" t="s">
        <v>48</v>
      </c>
      <c r="I3075" s="3">
        <v>2025</v>
      </c>
      <c r="J3075" s="3" t="str">
        <f>CONCATENATE("54820177746")</f>
        <v>54820177746</v>
      </c>
      <c r="K3075" s="3" t="s">
        <v>33</v>
      </c>
      <c r="L3075" s="3"/>
      <c r="M3075" s="3" t="s">
        <v>131</v>
      </c>
      <c r="N3075" s="3" t="str">
        <f>CONCATENATE("NMBMLL50E51D451Z")</f>
        <v>NMBMLL50E51D451Z</v>
      </c>
      <c r="O3075" s="3" t="s">
        <v>3200</v>
      </c>
      <c r="P3075" s="3" t="s">
        <v>36</v>
      </c>
      <c r="Q3075" s="3"/>
      <c r="R3075" s="4">
        <v>45996</v>
      </c>
      <c r="S3075" s="3" t="s">
        <v>37</v>
      </c>
      <c r="T3075" s="3" t="s">
        <v>38</v>
      </c>
      <c r="U3075" s="3" t="s">
        <v>39</v>
      </c>
      <c r="V3075" s="3">
        <v>210.17</v>
      </c>
      <c r="W3075" s="3">
        <v>89.32</v>
      </c>
      <c r="X3075" s="3">
        <v>84.59</v>
      </c>
      <c r="Y3075" s="3">
        <v>36.26</v>
      </c>
    </row>
    <row r="3076" spans="1:25" ht="60.75" x14ac:dyDescent="0.25">
      <c r="A3076" s="3" t="s">
        <v>26</v>
      </c>
      <c r="B3076" s="3" t="s">
        <v>27</v>
      </c>
      <c r="C3076" s="3" t="s">
        <v>28</v>
      </c>
      <c r="D3076" s="3" t="s">
        <v>50</v>
      </c>
      <c r="E3076" s="3" t="s">
        <v>60</v>
      </c>
      <c r="F3076" s="3" t="s">
        <v>52</v>
      </c>
      <c r="G3076" s="3" t="s">
        <v>60</v>
      </c>
      <c r="H3076" s="3" t="s">
        <v>45</v>
      </c>
      <c r="I3076" s="3">
        <v>2025</v>
      </c>
      <c r="J3076" s="3" t="str">
        <f>CONCATENATE("54820126602")</f>
        <v>54820126602</v>
      </c>
      <c r="K3076" s="3" t="s">
        <v>33</v>
      </c>
      <c r="L3076" s="3"/>
      <c r="M3076" s="3" t="s">
        <v>131</v>
      </c>
      <c r="N3076" s="3" t="str">
        <f>CONCATENATE("MRLMCL59S27G479H")</f>
        <v>MRLMCL59S27G479H</v>
      </c>
      <c r="O3076" s="3" t="s">
        <v>3201</v>
      </c>
      <c r="P3076" s="3" t="s">
        <v>36</v>
      </c>
      <c r="Q3076" s="3"/>
      <c r="R3076" s="4">
        <v>45996</v>
      </c>
      <c r="S3076" s="3" t="s">
        <v>37</v>
      </c>
      <c r="T3076" s="3" t="s">
        <v>38</v>
      </c>
      <c r="U3076" s="3" t="s">
        <v>39</v>
      </c>
      <c r="V3076" s="3">
        <v>145.21</v>
      </c>
      <c r="W3076" s="3">
        <v>61.71</v>
      </c>
      <c r="X3076" s="3">
        <v>58.45</v>
      </c>
      <c r="Y3076" s="3">
        <v>25.05</v>
      </c>
    </row>
    <row r="3077" spans="1:25" ht="36.75" x14ac:dyDescent="0.25">
      <c r="A3077" s="3" t="s">
        <v>26</v>
      </c>
      <c r="B3077" s="3" t="s">
        <v>27</v>
      </c>
      <c r="C3077" s="3" t="s">
        <v>28</v>
      </c>
      <c r="D3077" s="3" t="s">
        <v>91</v>
      </c>
      <c r="E3077" s="3" t="s">
        <v>522</v>
      </c>
      <c r="F3077" s="3" t="s">
        <v>93</v>
      </c>
      <c r="G3077" s="3" t="s">
        <v>522</v>
      </c>
      <c r="H3077" s="3" t="s">
        <v>32</v>
      </c>
      <c r="I3077" s="3">
        <v>2025</v>
      </c>
      <c r="J3077" s="3" t="str">
        <f>CONCATENATE("54820201868")</f>
        <v>54820201868</v>
      </c>
      <c r="K3077" s="3" t="s">
        <v>33</v>
      </c>
      <c r="L3077" s="3"/>
      <c r="M3077" s="3" t="s">
        <v>131</v>
      </c>
      <c r="N3077" s="3" t="str">
        <f>CONCATENATE("02014180430")</f>
        <v>02014180430</v>
      </c>
      <c r="O3077" s="3" t="s">
        <v>3202</v>
      </c>
      <c r="P3077" s="3" t="s">
        <v>36</v>
      </c>
      <c r="Q3077" s="3"/>
      <c r="R3077" s="4">
        <v>45996</v>
      </c>
      <c r="S3077" s="3" t="s">
        <v>37</v>
      </c>
      <c r="T3077" s="3" t="s">
        <v>38</v>
      </c>
      <c r="U3077" s="3" t="s">
        <v>39</v>
      </c>
      <c r="V3077" s="3">
        <v>949.95</v>
      </c>
      <c r="W3077" s="3">
        <v>403.73</v>
      </c>
      <c r="X3077" s="3">
        <v>382.35</v>
      </c>
      <c r="Y3077" s="3">
        <v>163.87</v>
      </c>
    </row>
    <row r="3078" spans="1:25" ht="60.75" x14ac:dyDescent="0.25">
      <c r="A3078" s="3" t="s">
        <v>26</v>
      </c>
      <c r="B3078" s="3" t="s">
        <v>27</v>
      </c>
      <c r="C3078" s="3" t="s">
        <v>28</v>
      </c>
      <c r="D3078" s="3" t="s">
        <v>50</v>
      </c>
      <c r="E3078" s="3" t="s">
        <v>147</v>
      </c>
      <c r="F3078" s="3" t="s">
        <v>52</v>
      </c>
      <c r="G3078" s="3" t="s">
        <v>147</v>
      </c>
      <c r="H3078" s="3" t="s">
        <v>45</v>
      </c>
      <c r="I3078" s="3">
        <v>2025</v>
      </c>
      <c r="J3078" s="3" t="str">
        <f>CONCATENATE("54820135660")</f>
        <v>54820135660</v>
      </c>
      <c r="K3078" s="3" t="s">
        <v>33</v>
      </c>
      <c r="L3078" s="3"/>
      <c r="M3078" s="3" t="s">
        <v>131</v>
      </c>
      <c r="N3078" s="3" t="str">
        <f>CONCATENATE("DNGRNN53T43L500V")</f>
        <v>DNGRNN53T43L500V</v>
      </c>
      <c r="O3078" s="3" t="s">
        <v>3203</v>
      </c>
      <c r="P3078" s="3" t="s">
        <v>36</v>
      </c>
      <c r="Q3078" s="3"/>
      <c r="R3078" s="4">
        <v>45996</v>
      </c>
      <c r="S3078" s="3" t="s">
        <v>37</v>
      </c>
      <c r="T3078" s="3" t="s">
        <v>38</v>
      </c>
      <c r="U3078" s="3" t="s">
        <v>39</v>
      </c>
      <c r="V3078" s="3">
        <v>279.13</v>
      </c>
      <c r="W3078" s="3">
        <v>118.63</v>
      </c>
      <c r="X3078" s="3">
        <v>112.35</v>
      </c>
      <c r="Y3078" s="3">
        <v>48.15</v>
      </c>
    </row>
    <row r="3079" spans="1:25" ht="60.75" x14ac:dyDescent="0.25">
      <c r="A3079" s="3" t="s">
        <v>26</v>
      </c>
      <c r="B3079" s="3" t="s">
        <v>27</v>
      </c>
      <c r="C3079" s="3" t="s">
        <v>28</v>
      </c>
      <c r="D3079" s="3" t="s">
        <v>29</v>
      </c>
      <c r="E3079" s="3" t="s">
        <v>136</v>
      </c>
      <c r="F3079" s="3" t="s">
        <v>31</v>
      </c>
      <c r="G3079" s="3" t="s">
        <v>136</v>
      </c>
      <c r="H3079" s="3" t="s">
        <v>48</v>
      </c>
      <c r="I3079" s="3">
        <v>2025</v>
      </c>
      <c r="J3079" s="3" t="str">
        <f>CONCATENATE("54820189238")</f>
        <v>54820189238</v>
      </c>
      <c r="K3079" s="3" t="s">
        <v>33</v>
      </c>
      <c r="L3079" s="3"/>
      <c r="M3079" s="3" t="s">
        <v>131</v>
      </c>
      <c r="N3079" s="3" t="str">
        <f>CONCATENATE("VTLLCU63M26I461P")</f>
        <v>VTLLCU63M26I461P</v>
      </c>
      <c r="O3079" s="3" t="s">
        <v>3204</v>
      </c>
      <c r="P3079" s="3" t="s">
        <v>36</v>
      </c>
      <c r="Q3079" s="3"/>
      <c r="R3079" s="4">
        <v>45996</v>
      </c>
      <c r="S3079" s="3" t="s">
        <v>37</v>
      </c>
      <c r="T3079" s="3" t="s">
        <v>38</v>
      </c>
      <c r="U3079" s="3" t="s">
        <v>39</v>
      </c>
      <c r="V3079" s="3">
        <v>228.19</v>
      </c>
      <c r="W3079" s="3">
        <v>96.98</v>
      </c>
      <c r="X3079" s="3">
        <v>91.85</v>
      </c>
      <c r="Y3079" s="3">
        <v>39.36</v>
      </c>
    </row>
    <row r="3080" spans="1:25" ht="60.75" x14ac:dyDescent="0.25">
      <c r="A3080" s="3" t="s">
        <v>26</v>
      </c>
      <c r="B3080" s="3" t="s">
        <v>27</v>
      </c>
      <c r="C3080" s="3" t="s">
        <v>28</v>
      </c>
      <c r="D3080" s="3" t="s">
        <v>50</v>
      </c>
      <c r="E3080" s="3" t="s">
        <v>147</v>
      </c>
      <c r="F3080" s="3" t="s">
        <v>52</v>
      </c>
      <c r="G3080" s="3" t="s">
        <v>147</v>
      </c>
      <c r="H3080" s="3" t="s">
        <v>45</v>
      </c>
      <c r="I3080" s="3">
        <v>2025</v>
      </c>
      <c r="J3080" s="3" t="str">
        <f>CONCATENATE("54820189105")</f>
        <v>54820189105</v>
      </c>
      <c r="K3080" s="3" t="s">
        <v>33</v>
      </c>
      <c r="L3080" s="3"/>
      <c r="M3080" s="3" t="s">
        <v>131</v>
      </c>
      <c r="N3080" s="3" t="str">
        <f>CONCATENATE("SPDVNI95M17D749I")</f>
        <v>SPDVNI95M17D749I</v>
      </c>
      <c r="O3080" s="3" t="s">
        <v>3205</v>
      </c>
      <c r="P3080" s="3" t="s">
        <v>36</v>
      </c>
      <c r="Q3080" s="3"/>
      <c r="R3080" s="4">
        <v>45996</v>
      </c>
      <c r="S3080" s="3" t="s">
        <v>37</v>
      </c>
      <c r="T3080" s="3" t="s">
        <v>38</v>
      </c>
      <c r="U3080" s="3" t="s">
        <v>39</v>
      </c>
      <c r="V3080" s="5">
        <v>1194.03</v>
      </c>
      <c r="W3080" s="3">
        <v>507.46</v>
      </c>
      <c r="X3080" s="3">
        <v>480.6</v>
      </c>
      <c r="Y3080" s="3">
        <v>205.97</v>
      </c>
    </row>
    <row r="3081" spans="1:25" ht="60.75" x14ac:dyDescent="0.25">
      <c r="A3081" s="3" t="s">
        <v>26</v>
      </c>
      <c r="B3081" s="3" t="s">
        <v>27</v>
      </c>
      <c r="C3081" s="3" t="s">
        <v>28</v>
      </c>
      <c r="D3081" s="3" t="s">
        <v>50</v>
      </c>
      <c r="E3081" s="3" t="s">
        <v>60</v>
      </c>
      <c r="F3081" s="3" t="s">
        <v>52</v>
      </c>
      <c r="G3081" s="3" t="s">
        <v>60</v>
      </c>
      <c r="H3081" s="3" t="s">
        <v>45</v>
      </c>
      <c r="I3081" s="3">
        <v>2025</v>
      </c>
      <c r="J3081" s="3" t="str">
        <f>CONCATENATE("54820214275")</f>
        <v>54820214275</v>
      </c>
      <c r="K3081" s="3" t="s">
        <v>33</v>
      </c>
      <c r="L3081" s="3"/>
      <c r="M3081" s="3" t="s">
        <v>131</v>
      </c>
      <c r="N3081" s="3" t="str">
        <f>CONCATENATE("TRSFBA62L06D808V")</f>
        <v>TRSFBA62L06D808V</v>
      </c>
      <c r="O3081" s="3" t="s">
        <v>3206</v>
      </c>
      <c r="P3081" s="3" t="s">
        <v>36</v>
      </c>
      <c r="Q3081" s="3"/>
      <c r="R3081" s="4">
        <v>45996</v>
      </c>
      <c r="S3081" s="3" t="s">
        <v>37</v>
      </c>
      <c r="T3081" s="3" t="s">
        <v>38</v>
      </c>
      <c r="U3081" s="3" t="s">
        <v>39</v>
      </c>
      <c r="V3081" s="3">
        <v>218.42</v>
      </c>
      <c r="W3081" s="3">
        <v>92.83</v>
      </c>
      <c r="X3081" s="3">
        <v>87.91</v>
      </c>
      <c r="Y3081" s="3">
        <v>37.68</v>
      </c>
    </row>
    <row r="3082" spans="1:25" ht="60.75" x14ac:dyDescent="0.25">
      <c r="A3082" s="3" t="s">
        <v>26</v>
      </c>
      <c r="B3082" s="3" t="s">
        <v>27</v>
      </c>
      <c r="C3082" s="3" t="s">
        <v>28</v>
      </c>
      <c r="D3082" s="3" t="s">
        <v>50</v>
      </c>
      <c r="E3082" s="3" t="s">
        <v>60</v>
      </c>
      <c r="F3082" s="3" t="s">
        <v>52</v>
      </c>
      <c r="G3082" s="3" t="s">
        <v>60</v>
      </c>
      <c r="H3082" s="3" t="s">
        <v>45</v>
      </c>
      <c r="I3082" s="3">
        <v>2025</v>
      </c>
      <c r="J3082" s="3" t="str">
        <f>CONCATENATE("54820172515")</f>
        <v>54820172515</v>
      </c>
      <c r="K3082" s="3" t="s">
        <v>33</v>
      </c>
      <c r="L3082" s="3"/>
      <c r="M3082" s="3" t="s">
        <v>131</v>
      </c>
      <c r="N3082" s="3" t="str">
        <f>CONCATENATE("VTIRMN73T55G453T")</f>
        <v>VTIRMN73T55G453T</v>
      </c>
      <c r="O3082" s="3" t="s">
        <v>3207</v>
      </c>
      <c r="P3082" s="3" t="s">
        <v>36</v>
      </c>
      <c r="Q3082" s="3"/>
      <c r="R3082" s="4">
        <v>45996</v>
      </c>
      <c r="S3082" s="3" t="s">
        <v>37</v>
      </c>
      <c r="T3082" s="3" t="s">
        <v>38</v>
      </c>
      <c r="U3082" s="3" t="s">
        <v>39</v>
      </c>
      <c r="V3082" s="3">
        <v>397.76</v>
      </c>
      <c r="W3082" s="3">
        <v>169.05</v>
      </c>
      <c r="X3082" s="3">
        <v>160.1</v>
      </c>
      <c r="Y3082" s="3">
        <v>68.61</v>
      </c>
    </row>
    <row r="3083" spans="1:25" ht="72.75" x14ac:dyDescent="0.25">
      <c r="A3083" s="3" t="s">
        <v>26</v>
      </c>
      <c r="B3083" s="3" t="s">
        <v>27</v>
      </c>
      <c r="C3083" s="3" t="s">
        <v>28</v>
      </c>
      <c r="D3083" s="3" t="s">
        <v>29</v>
      </c>
      <c r="E3083" s="3" t="s">
        <v>56</v>
      </c>
      <c r="F3083" s="3" t="s">
        <v>31</v>
      </c>
      <c r="G3083" s="3" t="s">
        <v>56</v>
      </c>
      <c r="H3083" s="3" t="s">
        <v>32</v>
      </c>
      <c r="I3083" s="3">
        <v>2025</v>
      </c>
      <c r="J3083" s="3" t="str">
        <f>CONCATENATE("54820165287")</f>
        <v>54820165287</v>
      </c>
      <c r="K3083" s="3" t="s">
        <v>33</v>
      </c>
      <c r="L3083" s="3"/>
      <c r="M3083" s="3" t="s">
        <v>131</v>
      </c>
      <c r="N3083" s="3" t="str">
        <f>CONCATENATE("TRNGPP33M07B474Q")</f>
        <v>TRNGPP33M07B474Q</v>
      </c>
      <c r="O3083" s="3" t="s">
        <v>3208</v>
      </c>
      <c r="P3083" s="3" t="s">
        <v>36</v>
      </c>
      <c r="Q3083" s="3"/>
      <c r="R3083" s="4">
        <v>45996</v>
      </c>
      <c r="S3083" s="3" t="s">
        <v>37</v>
      </c>
      <c r="T3083" s="3" t="s">
        <v>38</v>
      </c>
      <c r="U3083" s="3" t="s">
        <v>39</v>
      </c>
      <c r="V3083" s="3">
        <v>189.81</v>
      </c>
      <c r="W3083" s="3">
        <v>80.67</v>
      </c>
      <c r="X3083" s="3">
        <v>76.400000000000006</v>
      </c>
      <c r="Y3083" s="3">
        <v>32.74</v>
      </c>
    </row>
    <row r="3084" spans="1:25" ht="36.75" x14ac:dyDescent="0.25">
      <c r="A3084" s="3" t="s">
        <v>26</v>
      </c>
      <c r="B3084" s="3" t="s">
        <v>27</v>
      </c>
      <c r="C3084" s="3" t="s">
        <v>28</v>
      </c>
      <c r="D3084" s="3" t="s">
        <v>91</v>
      </c>
      <c r="E3084" s="3" t="s">
        <v>92</v>
      </c>
      <c r="F3084" s="3" t="s">
        <v>93</v>
      </c>
      <c r="G3084" s="3" t="s">
        <v>92</v>
      </c>
      <c r="H3084" s="3" t="s">
        <v>48</v>
      </c>
      <c r="I3084" s="3">
        <v>2025</v>
      </c>
      <c r="J3084" s="3" t="str">
        <f>CONCATENATE("54820168109")</f>
        <v>54820168109</v>
      </c>
      <c r="K3084" s="3" t="s">
        <v>33</v>
      </c>
      <c r="L3084" s="3"/>
      <c r="M3084" s="3" t="s">
        <v>131</v>
      </c>
      <c r="N3084" s="3" t="str">
        <f>CONCATENATE("01580170429")</f>
        <v>01580170429</v>
      </c>
      <c r="O3084" s="3" t="s">
        <v>3209</v>
      </c>
      <c r="P3084" s="3" t="s">
        <v>36</v>
      </c>
      <c r="Q3084" s="3"/>
      <c r="R3084" s="4">
        <v>45996</v>
      </c>
      <c r="S3084" s="3" t="s">
        <v>37</v>
      </c>
      <c r="T3084" s="3" t="s">
        <v>38</v>
      </c>
      <c r="U3084" s="3" t="s">
        <v>39</v>
      </c>
      <c r="V3084" s="3">
        <v>742.92</v>
      </c>
      <c r="W3084" s="3">
        <v>315.74</v>
      </c>
      <c r="X3084" s="3">
        <v>299.02999999999997</v>
      </c>
      <c r="Y3084" s="3">
        <v>128.15</v>
      </c>
    </row>
    <row r="3085" spans="1:25" ht="60.75" x14ac:dyDescent="0.25">
      <c r="A3085" s="3" t="s">
        <v>26</v>
      </c>
      <c r="B3085" s="3" t="s">
        <v>27</v>
      </c>
      <c r="C3085" s="3" t="s">
        <v>28</v>
      </c>
      <c r="D3085" s="3" t="s">
        <v>312</v>
      </c>
      <c r="E3085" s="3" t="s">
        <v>313</v>
      </c>
      <c r="F3085" s="3" t="s">
        <v>314</v>
      </c>
      <c r="G3085" s="3" t="s">
        <v>313</v>
      </c>
      <c r="H3085" s="3" t="s">
        <v>96</v>
      </c>
      <c r="I3085" s="3">
        <v>2025</v>
      </c>
      <c r="J3085" s="3" t="str">
        <f>CONCATENATE("54820242128")</f>
        <v>54820242128</v>
      </c>
      <c r="K3085" s="3" t="s">
        <v>33</v>
      </c>
      <c r="L3085" s="3"/>
      <c r="M3085" s="3" t="s">
        <v>131</v>
      </c>
      <c r="N3085" s="3" t="str">
        <f>CONCATENATE("FBBJLN85H68A462W")</f>
        <v>FBBJLN85H68A462W</v>
      </c>
      <c r="O3085" s="3" t="s">
        <v>3210</v>
      </c>
      <c r="P3085" s="3" t="s">
        <v>36</v>
      </c>
      <c r="Q3085" s="3"/>
      <c r="R3085" s="4">
        <v>45996</v>
      </c>
      <c r="S3085" s="3" t="s">
        <v>37</v>
      </c>
      <c r="T3085" s="3" t="s">
        <v>38</v>
      </c>
      <c r="U3085" s="3" t="s">
        <v>39</v>
      </c>
      <c r="V3085" s="3">
        <v>276.23</v>
      </c>
      <c r="W3085" s="3">
        <v>117.4</v>
      </c>
      <c r="X3085" s="3">
        <v>111.18</v>
      </c>
      <c r="Y3085" s="3">
        <v>47.65</v>
      </c>
    </row>
    <row r="3086" spans="1:25" ht="60.75" x14ac:dyDescent="0.25">
      <c r="A3086" s="3" t="s">
        <v>26</v>
      </c>
      <c r="B3086" s="3" t="s">
        <v>27</v>
      </c>
      <c r="C3086" s="3" t="s">
        <v>28</v>
      </c>
      <c r="D3086" s="3" t="s">
        <v>312</v>
      </c>
      <c r="E3086" s="3" t="s">
        <v>313</v>
      </c>
      <c r="F3086" s="3" t="s">
        <v>314</v>
      </c>
      <c r="G3086" s="3" t="s">
        <v>313</v>
      </c>
      <c r="H3086" s="3" t="s">
        <v>96</v>
      </c>
      <c r="I3086" s="3">
        <v>2025</v>
      </c>
      <c r="J3086" s="3" t="str">
        <f>CONCATENATE("54820237367")</f>
        <v>54820237367</v>
      </c>
      <c r="K3086" s="3" t="s">
        <v>33</v>
      </c>
      <c r="L3086" s="3"/>
      <c r="M3086" s="3" t="s">
        <v>131</v>
      </c>
      <c r="N3086" s="3" t="str">
        <f>CONCATENATE("MRNDNL89P23A462T")</f>
        <v>MRNDNL89P23A462T</v>
      </c>
      <c r="O3086" s="3" t="s">
        <v>3211</v>
      </c>
      <c r="P3086" s="3" t="s">
        <v>36</v>
      </c>
      <c r="Q3086" s="3"/>
      <c r="R3086" s="4">
        <v>45996</v>
      </c>
      <c r="S3086" s="3" t="s">
        <v>37</v>
      </c>
      <c r="T3086" s="3" t="s">
        <v>38</v>
      </c>
      <c r="U3086" s="3" t="s">
        <v>39</v>
      </c>
      <c r="V3086" s="3">
        <v>79.680000000000007</v>
      </c>
      <c r="W3086" s="3">
        <v>33.86</v>
      </c>
      <c r="X3086" s="3">
        <v>32.07</v>
      </c>
      <c r="Y3086" s="3">
        <v>13.75</v>
      </c>
    </row>
    <row r="3087" spans="1:25" ht="60.75" x14ac:dyDescent="0.25">
      <c r="A3087" s="3" t="s">
        <v>26</v>
      </c>
      <c r="B3087" s="3" t="s">
        <v>27</v>
      </c>
      <c r="C3087" s="3" t="s">
        <v>28</v>
      </c>
      <c r="D3087" s="3" t="s">
        <v>29</v>
      </c>
      <c r="E3087" s="3" t="s">
        <v>136</v>
      </c>
      <c r="F3087" s="3" t="s">
        <v>31</v>
      </c>
      <c r="G3087" s="3" t="s">
        <v>136</v>
      </c>
      <c r="H3087" s="3" t="s">
        <v>48</v>
      </c>
      <c r="I3087" s="3">
        <v>2025</v>
      </c>
      <c r="J3087" s="3" t="str">
        <f>CONCATENATE("54820196332")</f>
        <v>54820196332</v>
      </c>
      <c r="K3087" s="3" t="s">
        <v>33</v>
      </c>
      <c r="L3087" s="3"/>
      <c r="M3087" s="3" t="s">
        <v>131</v>
      </c>
      <c r="N3087" s="3" t="str">
        <f>CONCATENATE("SBSSVN40C71D965A")</f>
        <v>SBSSVN40C71D965A</v>
      </c>
      <c r="O3087" s="3" t="s">
        <v>3212</v>
      </c>
      <c r="P3087" s="3" t="s">
        <v>36</v>
      </c>
      <c r="Q3087" s="3"/>
      <c r="R3087" s="4">
        <v>45996</v>
      </c>
      <c r="S3087" s="3" t="s">
        <v>37</v>
      </c>
      <c r="T3087" s="3" t="s">
        <v>38</v>
      </c>
      <c r="U3087" s="3" t="s">
        <v>39</v>
      </c>
      <c r="V3087" s="3">
        <v>189.82</v>
      </c>
      <c r="W3087" s="3">
        <v>80.67</v>
      </c>
      <c r="X3087" s="3">
        <v>76.400000000000006</v>
      </c>
      <c r="Y3087" s="3">
        <v>32.75</v>
      </c>
    </row>
    <row r="3088" spans="1:25" ht="60.75" x14ac:dyDescent="0.25">
      <c r="A3088" s="3" t="s">
        <v>26</v>
      </c>
      <c r="B3088" s="3" t="s">
        <v>27</v>
      </c>
      <c r="C3088" s="3" t="s">
        <v>28</v>
      </c>
      <c r="D3088" s="3" t="s">
        <v>91</v>
      </c>
      <c r="E3088" s="3" t="s">
        <v>522</v>
      </c>
      <c r="F3088" s="3" t="s">
        <v>93</v>
      </c>
      <c r="G3088" s="3" t="s">
        <v>522</v>
      </c>
      <c r="H3088" s="3" t="s">
        <v>32</v>
      </c>
      <c r="I3088" s="3">
        <v>2025</v>
      </c>
      <c r="J3088" s="3" t="str">
        <f>CONCATENATE("54820139647")</f>
        <v>54820139647</v>
      </c>
      <c r="K3088" s="3" t="s">
        <v>33</v>
      </c>
      <c r="L3088" s="3"/>
      <c r="M3088" s="3" t="s">
        <v>131</v>
      </c>
      <c r="N3088" s="3" t="str">
        <f>CONCATENATE("BCCMRC72D13L407W")</f>
        <v>BCCMRC72D13L407W</v>
      </c>
      <c r="O3088" s="3" t="s">
        <v>3213</v>
      </c>
      <c r="P3088" s="3" t="s">
        <v>36</v>
      </c>
      <c r="Q3088" s="3"/>
      <c r="R3088" s="4">
        <v>45996</v>
      </c>
      <c r="S3088" s="3" t="s">
        <v>37</v>
      </c>
      <c r="T3088" s="3" t="s">
        <v>38</v>
      </c>
      <c r="U3088" s="3" t="s">
        <v>39</v>
      </c>
      <c r="V3088" s="3">
        <v>378.2</v>
      </c>
      <c r="W3088" s="3">
        <v>160.74</v>
      </c>
      <c r="X3088" s="3">
        <v>152.22999999999999</v>
      </c>
      <c r="Y3088" s="3">
        <v>65.23</v>
      </c>
    </row>
    <row r="3089" spans="1:25" ht="60.75" x14ac:dyDescent="0.25">
      <c r="A3089" s="3" t="s">
        <v>26</v>
      </c>
      <c r="B3089" s="3" t="s">
        <v>27</v>
      </c>
      <c r="C3089" s="3" t="s">
        <v>28</v>
      </c>
      <c r="D3089" s="3" t="s">
        <v>50</v>
      </c>
      <c r="E3089" s="3" t="s">
        <v>212</v>
      </c>
      <c r="F3089" s="3" t="s">
        <v>52</v>
      </c>
      <c r="G3089" s="3" t="s">
        <v>212</v>
      </c>
      <c r="H3089" s="3" t="s">
        <v>32</v>
      </c>
      <c r="I3089" s="3">
        <v>2025</v>
      </c>
      <c r="J3089" s="3" t="str">
        <f>CONCATENATE("54820191416")</f>
        <v>54820191416</v>
      </c>
      <c r="K3089" s="3" t="s">
        <v>33</v>
      </c>
      <c r="L3089" s="3"/>
      <c r="M3089" s="3" t="s">
        <v>131</v>
      </c>
      <c r="N3089" s="3" t="str">
        <f>CONCATENATE("SRRGNN45H24L191I")</f>
        <v>SRRGNN45H24L191I</v>
      </c>
      <c r="O3089" s="3" t="s">
        <v>3214</v>
      </c>
      <c r="P3089" s="3" t="s">
        <v>36</v>
      </c>
      <c r="Q3089" s="3"/>
      <c r="R3089" s="4">
        <v>45996</v>
      </c>
      <c r="S3089" s="3" t="s">
        <v>37</v>
      </c>
      <c r="T3089" s="3" t="s">
        <v>38</v>
      </c>
      <c r="U3089" s="3" t="s">
        <v>39</v>
      </c>
      <c r="V3089" s="3">
        <v>64.930000000000007</v>
      </c>
      <c r="W3089" s="3">
        <v>27.6</v>
      </c>
      <c r="X3089" s="3">
        <v>26.13</v>
      </c>
      <c r="Y3089" s="3">
        <v>11.2</v>
      </c>
    </row>
    <row r="3090" spans="1:25" ht="60.75" x14ac:dyDescent="0.25">
      <c r="A3090" s="3" t="s">
        <v>26</v>
      </c>
      <c r="B3090" s="3" t="s">
        <v>27</v>
      </c>
      <c r="C3090" s="3" t="s">
        <v>28</v>
      </c>
      <c r="D3090" s="3" t="s">
        <v>50</v>
      </c>
      <c r="E3090" s="3" t="s">
        <v>147</v>
      </c>
      <c r="F3090" s="3" t="s">
        <v>52</v>
      </c>
      <c r="G3090" s="3" t="s">
        <v>147</v>
      </c>
      <c r="H3090" s="3" t="s">
        <v>45</v>
      </c>
      <c r="I3090" s="3">
        <v>2025</v>
      </c>
      <c r="J3090" s="3" t="str">
        <f>CONCATENATE("54820183983")</f>
        <v>54820183983</v>
      </c>
      <c r="K3090" s="3" t="s">
        <v>33</v>
      </c>
      <c r="L3090" s="3"/>
      <c r="M3090" s="3" t="s">
        <v>131</v>
      </c>
      <c r="N3090" s="3" t="str">
        <f>CONCATENATE("SBTDTL66C57L498V")</f>
        <v>SBTDTL66C57L498V</v>
      </c>
      <c r="O3090" s="3" t="s">
        <v>3215</v>
      </c>
      <c r="P3090" s="3" t="s">
        <v>36</v>
      </c>
      <c r="Q3090" s="3"/>
      <c r="R3090" s="4">
        <v>45996</v>
      </c>
      <c r="S3090" s="3" t="s">
        <v>37</v>
      </c>
      <c r="T3090" s="3" t="s">
        <v>38</v>
      </c>
      <c r="U3090" s="3" t="s">
        <v>39</v>
      </c>
      <c r="V3090" s="3">
        <v>267.67</v>
      </c>
      <c r="W3090" s="3">
        <v>113.76</v>
      </c>
      <c r="X3090" s="3">
        <v>107.74</v>
      </c>
      <c r="Y3090" s="3">
        <v>46.17</v>
      </c>
    </row>
    <row r="3091" spans="1:25" ht="60.75" x14ac:dyDescent="0.25">
      <c r="A3091" s="3" t="s">
        <v>26</v>
      </c>
      <c r="B3091" s="3" t="s">
        <v>27</v>
      </c>
      <c r="C3091" s="3" t="s">
        <v>28</v>
      </c>
      <c r="D3091" s="3" t="s">
        <v>50</v>
      </c>
      <c r="E3091" s="3" t="s">
        <v>147</v>
      </c>
      <c r="F3091" s="3" t="s">
        <v>52</v>
      </c>
      <c r="G3091" s="3" t="s">
        <v>147</v>
      </c>
      <c r="H3091" s="3" t="s">
        <v>45</v>
      </c>
      <c r="I3091" s="3">
        <v>2025</v>
      </c>
      <c r="J3091" s="3" t="str">
        <f>CONCATENATE("54820182415")</f>
        <v>54820182415</v>
      </c>
      <c r="K3091" s="3" t="s">
        <v>33</v>
      </c>
      <c r="L3091" s="3"/>
      <c r="M3091" s="3" t="s">
        <v>131</v>
      </c>
      <c r="N3091" s="3" t="str">
        <f>CONCATENATE("RSCLNZ67E25F715N")</f>
        <v>RSCLNZ67E25F715N</v>
      </c>
      <c r="O3091" s="3" t="s">
        <v>3216</v>
      </c>
      <c r="P3091" s="3" t="s">
        <v>36</v>
      </c>
      <c r="Q3091" s="3"/>
      <c r="R3091" s="4">
        <v>45996</v>
      </c>
      <c r="S3091" s="3" t="s">
        <v>37</v>
      </c>
      <c r="T3091" s="3" t="s">
        <v>38</v>
      </c>
      <c r="U3091" s="3" t="s">
        <v>39</v>
      </c>
      <c r="V3091" s="3">
        <v>708.74</v>
      </c>
      <c r="W3091" s="3">
        <v>301.20999999999998</v>
      </c>
      <c r="X3091" s="3">
        <v>285.27</v>
      </c>
      <c r="Y3091" s="3">
        <v>122.26</v>
      </c>
    </row>
    <row r="3092" spans="1:25" ht="60.75" x14ac:dyDescent="0.25">
      <c r="A3092" s="3" t="s">
        <v>26</v>
      </c>
      <c r="B3092" s="3" t="s">
        <v>27</v>
      </c>
      <c r="C3092" s="3" t="s">
        <v>28</v>
      </c>
      <c r="D3092" s="3" t="s">
        <v>50</v>
      </c>
      <c r="E3092" s="3" t="s">
        <v>51</v>
      </c>
      <c r="F3092" s="3" t="s">
        <v>52</v>
      </c>
      <c r="G3092" s="3" t="s">
        <v>51</v>
      </c>
      <c r="H3092" s="3" t="s">
        <v>32</v>
      </c>
      <c r="I3092" s="3">
        <v>2025</v>
      </c>
      <c r="J3092" s="3" t="str">
        <f>CONCATENATE("54820196704")</f>
        <v>54820196704</v>
      </c>
      <c r="K3092" s="3" t="s">
        <v>33</v>
      </c>
      <c r="L3092" s="3"/>
      <c r="M3092" s="3" t="s">
        <v>131</v>
      </c>
      <c r="N3092" s="3" t="str">
        <f>CONCATENATE("CRRSMN78S09F051S")</f>
        <v>CRRSMN78S09F051S</v>
      </c>
      <c r="O3092" s="3" t="s">
        <v>3217</v>
      </c>
      <c r="P3092" s="3" t="s">
        <v>36</v>
      </c>
      <c r="Q3092" s="3"/>
      <c r="R3092" s="4">
        <v>45996</v>
      </c>
      <c r="S3092" s="3" t="s">
        <v>37</v>
      </c>
      <c r="T3092" s="3" t="s">
        <v>38</v>
      </c>
      <c r="U3092" s="3" t="s">
        <v>39</v>
      </c>
      <c r="V3092" s="3">
        <v>202.35</v>
      </c>
      <c r="W3092" s="3">
        <v>86</v>
      </c>
      <c r="X3092" s="3">
        <v>81.45</v>
      </c>
      <c r="Y3092" s="3">
        <v>34.9</v>
      </c>
    </row>
    <row r="3093" spans="1:25" ht="60.75" x14ac:dyDescent="0.25">
      <c r="A3093" s="3" t="s">
        <v>26</v>
      </c>
      <c r="B3093" s="3" t="s">
        <v>27</v>
      </c>
      <c r="C3093" s="3" t="s">
        <v>28</v>
      </c>
      <c r="D3093" s="3" t="s">
        <v>29</v>
      </c>
      <c r="E3093" s="3" t="s">
        <v>182</v>
      </c>
      <c r="F3093" s="3" t="s">
        <v>31</v>
      </c>
      <c r="G3093" s="3" t="s">
        <v>182</v>
      </c>
      <c r="H3093" s="3" t="s">
        <v>45</v>
      </c>
      <c r="I3093" s="3">
        <v>2025</v>
      </c>
      <c r="J3093" s="3" t="str">
        <f>CONCATENATE("54820145636")</f>
        <v>54820145636</v>
      </c>
      <c r="K3093" s="3" t="s">
        <v>33</v>
      </c>
      <c r="L3093" s="3"/>
      <c r="M3093" s="3" t="s">
        <v>131</v>
      </c>
      <c r="N3093" s="3" t="str">
        <f>CONCATENATE("LGILRS41B15L500L")</f>
        <v>LGILRS41B15L500L</v>
      </c>
      <c r="O3093" s="3" t="s">
        <v>3101</v>
      </c>
      <c r="P3093" s="3" t="s">
        <v>36</v>
      </c>
      <c r="Q3093" s="3"/>
      <c r="R3093" s="4">
        <v>45996</v>
      </c>
      <c r="S3093" s="3" t="s">
        <v>37</v>
      </c>
      <c r="T3093" s="3" t="s">
        <v>38</v>
      </c>
      <c r="U3093" s="3" t="s">
        <v>39</v>
      </c>
      <c r="V3093" s="3">
        <v>127.57</v>
      </c>
      <c r="W3093" s="3">
        <v>54.22</v>
      </c>
      <c r="X3093" s="3">
        <v>51.35</v>
      </c>
      <c r="Y3093" s="3">
        <v>22</v>
      </c>
    </row>
    <row r="3094" spans="1:25" ht="36.75" x14ac:dyDescent="0.25">
      <c r="A3094" s="3" t="s">
        <v>26</v>
      </c>
      <c r="B3094" s="3" t="s">
        <v>27</v>
      </c>
      <c r="C3094" s="3" t="s">
        <v>28</v>
      </c>
      <c r="D3094" s="3" t="s">
        <v>91</v>
      </c>
      <c r="E3094" s="3" t="s">
        <v>522</v>
      </c>
      <c r="F3094" s="3" t="s">
        <v>93</v>
      </c>
      <c r="G3094" s="3" t="s">
        <v>522</v>
      </c>
      <c r="H3094" s="3" t="s">
        <v>32</v>
      </c>
      <c r="I3094" s="3">
        <v>2025</v>
      </c>
      <c r="J3094" s="3" t="str">
        <f>CONCATENATE("54820132493")</f>
        <v>54820132493</v>
      </c>
      <c r="K3094" s="3" t="s">
        <v>33</v>
      </c>
      <c r="L3094" s="3"/>
      <c r="M3094" s="3" t="s">
        <v>131</v>
      </c>
      <c r="N3094" s="3" t="str">
        <f>CONCATENATE("02922040429")</f>
        <v>02922040429</v>
      </c>
      <c r="O3094" s="3" t="s">
        <v>3218</v>
      </c>
      <c r="P3094" s="3" t="s">
        <v>36</v>
      </c>
      <c r="Q3094" s="3"/>
      <c r="R3094" s="4">
        <v>45996</v>
      </c>
      <c r="S3094" s="3" t="s">
        <v>37</v>
      </c>
      <c r="T3094" s="3" t="s">
        <v>38</v>
      </c>
      <c r="U3094" s="3" t="s">
        <v>39</v>
      </c>
      <c r="V3094" s="3">
        <v>615.5</v>
      </c>
      <c r="W3094" s="3">
        <v>261.58999999999997</v>
      </c>
      <c r="X3094" s="3">
        <v>247.74</v>
      </c>
      <c r="Y3094" s="3">
        <v>106.17</v>
      </c>
    </row>
    <row r="3095" spans="1:25" ht="60.75" x14ac:dyDescent="0.25">
      <c r="A3095" s="3" t="s">
        <v>26</v>
      </c>
      <c r="B3095" s="3" t="s">
        <v>27</v>
      </c>
      <c r="C3095" s="3" t="s">
        <v>28</v>
      </c>
      <c r="D3095" s="3" t="s">
        <v>29</v>
      </c>
      <c r="E3095" s="3" t="s">
        <v>136</v>
      </c>
      <c r="F3095" s="3" t="s">
        <v>31</v>
      </c>
      <c r="G3095" s="3" t="s">
        <v>136</v>
      </c>
      <c r="H3095" s="3" t="s">
        <v>48</v>
      </c>
      <c r="I3095" s="3">
        <v>2025</v>
      </c>
      <c r="J3095" s="3" t="str">
        <f>CONCATENATE("54820175211")</f>
        <v>54820175211</v>
      </c>
      <c r="K3095" s="3" t="s">
        <v>33</v>
      </c>
      <c r="L3095" s="3"/>
      <c r="M3095" s="3" t="s">
        <v>131</v>
      </c>
      <c r="N3095" s="3" t="str">
        <f>CONCATENATE("RSSRLL68A71A366Z")</f>
        <v>RSSRLL68A71A366Z</v>
      </c>
      <c r="O3095" s="3" t="s">
        <v>3219</v>
      </c>
      <c r="P3095" s="3" t="s">
        <v>36</v>
      </c>
      <c r="Q3095" s="3"/>
      <c r="R3095" s="4">
        <v>45996</v>
      </c>
      <c r="S3095" s="3" t="s">
        <v>37</v>
      </c>
      <c r="T3095" s="3" t="s">
        <v>38</v>
      </c>
      <c r="U3095" s="3" t="s">
        <v>39</v>
      </c>
      <c r="V3095" s="3">
        <v>65.92</v>
      </c>
      <c r="W3095" s="3">
        <v>28.02</v>
      </c>
      <c r="X3095" s="3">
        <v>26.53</v>
      </c>
      <c r="Y3095" s="3">
        <v>11.37</v>
      </c>
    </row>
    <row r="3096" spans="1:25" ht="60.75" x14ac:dyDescent="0.25">
      <c r="A3096" s="3" t="s">
        <v>26</v>
      </c>
      <c r="B3096" s="3" t="s">
        <v>27</v>
      </c>
      <c r="C3096" s="3" t="s">
        <v>28</v>
      </c>
      <c r="D3096" s="3" t="s">
        <v>29</v>
      </c>
      <c r="E3096" s="3" t="s">
        <v>47</v>
      </c>
      <c r="F3096" s="3" t="s">
        <v>31</v>
      </c>
      <c r="G3096" s="3" t="s">
        <v>47</v>
      </c>
      <c r="H3096" s="3" t="s">
        <v>48</v>
      </c>
      <c r="I3096" s="3">
        <v>2025</v>
      </c>
      <c r="J3096" s="3" t="str">
        <f>CONCATENATE("54820189022")</f>
        <v>54820189022</v>
      </c>
      <c r="K3096" s="3" t="s">
        <v>33</v>
      </c>
      <c r="L3096" s="3"/>
      <c r="M3096" s="3" t="s">
        <v>131</v>
      </c>
      <c r="N3096" s="3" t="str">
        <f>CONCATENATE("BRBCLL97H25D451H")</f>
        <v>BRBCLL97H25D451H</v>
      </c>
      <c r="O3096" s="3" t="s">
        <v>3220</v>
      </c>
      <c r="P3096" s="3" t="s">
        <v>36</v>
      </c>
      <c r="Q3096" s="3"/>
      <c r="R3096" s="4">
        <v>45996</v>
      </c>
      <c r="S3096" s="3" t="s">
        <v>37</v>
      </c>
      <c r="T3096" s="3" t="s">
        <v>38</v>
      </c>
      <c r="U3096" s="3" t="s">
        <v>39</v>
      </c>
      <c r="V3096" s="3">
        <v>676.84</v>
      </c>
      <c r="W3096" s="3">
        <v>287.66000000000003</v>
      </c>
      <c r="X3096" s="3">
        <v>272.43</v>
      </c>
      <c r="Y3096" s="3">
        <v>116.75</v>
      </c>
    </row>
    <row r="3097" spans="1:25" ht="60.75" x14ac:dyDescent="0.25">
      <c r="A3097" s="3" t="s">
        <v>26</v>
      </c>
      <c r="B3097" s="3" t="s">
        <v>27</v>
      </c>
      <c r="C3097" s="3" t="s">
        <v>28</v>
      </c>
      <c r="D3097" s="3" t="s">
        <v>29</v>
      </c>
      <c r="E3097" s="3" t="s">
        <v>119</v>
      </c>
      <c r="F3097" s="3" t="s">
        <v>31</v>
      </c>
      <c r="G3097" s="3" t="s">
        <v>119</v>
      </c>
      <c r="H3097" s="3" t="s">
        <v>96</v>
      </c>
      <c r="I3097" s="3">
        <v>2025</v>
      </c>
      <c r="J3097" s="3" t="str">
        <f>CONCATENATE("54820197595")</f>
        <v>54820197595</v>
      </c>
      <c r="K3097" s="3" t="s">
        <v>33</v>
      </c>
      <c r="L3097" s="3"/>
      <c r="M3097" s="3" t="s">
        <v>131</v>
      </c>
      <c r="N3097" s="3" t="str">
        <f>CONCATENATE("VNRSNT46S19D691I")</f>
        <v>VNRSNT46S19D691I</v>
      </c>
      <c r="O3097" s="3" t="s">
        <v>3221</v>
      </c>
      <c r="P3097" s="3" t="s">
        <v>36</v>
      </c>
      <c r="Q3097" s="3"/>
      <c r="R3097" s="4">
        <v>45996</v>
      </c>
      <c r="S3097" s="3" t="s">
        <v>37</v>
      </c>
      <c r="T3097" s="3" t="s">
        <v>38</v>
      </c>
      <c r="U3097" s="3" t="s">
        <v>39</v>
      </c>
      <c r="V3097" s="3">
        <v>745.47</v>
      </c>
      <c r="W3097" s="3">
        <v>316.82</v>
      </c>
      <c r="X3097" s="3">
        <v>300.05</v>
      </c>
      <c r="Y3097" s="3">
        <v>128.6</v>
      </c>
    </row>
    <row r="3098" spans="1:25" ht="60.75" x14ac:dyDescent="0.25">
      <c r="A3098" s="3" t="s">
        <v>26</v>
      </c>
      <c r="B3098" s="3" t="s">
        <v>27</v>
      </c>
      <c r="C3098" s="3" t="s">
        <v>28</v>
      </c>
      <c r="D3098" s="3" t="s">
        <v>50</v>
      </c>
      <c r="E3098" s="3" t="s">
        <v>252</v>
      </c>
      <c r="F3098" s="3" t="s">
        <v>52</v>
      </c>
      <c r="G3098" s="3" t="s">
        <v>252</v>
      </c>
      <c r="H3098" s="3" t="s">
        <v>45</v>
      </c>
      <c r="I3098" s="3">
        <v>2025</v>
      </c>
      <c r="J3098" s="3" t="str">
        <f>CONCATENATE("54820121322")</f>
        <v>54820121322</v>
      </c>
      <c r="K3098" s="3" t="s">
        <v>33</v>
      </c>
      <c r="L3098" s="3"/>
      <c r="M3098" s="3" t="s">
        <v>131</v>
      </c>
      <c r="N3098" s="3" t="str">
        <f>CONCATENATE("TAILBA43S68F497D")</f>
        <v>TAILBA43S68F497D</v>
      </c>
      <c r="O3098" s="3" t="s">
        <v>3222</v>
      </c>
      <c r="P3098" s="3" t="s">
        <v>36</v>
      </c>
      <c r="Q3098" s="3"/>
      <c r="R3098" s="4">
        <v>45996</v>
      </c>
      <c r="S3098" s="3" t="s">
        <v>37</v>
      </c>
      <c r="T3098" s="3" t="s">
        <v>38</v>
      </c>
      <c r="U3098" s="3" t="s">
        <v>39</v>
      </c>
      <c r="V3098" s="3">
        <v>177</v>
      </c>
      <c r="W3098" s="3">
        <v>75.23</v>
      </c>
      <c r="X3098" s="3">
        <v>71.239999999999995</v>
      </c>
      <c r="Y3098" s="3">
        <v>30.53</v>
      </c>
    </row>
    <row r="3099" spans="1:25" ht="60.75" x14ac:dyDescent="0.25">
      <c r="A3099" s="3" t="s">
        <v>26</v>
      </c>
      <c r="B3099" s="3" t="s">
        <v>27</v>
      </c>
      <c r="C3099" s="3" t="s">
        <v>28</v>
      </c>
      <c r="D3099" s="3" t="s">
        <v>29</v>
      </c>
      <c r="E3099" s="3" t="s">
        <v>101</v>
      </c>
      <c r="F3099" s="3" t="s">
        <v>31</v>
      </c>
      <c r="G3099" s="3" t="s">
        <v>101</v>
      </c>
      <c r="H3099" s="3" t="s">
        <v>32</v>
      </c>
      <c r="I3099" s="3">
        <v>2025</v>
      </c>
      <c r="J3099" s="3" t="str">
        <f>CONCATENATE("54820168596")</f>
        <v>54820168596</v>
      </c>
      <c r="K3099" s="3" t="s">
        <v>33</v>
      </c>
      <c r="L3099" s="3"/>
      <c r="M3099" s="3" t="s">
        <v>131</v>
      </c>
      <c r="N3099" s="3" t="str">
        <f>CONCATENATE("CRVVNZ67H10I651L")</f>
        <v>CRVVNZ67H10I651L</v>
      </c>
      <c r="O3099" s="3" t="s">
        <v>3223</v>
      </c>
      <c r="P3099" s="3" t="s">
        <v>36</v>
      </c>
      <c r="Q3099" s="3"/>
      <c r="R3099" s="4">
        <v>45996</v>
      </c>
      <c r="S3099" s="3" t="s">
        <v>37</v>
      </c>
      <c r="T3099" s="3" t="s">
        <v>38</v>
      </c>
      <c r="U3099" s="3" t="s">
        <v>39</v>
      </c>
      <c r="V3099" s="3">
        <v>52.82</v>
      </c>
      <c r="W3099" s="3">
        <v>22.45</v>
      </c>
      <c r="X3099" s="3">
        <v>21.26</v>
      </c>
      <c r="Y3099" s="3">
        <v>9.11</v>
      </c>
    </row>
    <row r="3100" spans="1:25" ht="60.75" x14ac:dyDescent="0.25">
      <c r="A3100" s="3" t="s">
        <v>26</v>
      </c>
      <c r="B3100" s="3" t="s">
        <v>27</v>
      </c>
      <c r="C3100" s="3" t="s">
        <v>28</v>
      </c>
      <c r="D3100" s="3" t="s">
        <v>50</v>
      </c>
      <c r="E3100" s="3" t="s">
        <v>60</v>
      </c>
      <c r="F3100" s="3" t="s">
        <v>52</v>
      </c>
      <c r="G3100" s="3" t="s">
        <v>60</v>
      </c>
      <c r="H3100" s="3" t="s">
        <v>45</v>
      </c>
      <c r="I3100" s="3">
        <v>2025</v>
      </c>
      <c r="J3100" s="3" t="str">
        <f>CONCATENATE("54820120811")</f>
        <v>54820120811</v>
      </c>
      <c r="K3100" s="3" t="s">
        <v>33</v>
      </c>
      <c r="L3100" s="3"/>
      <c r="M3100" s="3" t="s">
        <v>131</v>
      </c>
      <c r="N3100" s="3" t="str">
        <f>CONCATENATE("MRLNNA53T48G453W")</f>
        <v>MRLNNA53T48G453W</v>
      </c>
      <c r="O3100" s="3" t="s">
        <v>3224</v>
      </c>
      <c r="P3100" s="3" t="s">
        <v>36</v>
      </c>
      <c r="Q3100" s="3"/>
      <c r="R3100" s="4">
        <v>45996</v>
      </c>
      <c r="S3100" s="3" t="s">
        <v>37</v>
      </c>
      <c r="T3100" s="3" t="s">
        <v>38</v>
      </c>
      <c r="U3100" s="3" t="s">
        <v>39</v>
      </c>
      <c r="V3100" s="3">
        <v>324.89999999999998</v>
      </c>
      <c r="W3100" s="3">
        <v>138.08000000000001</v>
      </c>
      <c r="X3100" s="3">
        <v>130.77000000000001</v>
      </c>
      <c r="Y3100" s="3">
        <v>56.05</v>
      </c>
    </row>
    <row r="3101" spans="1:25" ht="60.75" x14ac:dyDescent="0.25">
      <c r="A3101" s="3" t="s">
        <v>26</v>
      </c>
      <c r="B3101" s="3" t="s">
        <v>27</v>
      </c>
      <c r="C3101" s="3" t="s">
        <v>28</v>
      </c>
      <c r="D3101" s="3" t="s">
        <v>29</v>
      </c>
      <c r="E3101" s="3" t="s">
        <v>182</v>
      </c>
      <c r="F3101" s="3" t="s">
        <v>31</v>
      </c>
      <c r="G3101" s="3" t="s">
        <v>182</v>
      </c>
      <c r="H3101" s="3" t="s">
        <v>45</v>
      </c>
      <c r="I3101" s="3">
        <v>2025</v>
      </c>
      <c r="J3101" s="3" t="str">
        <f>CONCATENATE("54820149547")</f>
        <v>54820149547</v>
      </c>
      <c r="K3101" s="3" t="s">
        <v>33</v>
      </c>
      <c r="L3101" s="3"/>
      <c r="M3101" s="3" t="s">
        <v>131</v>
      </c>
      <c r="N3101" s="3" t="str">
        <f>CONCATENATE("PRTRTT74E55L500B")</f>
        <v>PRTRTT74E55L500B</v>
      </c>
      <c r="O3101" s="3" t="s">
        <v>3225</v>
      </c>
      <c r="P3101" s="3" t="s">
        <v>36</v>
      </c>
      <c r="Q3101" s="3"/>
      <c r="R3101" s="4">
        <v>45996</v>
      </c>
      <c r="S3101" s="3" t="s">
        <v>37</v>
      </c>
      <c r="T3101" s="3" t="s">
        <v>38</v>
      </c>
      <c r="U3101" s="3" t="s">
        <v>39</v>
      </c>
      <c r="V3101" s="3">
        <v>516.28</v>
      </c>
      <c r="W3101" s="3">
        <v>219.42</v>
      </c>
      <c r="X3101" s="3">
        <v>207.8</v>
      </c>
      <c r="Y3101" s="3">
        <v>89.06</v>
      </c>
    </row>
    <row r="3102" spans="1:25" ht="36.75" x14ac:dyDescent="0.25">
      <c r="A3102" s="3" t="s">
        <v>26</v>
      </c>
      <c r="B3102" s="3" t="s">
        <v>27</v>
      </c>
      <c r="C3102" s="3" t="s">
        <v>28</v>
      </c>
      <c r="D3102" s="3" t="s">
        <v>29</v>
      </c>
      <c r="E3102" s="3" t="s">
        <v>56</v>
      </c>
      <c r="F3102" s="3" t="s">
        <v>31</v>
      </c>
      <c r="G3102" s="3" t="s">
        <v>56</v>
      </c>
      <c r="H3102" s="3" t="s">
        <v>32</v>
      </c>
      <c r="I3102" s="3">
        <v>2025</v>
      </c>
      <c r="J3102" s="3" t="str">
        <f>CONCATENATE("54820177886")</f>
        <v>54820177886</v>
      </c>
      <c r="K3102" s="3" t="s">
        <v>33</v>
      </c>
      <c r="L3102" s="3"/>
      <c r="M3102" s="3" t="s">
        <v>131</v>
      </c>
      <c r="N3102" s="3" t="str">
        <f>CONCATENATE("01641480437")</f>
        <v>01641480437</v>
      </c>
      <c r="O3102" s="3" t="s">
        <v>3226</v>
      </c>
      <c r="P3102" s="3" t="s">
        <v>36</v>
      </c>
      <c r="Q3102" s="3"/>
      <c r="R3102" s="4">
        <v>45996</v>
      </c>
      <c r="S3102" s="3" t="s">
        <v>37</v>
      </c>
      <c r="T3102" s="3" t="s">
        <v>38</v>
      </c>
      <c r="U3102" s="3" t="s">
        <v>39</v>
      </c>
      <c r="V3102" s="3">
        <v>701.31</v>
      </c>
      <c r="W3102" s="3">
        <v>298.06</v>
      </c>
      <c r="X3102" s="3">
        <v>282.27999999999997</v>
      </c>
      <c r="Y3102" s="3">
        <v>120.97</v>
      </c>
    </row>
    <row r="3103" spans="1:25" ht="60.75" x14ac:dyDescent="0.25">
      <c r="A3103" s="3" t="s">
        <v>26</v>
      </c>
      <c r="B3103" s="3" t="s">
        <v>27</v>
      </c>
      <c r="C3103" s="3" t="s">
        <v>28</v>
      </c>
      <c r="D3103" s="3" t="s">
        <v>29</v>
      </c>
      <c r="E3103" s="3" t="s">
        <v>136</v>
      </c>
      <c r="F3103" s="3" t="s">
        <v>31</v>
      </c>
      <c r="G3103" s="3" t="s">
        <v>136</v>
      </c>
      <c r="H3103" s="3" t="s">
        <v>48</v>
      </c>
      <c r="I3103" s="3">
        <v>2025</v>
      </c>
      <c r="J3103" s="3" t="str">
        <f>CONCATENATE("54820160114")</f>
        <v>54820160114</v>
      </c>
      <c r="K3103" s="3" t="s">
        <v>33</v>
      </c>
      <c r="L3103" s="3"/>
      <c r="M3103" s="3" t="s">
        <v>131</v>
      </c>
      <c r="N3103" s="3" t="str">
        <f>CONCATENATE("CNCNNL67T68I461V")</f>
        <v>CNCNNL67T68I461V</v>
      </c>
      <c r="O3103" s="3" t="s">
        <v>3227</v>
      </c>
      <c r="P3103" s="3" t="s">
        <v>36</v>
      </c>
      <c r="Q3103" s="3"/>
      <c r="R3103" s="4">
        <v>45996</v>
      </c>
      <c r="S3103" s="3" t="s">
        <v>37</v>
      </c>
      <c r="T3103" s="3" t="s">
        <v>38</v>
      </c>
      <c r="U3103" s="3" t="s">
        <v>39</v>
      </c>
      <c r="V3103" s="3">
        <v>100.19</v>
      </c>
      <c r="W3103" s="3">
        <v>42.58</v>
      </c>
      <c r="X3103" s="3">
        <v>40.33</v>
      </c>
      <c r="Y3103" s="3">
        <v>17.28</v>
      </c>
    </row>
    <row r="3104" spans="1:25" ht="60.75" x14ac:dyDescent="0.25">
      <c r="A3104" s="3" t="s">
        <v>26</v>
      </c>
      <c r="B3104" s="3" t="s">
        <v>27</v>
      </c>
      <c r="C3104" s="3" t="s">
        <v>28</v>
      </c>
      <c r="D3104" s="3" t="s">
        <v>50</v>
      </c>
      <c r="E3104" s="3" t="s">
        <v>60</v>
      </c>
      <c r="F3104" s="3" t="s">
        <v>52</v>
      </c>
      <c r="G3104" s="3" t="s">
        <v>60</v>
      </c>
      <c r="H3104" s="3" t="s">
        <v>45</v>
      </c>
      <c r="I3104" s="3">
        <v>2025</v>
      </c>
      <c r="J3104" s="3" t="str">
        <f>CONCATENATE("54820167432")</f>
        <v>54820167432</v>
      </c>
      <c r="K3104" s="3" t="s">
        <v>33</v>
      </c>
      <c r="L3104" s="3"/>
      <c r="M3104" s="3" t="s">
        <v>131</v>
      </c>
      <c r="N3104" s="3" t="str">
        <f>CONCATENATE("FRMDVD83A22L500P")</f>
        <v>FRMDVD83A22L500P</v>
      </c>
      <c r="O3104" s="3" t="s">
        <v>3228</v>
      </c>
      <c r="P3104" s="3" t="s">
        <v>36</v>
      </c>
      <c r="Q3104" s="3"/>
      <c r="R3104" s="4">
        <v>45996</v>
      </c>
      <c r="S3104" s="3" t="s">
        <v>37</v>
      </c>
      <c r="T3104" s="3" t="s">
        <v>38</v>
      </c>
      <c r="U3104" s="3" t="s">
        <v>39</v>
      </c>
      <c r="V3104" s="3">
        <v>411.03</v>
      </c>
      <c r="W3104" s="3">
        <v>174.69</v>
      </c>
      <c r="X3104" s="3">
        <v>165.44</v>
      </c>
      <c r="Y3104" s="3">
        <v>70.900000000000006</v>
      </c>
    </row>
    <row r="3105" spans="1:25" ht="60.75" x14ac:dyDescent="0.25">
      <c r="A3105" s="3" t="s">
        <v>26</v>
      </c>
      <c r="B3105" s="3" t="s">
        <v>27</v>
      </c>
      <c r="C3105" s="3" t="s">
        <v>28</v>
      </c>
      <c r="D3105" s="3" t="s">
        <v>104</v>
      </c>
      <c r="E3105" s="3" t="s">
        <v>141</v>
      </c>
      <c r="F3105" s="3" t="s">
        <v>104</v>
      </c>
      <c r="G3105" s="3" t="s">
        <v>141</v>
      </c>
      <c r="H3105" s="3" t="s">
        <v>96</v>
      </c>
      <c r="I3105" s="3">
        <v>2025</v>
      </c>
      <c r="J3105" s="3" t="str">
        <f>CONCATENATE("54820142419")</f>
        <v>54820142419</v>
      </c>
      <c r="K3105" s="3" t="s">
        <v>33</v>
      </c>
      <c r="L3105" s="3"/>
      <c r="M3105" s="3" t="s">
        <v>131</v>
      </c>
      <c r="N3105" s="3" t="str">
        <f>CONCATENATE("DNGGRN43R25C935G")</f>
        <v>DNGGRN43R25C935G</v>
      </c>
      <c r="O3105" s="3" t="s">
        <v>3229</v>
      </c>
      <c r="P3105" s="3" t="s">
        <v>36</v>
      </c>
      <c r="Q3105" s="3"/>
      <c r="R3105" s="4">
        <v>45996</v>
      </c>
      <c r="S3105" s="3" t="s">
        <v>37</v>
      </c>
      <c r="T3105" s="3" t="s">
        <v>38</v>
      </c>
      <c r="U3105" s="3" t="s">
        <v>39</v>
      </c>
      <c r="V3105" s="3">
        <v>73.2</v>
      </c>
      <c r="W3105" s="3">
        <v>31.11</v>
      </c>
      <c r="X3105" s="3">
        <v>29.46</v>
      </c>
      <c r="Y3105" s="3">
        <v>12.63</v>
      </c>
    </row>
    <row r="3106" spans="1:25" ht="36.75" x14ac:dyDescent="0.25">
      <c r="A3106" s="3" t="s">
        <v>26</v>
      </c>
      <c r="B3106" s="3" t="s">
        <v>27</v>
      </c>
      <c r="C3106" s="3" t="s">
        <v>28</v>
      </c>
      <c r="D3106" s="3" t="s">
        <v>50</v>
      </c>
      <c r="E3106" s="3" t="s">
        <v>149</v>
      </c>
      <c r="F3106" s="3" t="s">
        <v>52</v>
      </c>
      <c r="G3106" s="3" t="s">
        <v>149</v>
      </c>
      <c r="H3106" s="3" t="s">
        <v>96</v>
      </c>
      <c r="I3106" s="3">
        <v>2025</v>
      </c>
      <c r="J3106" s="3" t="str">
        <f>CONCATENATE("54820182803")</f>
        <v>54820182803</v>
      </c>
      <c r="K3106" s="3" t="s">
        <v>33</v>
      </c>
      <c r="L3106" s="3"/>
      <c r="M3106" s="3" t="s">
        <v>131</v>
      </c>
      <c r="N3106" s="3" t="str">
        <f>CONCATENATE("02448820445")</f>
        <v>02448820445</v>
      </c>
      <c r="O3106" s="3" t="s">
        <v>3230</v>
      </c>
      <c r="P3106" s="3" t="s">
        <v>36</v>
      </c>
      <c r="Q3106" s="3"/>
      <c r="R3106" s="4">
        <v>45996</v>
      </c>
      <c r="S3106" s="3" t="s">
        <v>37</v>
      </c>
      <c r="T3106" s="3" t="s">
        <v>38</v>
      </c>
      <c r="U3106" s="3" t="s">
        <v>39</v>
      </c>
      <c r="V3106" s="5">
        <v>1228.8800000000001</v>
      </c>
      <c r="W3106" s="3">
        <v>522.27</v>
      </c>
      <c r="X3106" s="3">
        <v>494.62</v>
      </c>
      <c r="Y3106" s="3">
        <v>211.99</v>
      </c>
    </row>
    <row r="3107" spans="1:25" ht="60.75" x14ac:dyDescent="0.25">
      <c r="A3107" s="3" t="s">
        <v>26</v>
      </c>
      <c r="B3107" s="3" t="s">
        <v>27</v>
      </c>
      <c r="C3107" s="3" t="s">
        <v>28</v>
      </c>
      <c r="D3107" s="3" t="s">
        <v>29</v>
      </c>
      <c r="E3107" s="3" t="s">
        <v>56</v>
      </c>
      <c r="F3107" s="3" t="s">
        <v>31</v>
      </c>
      <c r="G3107" s="3" t="s">
        <v>56</v>
      </c>
      <c r="H3107" s="3" t="s">
        <v>32</v>
      </c>
      <c r="I3107" s="3">
        <v>2025</v>
      </c>
      <c r="J3107" s="3" t="str">
        <f>CONCATENATE("54820121918")</f>
        <v>54820121918</v>
      </c>
      <c r="K3107" s="3" t="s">
        <v>33</v>
      </c>
      <c r="L3107" s="3"/>
      <c r="M3107" s="3" t="s">
        <v>131</v>
      </c>
      <c r="N3107" s="3" t="str">
        <f>CONCATENATE("PNNGLI47B04G657S")</f>
        <v>PNNGLI47B04G657S</v>
      </c>
      <c r="O3107" s="3" t="s">
        <v>3231</v>
      </c>
      <c r="P3107" s="3" t="s">
        <v>36</v>
      </c>
      <c r="Q3107" s="3"/>
      <c r="R3107" s="4">
        <v>45996</v>
      </c>
      <c r="S3107" s="3" t="s">
        <v>37</v>
      </c>
      <c r="T3107" s="3" t="s">
        <v>38</v>
      </c>
      <c r="U3107" s="3" t="s">
        <v>39</v>
      </c>
      <c r="V3107" s="3">
        <v>336.48</v>
      </c>
      <c r="W3107" s="3">
        <v>143</v>
      </c>
      <c r="X3107" s="3">
        <v>135.43</v>
      </c>
      <c r="Y3107" s="3">
        <v>58.05</v>
      </c>
    </row>
    <row r="3108" spans="1:25" ht="60.75" x14ac:dyDescent="0.25">
      <c r="A3108" s="3" t="s">
        <v>26</v>
      </c>
      <c r="B3108" s="3" t="s">
        <v>27</v>
      </c>
      <c r="C3108" s="3" t="s">
        <v>28</v>
      </c>
      <c r="D3108" s="3" t="s">
        <v>50</v>
      </c>
      <c r="E3108" s="3" t="s">
        <v>60</v>
      </c>
      <c r="F3108" s="3" t="s">
        <v>52</v>
      </c>
      <c r="G3108" s="3" t="s">
        <v>60</v>
      </c>
      <c r="H3108" s="3" t="s">
        <v>45</v>
      </c>
      <c r="I3108" s="3">
        <v>2025</v>
      </c>
      <c r="J3108" s="3" t="str">
        <f>CONCATENATE("54820214028")</f>
        <v>54820214028</v>
      </c>
      <c r="K3108" s="3" t="s">
        <v>33</v>
      </c>
      <c r="L3108" s="3"/>
      <c r="M3108" s="3" t="s">
        <v>131</v>
      </c>
      <c r="N3108" s="3" t="str">
        <f>CONCATENATE("BRLPTR67C18G453L")</f>
        <v>BRLPTR67C18G453L</v>
      </c>
      <c r="O3108" s="3" t="s">
        <v>3232</v>
      </c>
      <c r="P3108" s="3" t="s">
        <v>36</v>
      </c>
      <c r="Q3108" s="3"/>
      <c r="R3108" s="4">
        <v>45996</v>
      </c>
      <c r="S3108" s="3" t="s">
        <v>37</v>
      </c>
      <c r="T3108" s="3" t="s">
        <v>38</v>
      </c>
      <c r="U3108" s="3" t="s">
        <v>39</v>
      </c>
      <c r="V3108" s="3">
        <v>764.6</v>
      </c>
      <c r="W3108" s="3">
        <v>324.95999999999998</v>
      </c>
      <c r="X3108" s="3">
        <v>307.75</v>
      </c>
      <c r="Y3108" s="3">
        <v>131.88999999999999</v>
      </c>
    </row>
    <row r="3109" spans="1:25" ht="60.75" x14ac:dyDescent="0.25">
      <c r="A3109" s="3" t="s">
        <v>26</v>
      </c>
      <c r="B3109" s="3" t="s">
        <v>27</v>
      </c>
      <c r="C3109" s="3" t="s">
        <v>28</v>
      </c>
      <c r="D3109" s="3" t="s">
        <v>50</v>
      </c>
      <c r="E3109" s="3" t="s">
        <v>60</v>
      </c>
      <c r="F3109" s="3" t="s">
        <v>52</v>
      </c>
      <c r="G3109" s="3" t="s">
        <v>60</v>
      </c>
      <c r="H3109" s="3" t="s">
        <v>45</v>
      </c>
      <c r="I3109" s="3">
        <v>2025</v>
      </c>
      <c r="J3109" s="3" t="str">
        <f>CONCATENATE("54820143748")</f>
        <v>54820143748</v>
      </c>
      <c r="K3109" s="3" t="s">
        <v>33</v>
      </c>
      <c r="L3109" s="3"/>
      <c r="M3109" s="3" t="s">
        <v>131</v>
      </c>
      <c r="N3109" s="3" t="str">
        <f>CONCATENATE("GRRNZR66A03B352K")</f>
        <v>GRRNZR66A03B352K</v>
      </c>
      <c r="O3109" s="3" t="s">
        <v>3233</v>
      </c>
      <c r="P3109" s="3" t="s">
        <v>36</v>
      </c>
      <c r="Q3109" s="3"/>
      <c r="R3109" s="4">
        <v>45996</v>
      </c>
      <c r="S3109" s="3" t="s">
        <v>37</v>
      </c>
      <c r="T3109" s="3" t="s">
        <v>38</v>
      </c>
      <c r="U3109" s="3" t="s">
        <v>39</v>
      </c>
      <c r="V3109" s="3">
        <v>134.94</v>
      </c>
      <c r="W3109" s="3">
        <v>57.35</v>
      </c>
      <c r="X3109" s="3">
        <v>54.31</v>
      </c>
      <c r="Y3109" s="3">
        <v>23.28</v>
      </c>
    </row>
    <row r="3110" spans="1:25" ht="60.75" x14ac:dyDescent="0.25">
      <c r="A3110" s="3" t="s">
        <v>26</v>
      </c>
      <c r="B3110" s="3" t="s">
        <v>27</v>
      </c>
      <c r="C3110" s="3" t="s">
        <v>28</v>
      </c>
      <c r="D3110" s="3" t="s">
        <v>50</v>
      </c>
      <c r="E3110" s="3" t="s">
        <v>252</v>
      </c>
      <c r="F3110" s="3" t="s">
        <v>52</v>
      </c>
      <c r="G3110" s="3" t="s">
        <v>252</v>
      </c>
      <c r="H3110" s="3" t="s">
        <v>45</v>
      </c>
      <c r="I3110" s="3">
        <v>2025</v>
      </c>
      <c r="J3110" s="3" t="str">
        <f>CONCATENATE("54820134820")</f>
        <v>54820134820</v>
      </c>
      <c r="K3110" s="3" t="s">
        <v>33</v>
      </c>
      <c r="L3110" s="3"/>
      <c r="M3110" s="3" t="s">
        <v>131</v>
      </c>
      <c r="N3110" s="3" t="str">
        <f>CONCATENATE("GZZMRZ62E21D749Z")</f>
        <v>GZZMRZ62E21D749Z</v>
      </c>
      <c r="O3110" s="3" t="s">
        <v>3234</v>
      </c>
      <c r="P3110" s="3" t="s">
        <v>36</v>
      </c>
      <c r="Q3110" s="3"/>
      <c r="R3110" s="4">
        <v>45996</v>
      </c>
      <c r="S3110" s="3" t="s">
        <v>37</v>
      </c>
      <c r="T3110" s="3" t="s">
        <v>38</v>
      </c>
      <c r="U3110" s="3" t="s">
        <v>39</v>
      </c>
      <c r="V3110" s="3">
        <v>761.91</v>
      </c>
      <c r="W3110" s="3">
        <v>323.81</v>
      </c>
      <c r="X3110" s="3">
        <v>306.67</v>
      </c>
      <c r="Y3110" s="3">
        <v>131.43</v>
      </c>
    </row>
    <row r="3111" spans="1:25" ht="60.75" x14ac:dyDescent="0.25">
      <c r="A3111" s="3" t="s">
        <v>26</v>
      </c>
      <c r="B3111" s="3" t="s">
        <v>27</v>
      </c>
      <c r="C3111" s="3" t="s">
        <v>28</v>
      </c>
      <c r="D3111" s="3" t="s">
        <v>29</v>
      </c>
      <c r="E3111" s="3" t="s">
        <v>47</v>
      </c>
      <c r="F3111" s="3" t="s">
        <v>31</v>
      </c>
      <c r="G3111" s="3" t="s">
        <v>47</v>
      </c>
      <c r="H3111" s="3" t="s">
        <v>48</v>
      </c>
      <c r="I3111" s="3">
        <v>2025</v>
      </c>
      <c r="J3111" s="3" t="str">
        <f>CONCATENATE("54820169719")</f>
        <v>54820169719</v>
      </c>
      <c r="K3111" s="3" t="s">
        <v>33</v>
      </c>
      <c r="L3111" s="3"/>
      <c r="M3111" s="3" t="s">
        <v>131</v>
      </c>
      <c r="N3111" s="3" t="str">
        <f>CONCATENATE("STLFLR54A44F911P")</f>
        <v>STLFLR54A44F911P</v>
      </c>
      <c r="O3111" s="3" t="s">
        <v>3235</v>
      </c>
      <c r="P3111" s="3" t="s">
        <v>36</v>
      </c>
      <c r="Q3111" s="3"/>
      <c r="R3111" s="4">
        <v>45996</v>
      </c>
      <c r="S3111" s="3" t="s">
        <v>37</v>
      </c>
      <c r="T3111" s="3" t="s">
        <v>38</v>
      </c>
      <c r="U3111" s="3" t="s">
        <v>39</v>
      </c>
      <c r="V3111" s="3">
        <v>48.59</v>
      </c>
      <c r="W3111" s="3">
        <v>20.65</v>
      </c>
      <c r="X3111" s="3">
        <v>19.559999999999999</v>
      </c>
      <c r="Y3111" s="3">
        <v>8.3800000000000008</v>
      </c>
    </row>
    <row r="3112" spans="1:25" ht="72.75" x14ac:dyDescent="0.25">
      <c r="A3112" s="3" t="s">
        <v>26</v>
      </c>
      <c r="B3112" s="3" t="s">
        <v>27</v>
      </c>
      <c r="C3112" s="3" t="s">
        <v>28</v>
      </c>
      <c r="D3112" s="3" t="s">
        <v>29</v>
      </c>
      <c r="E3112" s="3" t="s">
        <v>47</v>
      </c>
      <c r="F3112" s="3" t="s">
        <v>31</v>
      </c>
      <c r="G3112" s="3" t="s">
        <v>47</v>
      </c>
      <c r="H3112" s="3" t="s">
        <v>48</v>
      </c>
      <c r="I3112" s="3">
        <v>2025</v>
      </c>
      <c r="J3112" s="3" t="str">
        <f>CONCATENATE("54820200373")</f>
        <v>54820200373</v>
      </c>
      <c r="K3112" s="3" t="s">
        <v>33</v>
      </c>
      <c r="L3112" s="3"/>
      <c r="M3112" s="3" t="s">
        <v>131</v>
      </c>
      <c r="N3112" s="3" t="str">
        <f>CONCATENATE("MRNLRD69A12D451V")</f>
        <v>MRNLRD69A12D451V</v>
      </c>
      <c r="O3112" s="3" t="s">
        <v>3236</v>
      </c>
      <c r="P3112" s="3" t="s">
        <v>36</v>
      </c>
      <c r="Q3112" s="3"/>
      <c r="R3112" s="4">
        <v>45996</v>
      </c>
      <c r="S3112" s="3" t="s">
        <v>37</v>
      </c>
      <c r="T3112" s="3" t="s">
        <v>38</v>
      </c>
      <c r="U3112" s="3" t="s">
        <v>39</v>
      </c>
      <c r="V3112" s="3">
        <v>356.45</v>
      </c>
      <c r="W3112" s="3">
        <v>151.49</v>
      </c>
      <c r="X3112" s="3">
        <v>143.47</v>
      </c>
      <c r="Y3112" s="3">
        <v>61.49</v>
      </c>
    </row>
    <row r="3113" spans="1:25" ht="72.75" x14ac:dyDescent="0.25">
      <c r="A3113" s="3" t="s">
        <v>26</v>
      </c>
      <c r="B3113" s="3" t="s">
        <v>27</v>
      </c>
      <c r="C3113" s="3" t="s">
        <v>28</v>
      </c>
      <c r="D3113" s="3" t="s">
        <v>50</v>
      </c>
      <c r="E3113" s="3" t="s">
        <v>147</v>
      </c>
      <c r="F3113" s="3" t="s">
        <v>52</v>
      </c>
      <c r="G3113" s="3" t="s">
        <v>147</v>
      </c>
      <c r="H3113" s="3" t="s">
        <v>45</v>
      </c>
      <c r="I3113" s="3">
        <v>2025</v>
      </c>
      <c r="J3113" s="3" t="str">
        <f>CONCATENATE("54820142351")</f>
        <v>54820142351</v>
      </c>
      <c r="K3113" s="3" t="s">
        <v>33</v>
      </c>
      <c r="L3113" s="3"/>
      <c r="M3113" s="3" t="s">
        <v>131</v>
      </c>
      <c r="N3113" s="3" t="str">
        <f>CONCATENATE("MMMDNC54C14G141L")</f>
        <v>MMMDNC54C14G141L</v>
      </c>
      <c r="O3113" s="3" t="s">
        <v>3237</v>
      </c>
      <c r="P3113" s="3" t="s">
        <v>36</v>
      </c>
      <c r="Q3113" s="3"/>
      <c r="R3113" s="4">
        <v>45996</v>
      </c>
      <c r="S3113" s="3" t="s">
        <v>37</v>
      </c>
      <c r="T3113" s="3" t="s">
        <v>38</v>
      </c>
      <c r="U3113" s="3" t="s">
        <v>39</v>
      </c>
      <c r="V3113" s="3">
        <v>69.180000000000007</v>
      </c>
      <c r="W3113" s="3">
        <v>29.4</v>
      </c>
      <c r="X3113" s="3">
        <v>27.84</v>
      </c>
      <c r="Y3113" s="3">
        <v>11.94</v>
      </c>
    </row>
    <row r="3114" spans="1:25" ht="72.75" x14ac:dyDescent="0.25">
      <c r="A3114" s="3" t="s">
        <v>26</v>
      </c>
      <c r="B3114" s="3" t="s">
        <v>27</v>
      </c>
      <c r="C3114" s="3" t="s">
        <v>28</v>
      </c>
      <c r="D3114" s="3" t="s">
        <v>50</v>
      </c>
      <c r="E3114" s="3" t="s">
        <v>51</v>
      </c>
      <c r="F3114" s="3" t="s">
        <v>52</v>
      </c>
      <c r="G3114" s="3" t="s">
        <v>51</v>
      </c>
      <c r="H3114" s="3" t="s">
        <v>48</v>
      </c>
      <c r="I3114" s="3">
        <v>2025</v>
      </c>
      <c r="J3114" s="3" t="str">
        <f>CONCATENATE("54820182001")</f>
        <v>54820182001</v>
      </c>
      <c r="K3114" s="3" t="s">
        <v>33</v>
      </c>
      <c r="L3114" s="3"/>
      <c r="M3114" s="3" t="s">
        <v>131</v>
      </c>
      <c r="N3114" s="3" t="str">
        <f>CONCATENATE("PLCGRL75A23A366A")</f>
        <v>PLCGRL75A23A366A</v>
      </c>
      <c r="O3114" s="3" t="s">
        <v>3238</v>
      </c>
      <c r="P3114" s="3" t="s">
        <v>36</v>
      </c>
      <c r="Q3114" s="3"/>
      <c r="R3114" s="4">
        <v>45996</v>
      </c>
      <c r="S3114" s="3" t="s">
        <v>37</v>
      </c>
      <c r="T3114" s="3" t="s">
        <v>38</v>
      </c>
      <c r="U3114" s="3" t="s">
        <v>39</v>
      </c>
      <c r="V3114" s="3">
        <v>181.7</v>
      </c>
      <c r="W3114" s="3">
        <v>77.22</v>
      </c>
      <c r="X3114" s="3">
        <v>73.13</v>
      </c>
      <c r="Y3114" s="3">
        <v>31.35</v>
      </c>
    </row>
    <row r="3115" spans="1:25" ht="36.75" x14ac:dyDescent="0.25">
      <c r="A3115" s="3" t="s">
        <v>26</v>
      </c>
      <c r="B3115" s="3" t="s">
        <v>27</v>
      </c>
      <c r="C3115" s="3" t="s">
        <v>28</v>
      </c>
      <c r="D3115" s="3" t="s">
        <v>29</v>
      </c>
      <c r="E3115" s="3" t="s">
        <v>47</v>
      </c>
      <c r="F3115" s="3" t="s">
        <v>31</v>
      </c>
      <c r="G3115" s="3" t="s">
        <v>47</v>
      </c>
      <c r="H3115" s="3" t="s">
        <v>48</v>
      </c>
      <c r="I3115" s="3">
        <v>2025</v>
      </c>
      <c r="J3115" s="3" t="str">
        <f>CONCATENATE("54820243852")</f>
        <v>54820243852</v>
      </c>
      <c r="K3115" s="3" t="s">
        <v>33</v>
      </c>
      <c r="L3115" s="3"/>
      <c r="M3115" s="3" t="s">
        <v>131</v>
      </c>
      <c r="N3115" s="3" t="str">
        <f>CONCATENATE("01491760425")</f>
        <v>01491760425</v>
      </c>
      <c r="O3115" s="3" t="s">
        <v>3239</v>
      </c>
      <c r="P3115" s="3" t="s">
        <v>36</v>
      </c>
      <c r="Q3115" s="3"/>
      <c r="R3115" s="4">
        <v>45996</v>
      </c>
      <c r="S3115" s="3" t="s">
        <v>37</v>
      </c>
      <c r="T3115" s="3" t="s">
        <v>38</v>
      </c>
      <c r="U3115" s="3" t="s">
        <v>39</v>
      </c>
      <c r="V3115" s="5">
        <v>1029.99</v>
      </c>
      <c r="W3115" s="3">
        <v>437.75</v>
      </c>
      <c r="X3115" s="3">
        <v>414.57</v>
      </c>
      <c r="Y3115" s="3">
        <v>177.67</v>
      </c>
    </row>
    <row r="3116" spans="1:25" ht="60.75" x14ac:dyDescent="0.25">
      <c r="A3116" s="3" t="s">
        <v>26</v>
      </c>
      <c r="B3116" s="3" t="s">
        <v>27</v>
      </c>
      <c r="C3116" s="3" t="s">
        <v>28</v>
      </c>
      <c r="D3116" s="3" t="s">
        <v>29</v>
      </c>
      <c r="E3116" s="3" t="s">
        <v>80</v>
      </c>
      <c r="F3116" s="3" t="s">
        <v>31</v>
      </c>
      <c r="G3116" s="3" t="s">
        <v>80</v>
      </c>
      <c r="H3116" s="3" t="s">
        <v>45</v>
      </c>
      <c r="I3116" s="3">
        <v>2025</v>
      </c>
      <c r="J3116" s="3" t="str">
        <f>CONCATENATE("54820149612")</f>
        <v>54820149612</v>
      </c>
      <c r="K3116" s="3" t="s">
        <v>33</v>
      </c>
      <c r="L3116" s="3"/>
      <c r="M3116" s="3" t="s">
        <v>131</v>
      </c>
      <c r="N3116" s="3" t="str">
        <f>CONCATENATE("TNGRRT65D11G453L")</f>
        <v>TNGRRT65D11G453L</v>
      </c>
      <c r="O3116" s="3" t="s">
        <v>3240</v>
      </c>
      <c r="P3116" s="3" t="s">
        <v>36</v>
      </c>
      <c r="Q3116" s="3"/>
      <c r="R3116" s="4">
        <v>45996</v>
      </c>
      <c r="S3116" s="3" t="s">
        <v>37</v>
      </c>
      <c r="T3116" s="3" t="s">
        <v>38</v>
      </c>
      <c r="U3116" s="3" t="s">
        <v>39</v>
      </c>
      <c r="V3116" s="3">
        <v>69.22</v>
      </c>
      <c r="W3116" s="3">
        <v>29.42</v>
      </c>
      <c r="X3116" s="3">
        <v>27.86</v>
      </c>
      <c r="Y3116" s="3">
        <v>11.94</v>
      </c>
    </row>
    <row r="3117" spans="1:25" ht="72.75" x14ac:dyDescent="0.25">
      <c r="A3117" s="3" t="s">
        <v>26</v>
      </c>
      <c r="B3117" s="3" t="s">
        <v>27</v>
      </c>
      <c r="C3117" s="3" t="s">
        <v>28</v>
      </c>
      <c r="D3117" s="3" t="s">
        <v>29</v>
      </c>
      <c r="E3117" s="3" t="s">
        <v>72</v>
      </c>
      <c r="F3117" s="3" t="s">
        <v>31</v>
      </c>
      <c r="G3117" s="3" t="s">
        <v>72</v>
      </c>
      <c r="H3117" s="3" t="s">
        <v>45</v>
      </c>
      <c r="I3117" s="3">
        <v>2025</v>
      </c>
      <c r="J3117" s="3" t="str">
        <f>CONCATENATE("54820141767")</f>
        <v>54820141767</v>
      </c>
      <c r="K3117" s="3" t="s">
        <v>33</v>
      </c>
      <c r="L3117" s="3"/>
      <c r="M3117" s="3" t="s">
        <v>131</v>
      </c>
      <c r="N3117" s="3" t="str">
        <f>CONCATENATE("CRLMSM72T07B352A")</f>
        <v>CRLMSM72T07B352A</v>
      </c>
      <c r="O3117" s="3" t="s">
        <v>3241</v>
      </c>
      <c r="P3117" s="3" t="s">
        <v>36</v>
      </c>
      <c r="Q3117" s="3"/>
      <c r="R3117" s="4">
        <v>45996</v>
      </c>
      <c r="S3117" s="3" t="s">
        <v>37</v>
      </c>
      <c r="T3117" s="3" t="s">
        <v>38</v>
      </c>
      <c r="U3117" s="3" t="s">
        <v>39</v>
      </c>
      <c r="V3117" s="3">
        <v>957.2</v>
      </c>
      <c r="W3117" s="3">
        <v>406.81</v>
      </c>
      <c r="X3117" s="3">
        <v>385.27</v>
      </c>
      <c r="Y3117" s="3">
        <v>165.12</v>
      </c>
    </row>
    <row r="3118" spans="1:25" ht="60.75" x14ac:dyDescent="0.25">
      <c r="A3118" s="3" t="s">
        <v>26</v>
      </c>
      <c r="B3118" s="3" t="s">
        <v>27</v>
      </c>
      <c r="C3118" s="3" t="s">
        <v>28</v>
      </c>
      <c r="D3118" s="3" t="s">
        <v>29</v>
      </c>
      <c r="E3118" s="3" t="s">
        <v>56</v>
      </c>
      <c r="F3118" s="3" t="s">
        <v>31</v>
      </c>
      <c r="G3118" s="3" t="s">
        <v>56</v>
      </c>
      <c r="H3118" s="3" t="s">
        <v>32</v>
      </c>
      <c r="I3118" s="3">
        <v>2025</v>
      </c>
      <c r="J3118" s="3" t="str">
        <f>CONCATENATE("54820249610")</f>
        <v>54820249610</v>
      </c>
      <c r="K3118" s="3" t="s">
        <v>33</v>
      </c>
      <c r="L3118" s="3"/>
      <c r="M3118" s="3" t="s">
        <v>131</v>
      </c>
      <c r="N3118" s="3" t="str">
        <f>CONCATENATE("MRCDNC62C09D564J")</f>
        <v>MRCDNC62C09D564J</v>
      </c>
      <c r="O3118" s="3" t="s">
        <v>3242</v>
      </c>
      <c r="P3118" s="3" t="s">
        <v>36</v>
      </c>
      <c r="Q3118" s="3"/>
      <c r="R3118" s="4">
        <v>45996</v>
      </c>
      <c r="S3118" s="3" t="s">
        <v>37</v>
      </c>
      <c r="T3118" s="3" t="s">
        <v>38</v>
      </c>
      <c r="U3118" s="3" t="s">
        <v>39</v>
      </c>
      <c r="V3118" s="3">
        <v>216.14</v>
      </c>
      <c r="W3118" s="3">
        <v>91.86</v>
      </c>
      <c r="X3118" s="3">
        <v>87</v>
      </c>
      <c r="Y3118" s="3">
        <v>37.28</v>
      </c>
    </row>
    <row r="3119" spans="1:25" ht="72.75" x14ac:dyDescent="0.25">
      <c r="A3119" s="3" t="s">
        <v>26</v>
      </c>
      <c r="B3119" s="3" t="s">
        <v>27</v>
      </c>
      <c r="C3119" s="3" t="s">
        <v>28</v>
      </c>
      <c r="D3119" s="3" t="s">
        <v>29</v>
      </c>
      <c r="E3119" s="3" t="s">
        <v>136</v>
      </c>
      <c r="F3119" s="3" t="s">
        <v>31</v>
      </c>
      <c r="G3119" s="3" t="s">
        <v>136</v>
      </c>
      <c r="H3119" s="3" t="s">
        <v>48</v>
      </c>
      <c r="I3119" s="3">
        <v>2025</v>
      </c>
      <c r="J3119" s="3" t="str">
        <f>CONCATENATE("54820274725")</f>
        <v>54820274725</v>
      </c>
      <c r="K3119" s="3" t="s">
        <v>33</v>
      </c>
      <c r="L3119" s="3"/>
      <c r="M3119" s="3" t="s">
        <v>131</v>
      </c>
      <c r="N3119" s="3" t="str">
        <f>CONCATENATE("NGLVNT90B47B352U")</f>
        <v>NGLVNT90B47B352U</v>
      </c>
      <c r="O3119" s="3" t="s">
        <v>3243</v>
      </c>
      <c r="P3119" s="3" t="s">
        <v>36</v>
      </c>
      <c r="Q3119" s="3"/>
      <c r="R3119" s="4">
        <v>45996</v>
      </c>
      <c r="S3119" s="3" t="s">
        <v>37</v>
      </c>
      <c r="T3119" s="3" t="s">
        <v>38</v>
      </c>
      <c r="U3119" s="3" t="s">
        <v>39</v>
      </c>
      <c r="V3119" s="3">
        <v>327.76</v>
      </c>
      <c r="W3119" s="3">
        <v>139.30000000000001</v>
      </c>
      <c r="X3119" s="3">
        <v>131.91999999999999</v>
      </c>
      <c r="Y3119" s="3">
        <v>56.54</v>
      </c>
    </row>
    <row r="3120" spans="1:25" ht="60.75" x14ac:dyDescent="0.25">
      <c r="A3120" s="3" t="s">
        <v>26</v>
      </c>
      <c r="B3120" s="3" t="s">
        <v>27</v>
      </c>
      <c r="C3120" s="3" t="s">
        <v>28</v>
      </c>
      <c r="D3120" s="3" t="s">
        <v>29</v>
      </c>
      <c r="E3120" s="3" t="s">
        <v>47</v>
      </c>
      <c r="F3120" s="3" t="s">
        <v>31</v>
      </c>
      <c r="G3120" s="3" t="s">
        <v>47</v>
      </c>
      <c r="H3120" s="3" t="s">
        <v>48</v>
      </c>
      <c r="I3120" s="3">
        <v>2025</v>
      </c>
      <c r="J3120" s="3" t="str">
        <f>CONCATENATE("54820211479")</f>
        <v>54820211479</v>
      </c>
      <c r="K3120" s="3" t="s">
        <v>33</v>
      </c>
      <c r="L3120" s="3"/>
      <c r="M3120" s="3" t="s">
        <v>131</v>
      </c>
      <c r="N3120" s="3" t="str">
        <f>CONCATENATE("RCCNTL36T23D451C")</f>
        <v>RCCNTL36T23D451C</v>
      </c>
      <c r="O3120" s="3" t="s">
        <v>3244</v>
      </c>
      <c r="P3120" s="3" t="s">
        <v>36</v>
      </c>
      <c r="Q3120" s="3"/>
      <c r="R3120" s="4">
        <v>45996</v>
      </c>
      <c r="S3120" s="3" t="s">
        <v>37</v>
      </c>
      <c r="T3120" s="3" t="s">
        <v>38</v>
      </c>
      <c r="U3120" s="3" t="s">
        <v>39</v>
      </c>
      <c r="V3120" s="3">
        <v>241.61</v>
      </c>
      <c r="W3120" s="3">
        <v>102.68</v>
      </c>
      <c r="X3120" s="3">
        <v>97.25</v>
      </c>
      <c r="Y3120" s="3">
        <v>41.68</v>
      </c>
    </row>
    <row r="3121" spans="1:25" ht="60.75" x14ac:dyDescent="0.25">
      <c r="A3121" s="3" t="s">
        <v>26</v>
      </c>
      <c r="B3121" s="3" t="s">
        <v>27</v>
      </c>
      <c r="C3121" s="3" t="s">
        <v>28</v>
      </c>
      <c r="D3121" s="3" t="s">
        <v>50</v>
      </c>
      <c r="E3121" s="3" t="s">
        <v>252</v>
      </c>
      <c r="F3121" s="3" t="s">
        <v>52</v>
      </c>
      <c r="G3121" s="3" t="s">
        <v>252</v>
      </c>
      <c r="H3121" s="3" t="s">
        <v>45</v>
      </c>
      <c r="I3121" s="3">
        <v>2025</v>
      </c>
      <c r="J3121" s="3" t="str">
        <f>CONCATENATE("54820198775")</f>
        <v>54820198775</v>
      </c>
      <c r="K3121" s="3" t="s">
        <v>33</v>
      </c>
      <c r="L3121" s="3"/>
      <c r="M3121" s="3" t="s">
        <v>131</v>
      </c>
      <c r="N3121" s="3" t="str">
        <f>CONCATENATE("MRCRLB64D47A639S")</f>
        <v>MRCRLB64D47A639S</v>
      </c>
      <c r="O3121" s="3" t="s">
        <v>3245</v>
      </c>
      <c r="P3121" s="3" t="s">
        <v>36</v>
      </c>
      <c r="Q3121" s="3"/>
      <c r="R3121" s="4">
        <v>45996</v>
      </c>
      <c r="S3121" s="3" t="s">
        <v>37</v>
      </c>
      <c r="T3121" s="3" t="s">
        <v>38</v>
      </c>
      <c r="U3121" s="3" t="s">
        <v>39</v>
      </c>
      <c r="V3121" s="3">
        <v>134.1</v>
      </c>
      <c r="W3121" s="3">
        <v>56.99</v>
      </c>
      <c r="X3121" s="3">
        <v>53.98</v>
      </c>
      <c r="Y3121" s="3">
        <v>23.13</v>
      </c>
    </row>
    <row r="3122" spans="1:25" ht="72.75" x14ac:dyDescent="0.25">
      <c r="A3122" s="3" t="s">
        <v>26</v>
      </c>
      <c r="B3122" s="3" t="s">
        <v>27</v>
      </c>
      <c r="C3122" s="3" t="s">
        <v>28</v>
      </c>
      <c r="D3122" s="3" t="s">
        <v>50</v>
      </c>
      <c r="E3122" s="3" t="s">
        <v>252</v>
      </c>
      <c r="F3122" s="3" t="s">
        <v>52</v>
      </c>
      <c r="G3122" s="3" t="s">
        <v>252</v>
      </c>
      <c r="H3122" s="3" t="s">
        <v>45</v>
      </c>
      <c r="I3122" s="3">
        <v>2025</v>
      </c>
      <c r="J3122" s="3" t="str">
        <f>CONCATENATE("54820189477")</f>
        <v>54820189477</v>
      </c>
      <c r="K3122" s="3" t="s">
        <v>33</v>
      </c>
      <c r="L3122" s="3"/>
      <c r="M3122" s="3" t="s">
        <v>131</v>
      </c>
      <c r="N3122" s="3" t="str">
        <f>CONCATENATE("DRNSVN49R53D541N")</f>
        <v>DRNSVN49R53D541N</v>
      </c>
      <c r="O3122" s="3" t="s">
        <v>3246</v>
      </c>
      <c r="P3122" s="3" t="s">
        <v>36</v>
      </c>
      <c r="Q3122" s="3"/>
      <c r="R3122" s="4">
        <v>45996</v>
      </c>
      <c r="S3122" s="3" t="s">
        <v>37</v>
      </c>
      <c r="T3122" s="3" t="s">
        <v>38</v>
      </c>
      <c r="U3122" s="3" t="s">
        <v>39</v>
      </c>
      <c r="V3122" s="3">
        <v>180.09</v>
      </c>
      <c r="W3122" s="3">
        <v>76.540000000000006</v>
      </c>
      <c r="X3122" s="3">
        <v>72.489999999999995</v>
      </c>
      <c r="Y3122" s="3">
        <v>31.06</v>
      </c>
    </row>
    <row r="3123" spans="1:25" ht="60.75" x14ac:dyDescent="0.25">
      <c r="A3123" s="3" t="s">
        <v>26</v>
      </c>
      <c r="B3123" s="3" t="s">
        <v>27</v>
      </c>
      <c r="C3123" s="3" t="s">
        <v>28</v>
      </c>
      <c r="D3123" s="3" t="s">
        <v>104</v>
      </c>
      <c r="E3123" s="3" t="s">
        <v>141</v>
      </c>
      <c r="F3123" s="3" t="s">
        <v>104</v>
      </c>
      <c r="G3123" s="3" t="s">
        <v>141</v>
      </c>
      <c r="H3123" s="3" t="s">
        <v>96</v>
      </c>
      <c r="I3123" s="3">
        <v>2025</v>
      </c>
      <c r="J3123" s="3" t="str">
        <f>CONCATENATE("54820281019")</f>
        <v>54820281019</v>
      </c>
      <c r="K3123" s="3" t="s">
        <v>33</v>
      </c>
      <c r="L3123" s="3"/>
      <c r="M3123" s="3" t="s">
        <v>131</v>
      </c>
      <c r="N3123" s="3" t="str">
        <f>CONCATENATE("MNTLSN70T54D542V")</f>
        <v>MNTLSN70T54D542V</v>
      </c>
      <c r="O3123" s="3" t="s">
        <v>3247</v>
      </c>
      <c r="P3123" s="3" t="s">
        <v>36</v>
      </c>
      <c r="Q3123" s="3"/>
      <c r="R3123" s="4">
        <v>45996</v>
      </c>
      <c r="S3123" s="3" t="s">
        <v>37</v>
      </c>
      <c r="T3123" s="3" t="s">
        <v>38</v>
      </c>
      <c r="U3123" s="3" t="s">
        <v>39</v>
      </c>
      <c r="V3123" s="3">
        <v>489.98</v>
      </c>
      <c r="W3123" s="3">
        <v>208.24</v>
      </c>
      <c r="X3123" s="3">
        <v>197.22</v>
      </c>
      <c r="Y3123" s="3">
        <v>84.52</v>
      </c>
    </row>
    <row r="3124" spans="1:25" ht="60.75" x14ac:dyDescent="0.25">
      <c r="A3124" s="3" t="s">
        <v>26</v>
      </c>
      <c r="B3124" s="3" t="s">
        <v>27</v>
      </c>
      <c r="C3124" s="3" t="s">
        <v>28</v>
      </c>
      <c r="D3124" s="3" t="s">
        <v>50</v>
      </c>
      <c r="E3124" s="3" t="s">
        <v>147</v>
      </c>
      <c r="F3124" s="3" t="s">
        <v>52</v>
      </c>
      <c r="G3124" s="3" t="s">
        <v>147</v>
      </c>
      <c r="H3124" s="3" t="s">
        <v>45</v>
      </c>
      <c r="I3124" s="3">
        <v>2025</v>
      </c>
      <c r="J3124" s="3" t="str">
        <f>CONCATENATE("54820173315")</f>
        <v>54820173315</v>
      </c>
      <c r="K3124" s="3" t="s">
        <v>33</v>
      </c>
      <c r="L3124" s="3"/>
      <c r="M3124" s="3" t="s">
        <v>131</v>
      </c>
      <c r="N3124" s="3" t="str">
        <f>CONCATENATE("BRSGNI52S11L500M")</f>
        <v>BRSGNI52S11L500M</v>
      </c>
      <c r="O3124" s="3" t="s">
        <v>3248</v>
      </c>
      <c r="P3124" s="3" t="s">
        <v>36</v>
      </c>
      <c r="Q3124" s="3"/>
      <c r="R3124" s="4">
        <v>45996</v>
      </c>
      <c r="S3124" s="3" t="s">
        <v>37</v>
      </c>
      <c r="T3124" s="3" t="s">
        <v>38</v>
      </c>
      <c r="U3124" s="3" t="s">
        <v>39</v>
      </c>
      <c r="V3124" s="3">
        <v>233.02</v>
      </c>
      <c r="W3124" s="3">
        <v>99.03</v>
      </c>
      <c r="X3124" s="3">
        <v>93.79</v>
      </c>
      <c r="Y3124" s="3">
        <v>40.200000000000003</v>
      </c>
    </row>
    <row r="3125" spans="1:25" ht="60.75" x14ac:dyDescent="0.25">
      <c r="A3125" s="3" t="s">
        <v>26</v>
      </c>
      <c r="B3125" s="3" t="s">
        <v>27</v>
      </c>
      <c r="C3125" s="3" t="s">
        <v>28</v>
      </c>
      <c r="D3125" s="3" t="s">
        <v>50</v>
      </c>
      <c r="E3125" s="3" t="s">
        <v>60</v>
      </c>
      <c r="F3125" s="3" t="s">
        <v>52</v>
      </c>
      <c r="G3125" s="3" t="s">
        <v>60</v>
      </c>
      <c r="H3125" s="3" t="s">
        <v>45</v>
      </c>
      <c r="I3125" s="3">
        <v>2025</v>
      </c>
      <c r="J3125" s="3" t="str">
        <f>CONCATENATE("54820105937")</f>
        <v>54820105937</v>
      </c>
      <c r="K3125" s="3" t="s">
        <v>33</v>
      </c>
      <c r="L3125" s="3"/>
      <c r="M3125" s="3" t="s">
        <v>131</v>
      </c>
      <c r="N3125" s="3" t="str">
        <f>CONCATENATE("BCCMRC56C17G453U")</f>
        <v>BCCMRC56C17G453U</v>
      </c>
      <c r="O3125" s="3" t="s">
        <v>3249</v>
      </c>
      <c r="P3125" s="3" t="s">
        <v>36</v>
      </c>
      <c r="Q3125" s="3"/>
      <c r="R3125" s="4">
        <v>45996</v>
      </c>
      <c r="S3125" s="3" t="s">
        <v>37</v>
      </c>
      <c r="T3125" s="3" t="s">
        <v>38</v>
      </c>
      <c r="U3125" s="3" t="s">
        <v>39</v>
      </c>
      <c r="V3125" s="3">
        <v>289.49</v>
      </c>
      <c r="W3125" s="3">
        <v>123.03</v>
      </c>
      <c r="X3125" s="3">
        <v>116.52</v>
      </c>
      <c r="Y3125" s="3">
        <v>49.94</v>
      </c>
    </row>
    <row r="3126" spans="1:25" ht="60.75" x14ac:dyDescent="0.25">
      <c r="A3126" s="3" t="s">
        <v>26</v>
      </c>
      <c r="B3126" s="3" t="s">
        <v>27</v>
      </c>
      <c r="C3126" s="3" t="s">
        <v>28</v>
      </c>
      <c r="D3126" s="3" t="s">
        <v>50</v>
      </c>
      <c r="E3126" s="3" t="s">
        <v>252</v>
      </c>
      <c r="F3126" s="3" t="s">
        <v>52</v>
      </c>
      <c r="G3126" s="3" t="s">
        <v>252</v>
      </c>
      <c r="H3126" s="3" t="s">
        <v>45</v>
      </c>
      <c r="I3126" s="3">
        <v>2025</v>
      </c>
      <c r="J3126" s="3" t="str">
        <f>CONCATENATE("54820121439")</f>
        <v>54820121439</v>
      </c>
      <c r="K3126" s="3" t="s">
        <v>33</v>
      </c>
      <c r="L3126" s="3"/>
      <c r="M3126" s="3" t="s">
        <v>131</v>
      </c>
      <c r="N3126" s="3" t="str">
        <f>CONCATENATE("STLGNI41P46D749Q")</f>
        <v>STLGNI41P46D749Q</v>
      </c>
      <c r="O3126" s="3" t="s">
        <v>3250</v>
      </c>
      <c r="P3126" s="3" t="s">
        <v>36</v>
      </c>
      <c r="Q3126" s="3"/>
      <c r="R3126" s="4">
        <v>45996</v>
      </c>
      <c r="S3126" s="3" t="s">
        <v>37</v>
      </c>
      <c r="T3126" s="3" t="s">
        <v>38</v>
      </c>
      <c r="U3126" s="3" t="s">
        <v>39</v>
      </c>
      <c r="V3126" s="3">
        <v>82.6</v>
      </c>
      <c r="W3126" s="3">
        <v>35.11</v>
      </c>
      <c r="X3126" s="3">
        <v>33.25</v>
      </c>
      <c r="Y3126" s="3">
        <v>14.24</v>
      </c>
    </row>
    <row r="3127" spans="1:25" ht="72.75" x14ac:dyDescent="0.25">
      <c r="A3127" s="3" t="s">
        <v>26</v>
      </c>
      <c r="B3127" s="3" t="s">
        <v>27</v>
      </c>
      <c r="C3127" s="3" t="s">
        <v>28</v>
      </c>
      <c r="D3127" s="3" t="s">
        <v>50</v>
      </c>
      <c r="E3127" s="3" t="s">
        <v>147</v>
      </c>
      <c r="F3127" s="3" t="s">
        <v>52</v>
      </c>
      <c r="G3127" s="3" t="s">
        <v>147</v>
      </c>
      <c r="H3127" s="3" t="s">
        <v>45</v>
      </c>
      <c r="I3127" s="3">
        <v>2025</v>
      </c>
      <c r="J3127" s="3" t="str">
        <f>CONCATENATE("54820170782")</f>
        <v>54820170782</v>
      </c>
      <c r="K3127" s="3" t="s">
        <v>33</v>
      </c>
      <c r="L3127" s="3"/>
      <c r="M3127" s="3" t="s">
        <v>131</v>
      </c>
      <c r="N3127" s="3" t="str">
        <f>CONCATENATE("CNDRMI36B68D749V")</f>
        <v>CNDRMI36B68D749V</v>
      </c>
      <c r="O3127" s="3" t="s">
        <v>3251</v>
      </c>
      <c r="P3127" s="3" t="s">
        <v>36</v>
      </c>
      <c r="Q3127" s="3"/>
      <c r="R3127" s="4">
        <v>45996</v>
      </c>
      <c r="S3127" s="3" t="s">
        <v>37</v>
      </c>
      <c r="T3127" s="3" t="s">
        <v>38</v>
      </c>
      <c r="U3127" s="3" t="s">
        <v>39</v>
      </c>
      <c r="V3127" s="3">
        <v>143.05000000000001</v>
      </c>
      <c r="W3127" s="3">
        <v>60.8</v>
      </c>
      <c r="X3127" s="3">
        <v>57.58</v>
      </c>
      <c r="Y3127" s="3">
        <v>24.67</v>
      </c>
    </row>
    <row r="3128" spans="1:25" ht="60.75" x14ac:dyDescent="0.25">
      <c r="A3128" s="3" t="s">
        <v>26</v>
      </c>
      <c r="B3128" s="3" t="s">
        <v>27</v>
      </c>
      <c r="C3128" s="3" t="s">
        <v>28</v>
      </c>
      <c r="D3128" s="3" t="s">
        <v>50</v>
      </c>
      <c r="E3128" s="3" t="s">
        <v>60</v>
      </c>
      <c r="F3128" s="3" t="s">
        <v>52</v>
      </c>
      <c r="G3128" s="3" t="s">
        <v>60</v>
      </c>
      <c r="H3128" s="3" t="s">
        <v>45</v>
      </c>
      <c r="I3128" s="3">
        <v>2025</v>
      </c>
      <c r="J3128" s="3" t="str">
        <f>CONCATENATE("54820107842")</f>
        <v>54820107842</v>
      </c>
      <c r="K3128" s="3" t="s">
        <v>33</v>
      </c>
      <c r="L3128" s="3"/>
      <c r="M3128" s="3" t="s">
        <v>131</v>
      </c>
      <c r="N3128" s="3" t="str">
        <f>CONCATENATE("BGLGRN43S69B352C")</f>
        <v>BGLGRN43S69B352C</v>
      </c>
      <c r="O3128" s="3" t="s">
        <v>3252</v>
      </c>
      <c r="P3128" s="3" t="s">
        <v>36</v>
      </c>
      <c r="Q3128" s="3"/>
      <c r="R3128" s="4">
        <v>45996</v>
      </c>
      <c r="S3128" s="3" t="s">
        <v>37</v>
      </c>
      <c r="T3128" s="3" t="s">
        <v>38</v>
      </c>
      <c r="U3128" s="3" t="s">
        <v>39</v>
      </c>
      <c r="V3128" s="3">
        <v>116.94</v>
      </c>
      <c r="W3128" s="3">
        <v>49.7</v>
      </c>
      <c r="X3128" s="3">
        <v>47.07</v>
      </c>
      <c r="Y3128" s="3">
        <v>20.170000000000002</v>
      </c>
    </row>
    <row r="3129" spans="1:25" ht="60.75" x14ac:dyDescent="0.25">
      <c r="A3129" s="3" t="s">
        <v>26</v>
      </c>
      <c r="B3129" s="3" t="s">
        <v>27</v>
      </c>
      <c r="C3129" s="3" t="s">
        <v>28</v>
      </c>
      <c r="D3129" s="3" t="s">
        <v>50</v>
      </c>
      <c r="E3129" s="3" t="s">
        <v>51</v>
      </c>
      <c r="F3129" s="3" t="s">
        <v>52</v>
      </c>
      <c r="G3129" s="3" t="s">
        <v>51</v>
      </c>
      <c r="H3129" s="3" t="s">
        <v>48</v>
      </c>
      <c r="I3129" s="3">
        <v>2025</v>
      </c>
      <c r="J3129" s="3" t="str">
        <f>CONCATENATE("54820139944")</f>
        <v>54820139944</v>
      </c>
      <c r="K3129" s="3" t="s">
        <v>33</v>
      </c>
      <c r="L3129" s="3"/>
      <c r="M3129" s="3" t="s">
        <v>131</v>
      </c>
      <c r="N3129" s="3" t="str">
        <f>CONCATENATE("CPPNRC73P28I461J")</f>
        <v>CPPNRC73P28I461J</v>
      </c>
      <c r="O3129" s="3" t="s">
        <v>3253</v>
      </c>
      <c r="P3129" s="3" t="s">
        <v>36</v>
      </c>
      <c r="Q3129" s="3"/>
      <c r="R3129" s="4">
        <v>45996</v>
      </c>
      <c r="S3129" s="3" t="s">
        <v>37</v>
      </c>
      <c r="T3129" s="3" t="s">
        <v>38</v>
      </c>
      <c r="U3129" s="3" t="s">
        <v>39</v>
      </c>
      <c r="V3129" s="3">
        <v>631.62</v>
      </c>
      <c r="W3129" s="3">
        <v>268.44</v>
      </c>
      <c r="X3129" s="3">
        <v>254.23</v>
      </c>
      <c r="Y3129" s="3">
        <v>108.95</v>
      </c>
    </row>
    <row r="3130" spans="1:25" ht="60.75" x14ac:dyDescent="0.25">
      <c r="A3130" s="3" t="s">
        <v>26</v>
      </c>
      <c r="B3130" s="3" t="s">
        <v>27</v>
      </c>
      <c r="C3130" s="3" t="s">
        <v>28</v>
      </c>
      <c r="D3130" s="3" t="s">
        <v>104</v>
      </c>
      <c r="E3130" s="3" t="s">
        <v>141</v>
      </c>
      <c r="F3130" s="3" t="s">
        <v>104</v>
      </c>
      <c r="G3130" s="3" t="s">
        <v>141</v>
      </c>
      <c r="H3130" s="3" t="s">
        <v>96</v>
      </c>
      <c r="I3130" s="3">
        <v>2025</v>
      </c>
      <c r="J3130" s="3" t="str">
        <f>CONCATENATE("54820276977")</f>
        <v>54820276977</v>
      </c>
      <c r="K3130" s="3" t="s">
        <v>33</v>
      </c>
      <c r="L3130" s="3"/>
      <c r="M3130" s="3" t="s">
        <v>131</v>
      </c>
      <c r="N3130" s="3" t="str">
        <f>CONCATENATE("NCNNZE61M22F570T")</f>
        <v>NCNNZE61M22F570T</v>
      </c>
      <c r="O3130" s="3" t="s">
        <v>3254</v>
      </c>
      <c r="P3130" s="3" t="s">
        <v>36</v>
      </c>
      <c r="Q3130" s="3"/>
      <c r="R3130" s="4">
        <v>45996</v>
      </c>
      <c r="S3130" s="3" t="s">
        <v>37</v>
      </c>
      <c r="T3130" s="3" t="s">
        <v>38</v>
      </c>
      <c r="U3130" s="3" t="s">
        <v>39</v>
      </c>
      <c r="V3130" s="3">
        <v>97.93</v>
      </c>
      <c r="W3130" s="3">
        <v>41.62</v>
      </c>
      <c r="X3130" s="3">
        <v>39.42</v>
      </c>
      <c r="Y3130" s="3">
        <v>16.89</v>
      </c>
    </row>
    <row r="3131" spans="1:25" ht="60.75" x14ac:dyDescent="0.25">
      <c r="A3131" s="3" t="s">
        <v>26</v>
      </c>
      <c r="B3131" s="3" t="s">
        <v>27</v>
      </c>
      <c r="C3131" s="3" t="s">
        <v>28</v>
      </c>
      <c r="D3131" s="3" t="s">
        <v>50</v>
      </c>
      <c r="E3131" s="3" t="s">
        <v>149</v>
      </c>
      <c r="F3131" s="3" t="s">
        <v>52</v>
      </c>
      <c r="G3131" s="3" t="s">
        <v>149</v>
      </c>
      <c r="H3131" s="3" t="s">
        <v>96</v>
      </c>
      <c r="I3131" s="3">
        <v>2025</v>
      </c>
      <c r="J3131" s="3" t="str">
        <f>CONCATENATE("54820141866")</f>
        <v>54820141866</v>
      </c>
      <c r="K3131" s="3" t="s">
        <v>33</v>
      </c>
      <c r="L3131" s="3"/>
      <c r="M3131" s="3" t="s">
        <v>131</v>
      </c>
      <c r="N3131" s="3" t="str">
        <f>CONCATENATE("RTLNNA65C59A044Z")</f>
        <v>RTLNNA65C59A044Z</v>
      </c>
      <c r="O3131" s="3" t="s">
        <v>3255</v>
      </c>
      <c r="P3131" s="3" t="s">
        <v>36</v>
      </c>
      <c r="Q3131" s="3"/>
      <c r="R3131" s="4">
        <v>45996</v>
      </c>
      <c r="S3131" s="3" t="s">
        <v>37</v>
      </c>
      <c r="T3131" s="3" t="s">
        <v>38</v>
      </c>
      <c r="U3131" s="3" t="s">
        <v>39</v>
      </c>
      <c r="V3131" s="3">
        <v>320.37</v>
      </c>
      <c r="W3131" s="3">
        <v>136.16</v>
      </c>
      <c r="X3131" s="3">
        <v>128.94999999999999</v>
      </c>
      <c r="Y3131" s="3">
        <v>55.26</v>
      </c>
    </row>
    <row r="3132" spans="1:25" ht="36.75" x14ac:dyDescent="0.25">
      <c r="A3132" s="3" t="s">
        <v>26</v>
      </c>
      <c r="B3132" s="3" t="s">
        <v>27</v>
      </c>
      <c r="C3132" s="3" t="s">
        <v>28</v>
      </c>
      <c r="D3132" s="3" t="s">
        <v>104</v>
      </c>
      <c r="E3132" s="3" t="s">
        <v>141</v>
      </c>
      <c r="F3132" s="3" t="s">
        <v>104</v>
      </c>
      <c r="G3132" s="3" t="s">
        <v>141</v>
      </c>
      <c r="H3132" s="3" t="s">
        <v>96</v>
      </c>
      <c r="I3132" s="3">
        <v>2025</v>
      </c>
      <c r="J3132" s="3" t="str">
        <f>CONCATENATE("54820284641")</f>
        <v>54820284641</v>
      </c>
      <c r="K3132" s="3" t="s">
        <v>33</v>
      </c>
      <c r="L3132" s="3"/>
      <c r="M3132" s="3" t="s">
        <v>131</v>
      </c>
      <c r="N3132" s="3" t="str">
        <f>CONCATENATE("00775820442")</f>
        <v>00775820442</v>
      </c>
      <c r="O3132" s="3" t="s">
        <v>3256</v>
      </c>
      <c r="P3132" s="3" t="s">
        <v>36</v>
      </c>
      <c r="Q3132" s="3"/>
      <c r="R3132" s="4">
        <v>45996</v>
      </c>
      <c r="S3132" s="3" t="s">
        <v>37</v>
      </c>
      <c r="T3132" s="3" t="s">
        <v>38</v>
      </c>
      <c r="U3132" s="3" t="s">
        <v>39</v>
      </c>
      <c r="V3132" s="3">
        <v>149.6</v>
      </c>
      <c r="W3132" s="3">
        <v>63.58</v>
      </c>
      <c r="X3132" s="3">
        <v>60.21</v>
      </c>
      <c r="Y3132" s="3">
        <v>25.81</v>
      </c>
    </row>
    <row r="3133" spans="1:25" ht="60.75" x14ac:dyDescent="0.25">
      <c r="A3133" s="3" t="s">
        <v>26</v>
      </c>
      <c r="B3133" s="3" t="s">
        <v>27</v>
      </c>
      <c r="C3133" s="3" t="s">
        <v>28</v>
      </c>
      <c r="D3133" s="3" t="s">
        <v>50</v>
      </c>
      <c r="E3133" s="3" t="s">
        <v>147</v>
      </c>
      <c r="F3133" s="3" t="s">
        <v>52</v>
      </c>
      <c r="G3133" s="3" t="s">
        <v>147</v>
      </c>
      <c r="H3133" s="3" t="s">
        <v>45</v>
      </c>
      <c r="I3133" s="3">
        <v>2025</v>
      </c>
      <c r="J3133" s="3" t="str">
        <f>CONCATENATE("54820241005")</f>
        <v>54820241005</v>
      </c>
      <c r="K3133" s="3" t="s">
        <v>33</v>
      </c>
      <c r="L3133" s="3"/>
      <c r="M3133" s="3" t="s">
        <v>131</v>
      </c>
      <c r="N3133" s="3" t="str">
        <f>CONCATENATE("FRNPLA66A13F715F")</f>
        <v>FRNPLA66A13F715F</v>
      </c>
      <c r="O3133" s="3" t="s">
        <v>3257</v>
      </c>
      <c r="P3133" s="3" t="s">
        <v>36</v>
      </c>
      <c r="Q3133" s="3"/>
      <c r="R3133" s="4">
        <v>45996</v>
      </c>
      <c r="S3133" s="3" t="s">
        <v>37</v>
      </c>
      <c r="T3133" s="3" t="s">
        <v>38</v>
      </c>
      <c r="U3133" s="3" t="s">
        <v>39</v>
      </c>
      <c r="V3133" s="3">
        <v>120.14</v>
      </c>
      <c r="W3133" s="3">
        <v>51.06</v>
      </c>
      <c r="X3133" s="3">
        <v>48.36</v>
      </c>
      <c r="Y3133" s="3">
        <v>20.72</v>
      </c>
    </row>
    <row r="3134" spans="1:25" ht="60.75" x14ac:dyDescent="0.25">
      <c r="A3134" s="3" t="s">
        <v>26</v>
      </c>
      <c r="B3134" s="3" t="s">
        <v>27</v>
      </c>
      <c r="C3134" s="3" t="s">
        <v>28</v>
      </c>
      <c r="D3134" s="3" t="s">
        <v>104</v>
      </c>
      <c r="E3134" s="3" t="s">
        <v>141</v>
      </c>
      <c r="F3134" s="3" t="s">
        <v>104</v>
      </c>
      <c r="G3134" s="3" t="s">
        <v>141</v>
      </c>
      <c r="H3134" s="3" t="s">
        <v>96</v>
      </c>
      <c r="I3134" s="3">
        <v>2025</v>
      </c>
      <c r="J3134" s="3" t="str">
        <f>CONCATENATE("54820283395")</f>
        <v>54820283395</v>
      </c>
      <c r="K3134" s="3" t="s">
        <v>33</v>
      </c>
      <c r="L3134" s="3"/>
      <c r="M3134" s="3" t="s">
        <v>131</v>
      </c>
      <c r="N3134" s="3" t="str">
        <f>CONCATENATE("TCCNGL67C03A252F")</f>
        <v>TCCNGL67C03A252F</v>
      </c>
      <c r="O3134" s="3" t="s">
        <v>3258</v>
      </c>
      <c r="P3134" s="3" t="s">
        <v>36</v>
      </c>
      <c r="Q3134" s="3"/>
      <c r="R3134" s="4">
        <v>45996</v>
      </c>
      <c r="S3134" s="3" t="s">
        <v>37</v>
      </c>
      <c r="T3134" s="3" t="s">
        <v>38</v>
      </c>
      <c r="U3134" s="3" t="s">
        <v>39</v>
      </c>
      <c r="V3134" s="3">
        <v>111.9</v>
      </c>
      <c r="W3134" s="3">
        <v>47.56</v>
      </c>
      <c r="X3134" s="3">
        <v>45.04</v>
      </c>
      <c r="Y3134" s="3">
        <v>19.3</v>
      </c>
    </row>
    <row r="3135" spans="1:25" ht="36.75" x14ac:dyDescent="0.25">
      <c r="A3135" s="3" t="s">
        <v>26</v>
      </c>
      <c r="B3135" s="3" t="s">
        <v>27</v>
      </c>
      <c r="C3135" s="3" t="s">
        <v>28</v>
      </c>
      <c r="D3135" s="3" t="s">
        <v>104</v>
      </c>
      <c r="E3135" s="3" t="s">
        <v>141</v>
      </c>
      <c r="F3135" s="3" t="s">
        <v>104</v>
      </c>
      <c r="G3135" s="3" t="s">
        <v>141</v>
      </c>
      <c r="H3135" s="3" t="s">
        <v>96</v>
      </c>
      <c r="I3135" s="3">
        <v>2025</v>
      </c>
      <c r="J3135" s="3" t="str">
        <f>CONCATENATE("54820283270")</f>
        <v>54820283270</v>
      </c>
      <c r="K3135" s="3" t="s">
        <v>33</v>
      </c>
      <c r="L3135" s="3"/>
      <c r="M3135" s="3" t="s">
        <v>131</v>
      </c>
      <c r="N3135" s="3" t="str">
        <f>CONCATENATE("02340300447")</f>
        <v>02340300447</v>
      </c>
      <c r="O3135" s="3" t="s">
        <v>3259</v>
      </c>
      <c r="P3135" s="3" t="s">
        <v>36</v>
      </c>
      <c r="Q3135" s="3"/>
      <c r="R3135" s="4">
        <v>45996</v>
      </c>
      <c r="S3135" s="3" t="s">
        <v>37</v>
      </c>
      <c r="T3135" s="3" t="s">
        <v>38</v>
      </c>
      <c r="U3135" s="3" t="s">
        <v>39</v>
      </c>
      <c r="V3135" s="3">
        <v>358.98</v>
      </c>
      <c r="W3135" s="3">
        <v>152.57</v>
      </c>
      <c r="X3135" s="3">
        <v>144.49</v>
      </c>
      <c r="Y3135" s="3">
        <v>61.92</v>
      </c>
    </row>
    <row r="3136" spans="1:25" ht="60.75" x14ac:dyDescent="0.25">
      <c r="A3136" s="3" t="s">
        <v>26</v>
      </c>
      <c r="B3136" s="3" t="s">
        <v>27</v>
      </c>
      <c r="C3136" s="3" t="s">
        <v>28</v>
      </c>
      <c r="D3136" s="3" t="s">
        <v>157</v>
      </c>
      <c r="E3136" s="3" t="s">
        <v>158</v>
      </c>
      <c r="F3136" s="3" t="s">
        <v>159</v>
      </c>
      <c r="G3136" s="3" t="s">
        <v>158</v>
      </c>
      <c r="H3136" s="3" t="s">
        <v>45</v>
      </c>
      <c r="I3136" s="3">
        <v>2025</v>
      </c>
      <c r="J3136" s="3" t="str">
        <f>CONCATENATE("54820217484")</f>
        <v>54820217484</v>
      </c>
      <c r="K3136" s="3" t="s">
        <v>33</v>
      </c>
      <c r="L3136" s="3"/>
      <c r="M3136" s="3" t="s">
        <v>131</v>
      </c>
      <c r="N3136" s="3" t="str">
        <f>CONCATENATE("LCNVCN72B24L500Q")</f>
        <v>LCNVCN72B24L500Q</v>
      </c>
      <c r="O3136" s="3" t="s">
        <v>3260</v>
      </c>
      <c r="P3136" s="3" t="s">
        <v>36</v>
      </c>
      <c r="Q3136" s="3"/>
      <c r="R3136" s="4">
        <v>45996</v>
      </c>
      <c r="S3136" s="3" t="s">
        <v>37</v>
      </c>
      <c r="T3136" s="3" t="s">
        <v>38</v>
      </c>
      <c r="U3136" s="3" t="s">
        <v>39</v>
      </c>
      <c r="V3136" s="3">
        <v>274.45999999999998</v>
      </c>
      <c r="W3136" s="3">
        <v>116.65</v>
      </c>
      <c r="X3136" s="3">
        <v>110.47</v>
      </c>
      <c r="Y3136" s="3">
        <v>47.34</v>
      </c>
    </row>
    <row r="3137" spans="1:25" ht="60.75" x14ac:dyDescent="0.25">
      <c r="A3137" s="3" t="s">
        <v>26</v>
      </c>
      <c r="B3137" s="3" t="s">
        <v>27</v>
      </c>
      <c r="C3137" s="3" t="s">
        <v>28</v>
      </c>
      <c r="D3137" s="3" t="s">
        <v>50</v>
      </c>
      <c r="E3137" s="3" t="s">
        <v>252</v>
      </c>
      <c r="F3137" s="3" t="s">
        <v>52</v>
      </c>
      <c r="G3137" s="3" t="s">
        <v>252</v>
      </c>
      <c r="H3137" s="3" t="s">
        <v>45</v>
      </c>
      <c r="I3137" s="3">
        <v>2025</v>
      </c>
      <c r="J3137" s="3" t="str">
        <f>CONCATENATE("54820217997")</f>
        <v>54820217997</v>
      </c>
      <c r="K3137" s="3" t="s">
        <v>33</v>
      </c>
      <c r="L3137" s="3"/>
      <c r="M3137" s="3" t="s">
        <v>131</v>
      </c>
      <c r="N3137" s="3" t="str">
        <f>CONCATENATE("CCCCST94S21D749Z")</f>
        <v>CCCCST94S21D749Z</v>
      </c>
      <c r="O3137" s="3" t="s">
        <v>3261</v>
      </c>
      <c r="P3137" s="3" t="s">
        <v>36</v>
      </c>
      <c r="Q3137" s="3"/>
      <c r="R3137" s="4">
        <v>45996</v>
      </c>
      <c r="S3137" s="3" t="s">
        <v>37</v>
      </c>
      <c r="T3137" s="3" t="s">
        <v>38</v>
      </c>
      <c r="U3137" s="3" t="s">
        <v>39</v>
      </c>
      <c r="V3137" s="3">
        <v>55.54</v>
      </c>
      <c r="W3137" s="3">
        <v>23.6</v>
      </c>
      <c r="X3137" s="3">
        <v>22.35</v>
      </c>
      <c r="Y3137" s="3">
        <v>9.59</v>
      </c>
    </row>
    <row r="3138" spans="1:25" ht="60.75" x14ac:dyDescent="0.25">
      <c r="A3138" s="3" t="s">
        <v>26</v>
      </c>
      <c r="B3138" s="3" t="s">
        <v>27</v>
      </c>
      <c r="C3138" s="3" t="s">
        <v>28</v>
      </c>
      <c r="D3138" s="3" t="s">
        <v>29</v>
      </c>
      <c r="E3138" s="3" t="s">
        <v>80</v>
      </c>
      <c r="F3138" s="3" t="s">
        <v>31</v>
      </c>
      <c r="G3138" s="3" t="s">
        <v>80</v>
      </c>
      <c r="H3138" s="3" t="s">
        <v>45</v>
      </c>
      <c r="I3138" s="3">
        <v>2025</v>
      </c>
      <c r="J3138" s="3" t="str">
        <f>CONCATENATE("54820200506")</f>
        <v>54820200506</v>
      </c>
      <c r="K3138" s="3" t="s">
        <v>33</v>
      </c>
      <c r="L3138" s="3"/>
      <c r="M3138" s="3" t="s">
        <v>131</v>
      </c>
      <c r="N3138" s="3" t="str">
        <f>CONCATENATE("STRGPP57M14D007C")</f>
        <v>STRGPP57M14D007C</v>
      </c>
      <c r="O3138" s="3" t="s">
        <v>3262</v>
      </c>
      <c r="P3138" s="3" t="s">
        <v>36</v>
      </c>
      <c r="Q3138" s="3"/>
      <c r="R3138" s="4">
        <v>45996</v>
      </c>
      <c r="S3138" s="3" t="s">
        <v>37</v>
      </c>
      <c r="T3138" s="3" t="s">
        <v>38</v>
      </c>
      <c r="U3138" s="3" t="s">
        <v>39</v>
      </c>
      <c r="V3138" s="3">
        <v>506.14</v>
      </c>
      <c r="W3138" s="3">
        <v>215.11</v>
      </c>
      <c r="X3138" s="3">
        <v>203.72</v>
      </c>
      <c r="Y3138" s="3">
        <v>87.31</v>
      </c>
    </row>
    <row r="3139" spans="1:25" ht="36.75" x14ac:dyDescent="0.25">
      <c r="A3139" s="3" t="s">
        <v>26</v>
      </c>
      <c r="B3139" s="3" t="s">
        <v>27</v>
      </c>
      <c r="C3139" s="3" t="s">
        <v>28</v>
      </c>
      <c r="D3139" s="3" t="s">
        <v>29</v>
      </c>
      <c r="E3139" s="3" t="s">
        <v>47</v>
      </c>
      <c r="F3139" s="3" t="s">
        <v>31</v>
      </c>
      <c r="G3139" s="3" t="s">
        <v>47</v>
      </c>
      <c r="H3139" s="3" t="s">
        <v>48</v>
      </c>
      <c r="I3139" s="3">
        <v>2025</v>
      </c>
      <c r="J3139" s="3" t="str">
        <f>CONCATENATE("54820211115")</f>
        <v>54820211115</v>
      </c>
      <c r="K3139" s="3" t="s">
        <v>33</v>
      </c>
      <c r="L3139" s="3"/>
      <c r="M3139" s="3" t="s">
        <v>131</v>
      </c>
      <c r="N3139" s="3" t="str">
        <f>CONCATENATE("02730650427")</f>
        <v>02730650427</v>
      </c>
      <c r="O3139" s="3" t="s">
        <v>3263</v>
      </c>
      <c r="P3139" s="3" t="s">
        <v>36</v>
      </c>
      <c r="Q3139" s="3"/>
      <c r="R3139" s="4">
        <v>45996</v>
      </c>
      <c r="S3139" s="3" t="s">
        <v>37</v>
      </c>
      <c r="T3139" s="3" t="s">
        <v>38</v>
      </c>
      <c r="U3139" s="3" t="s">
        <v>39</v>
      </c>
      <c r="V3139" s="3">
        <v>109.05</v>
      </c>
      <c r="W3139" s="3">
        <v>46.35</v>
      </c>
      <c r="X3139" s="3">
        <v>43.89</v>
      </c>
      <c r="Y3139" s="3">
        <v>18.809999999999999</v>
      </c>
    </row>
    <row r="3140" spans="1:25" ht="60.75" x14ac:dyDescent="0.25">
      <c r="A3140" s="3" t="s">
        <v>26</v>
      </c>
      <c r="B3140" s="3" t="s">
        <v>27</v>
      </c>
      <c r="C3140" s="3" t="s">
        <v>28</v>
      </c>
      <c r="D3140" s="3" t="s">
        <v>91</v>
      </c>
      <c r="E3140" s="3" t="s">
        <v>151</v>
      </c>
      <c r="F3140" s="3" t="s">
        <v>93</v>
      </c>
      <c r="G3140" s="3" t="s">
        <v>151</v>
      </c>
      <c r="H3140" s="3" t="s">
        <v>45</v>
      </c>
      <c r="I3140" s="3">
        <v>2025</v>
      </c>
      <c r="J3140" s="3" t="str">
        <f>CONCATENATE("54820259585")</f>
        <v>54820259585</v>
      </c>
      <c r="K3140" s="3" t="s">
        <v>33</v>
      </c>
      <c r="L3140" s="3"/>
      <c r="M3140" s="3" t="s">
        <v>131</v>
      </c>
      <c r="N3140" s="3" t="str">
        <f>CONCATENATE("SCNNMR47C67E690Z")</f>
        <v>SCNNMR47C67E690Z</v>
      </c>
      <c r="O3140" s="3" t="s">
        <v>3264</v>
      </c>
      <c r="P3140" s="3" t="s">
        <v>36</v>
      </c>
      <c r="Q3140" s="3"/>
      <c r="R3140" s="4">
        <v>45996</v>
      </c>
      <c r="S3140" s="3" t="s">
        <v>37</v>
      </c>
      <c r="T3140" s="3" t="s">
        <v>38</v>
      </c>
      <c r="U3140" s="3" t="s">
        <v>39</v>
      </c>
      <c r="V3140" s="3">
        <v>137.78</v>
      </c>
      <c r="W3140" s="3">
        <v>58.56</v>
      </c>
      <c r="X3140" s="3">
        <v>55.46</v>
      </c>
      <c r="Y3140" s="3">
        <v>23.76</v>
      </c>
    </row>
    <row r="3141" spans="1:25" ht="60.75" x14ac:dyDescent="0.25">
      <c r="A3141" s="3" t="s">
        <v>26</v>
      </c>
      <c r="B3141" s="3" t="s">
        <v>27</v>
      </c>
      <c r="C3141" s="3" t="s">
        <v>28</v>
      </c>
      <c r="D3141" s="3" t="s">
        <v>29</v>
      </c>
      <c r="E3141" s="3" t="s">
        <v>68</v>
      </c>
      <c r="F3141" s="3" t="s">
        <v>31</v>
      </c>
      <c r="G3141" s="3" t="s">
        <v>68</v>
      </c>
      <c r="H3141" s="3" t="s">
        <v>32</v>
      </c>
      <c r="I3141" s="3">
        <v>2025</v>
      </c>
      <c r="J3141" s="3" t="str">
        <f>CONCATENATE("54820223359")</f>
        <v>54820223359</v>
      </c>
      <c r="K3141" s="3" t="s">
        <v>33</v>
      </c>
      <c r="L3141" s="3"/>
      <c r="M3141" s="3" t="s">
        <v>131</v>
      </c>
      <c r="N3141" s="3" t="str">
        <f>CONCATENATE("CNCLRT54D19B474D")</f>
        <v>CNCLRT54D19B474D</v>
      </c>
      <c r="O3141" s="3" t="s">
        <v>69</v>
      </c>
      <c r="P3141" s="3" t="s">
        <v>36</v>
      </c>
      <c r="Q3141" s="3"/>
      <c r="R3141" s="4">
        <v>45996</v>
      </c>
      <c r="S3141" s="3" t="s">
        <v>37</v>
      </c>
      <c r="T3141" s="3" t="s">
        <v>38</v>
      </c>
      <c r="U3141" s="3" t="s">
        <v>39</v>
      </c>
      <c r="V3141" s="5">
        <v>1265.6199999999999</v>
      </c>
      <c r="W3141" s="3">
        <v>537.89</v>
      </c>
      <c r="X3141" s="3">
        <v>509.41</v>
      </c>
      <c r="Y3141" s="3">
        <v>218.32</v>
      </c>
    </row>
    <row r="3142" spans="1:25" ht="60.75" x14ac:dyDescent="0.25">
      <c r="A3142" s="3" t="s">
        <v>26</v>
      </c>
      <c r="B3142" s="3" t="s">
        <v>27</v>
      </c>
      <c r="C3142" s="3" t="s">
        <v>28</v>
      </c>
      <c r="D3142" s="3" t="s">
        <v>91</v>
      </c>
      <c r="E3142" s="3" t="s">
        <v>151</v>
      </c>
      <c r="F3142" s="3" t="s">
        <v>93</v>
      </c>
      <c r="G3142" s="3" t="s">
        <v>151</v>
      </c>
      <c r="H3142" s="3" t="s">
        <v>45</v>
      </c>
      <c r="I3142" s="3">
        <v>2025</v>
      </c>
      <c r="J3142" s="3" t="str">
        <f>CONCATENATE("54820235098")</f>
        <v>54820235098</v>
      </c>
      <c r="K3142" s="3" t="s">
        <v>33</v>
      </c>
      <c r="L3142" s="3"/>
      <c r="M3142" s="3" t="s">
        <v>131</v>
      </c>
      <c r="N3142" s="3" t="str">
        <f>CONCATENATE("PLNGLI01E21L500M")</f>
        <v>PLNGLI01E21L500M</v>
      </c>
      <c r="O3142" s="3" t="s">
        <v>3265</v>
      </c>
      <c r="P3142" s="3" t="s">
        <v>36</v>
      </c>
      <c r="Q3142" s="3"/>
      <c r="R3142" s="4">
        <v>45996</v>
      </c>
      <c r="S3142" s="3" t="s">
        <v>37</v>
      </c>
      <c r="T3142" s="3" t="s">
        <v>38</v>
      </c>
      <c r="U3142" s="3" t="s">
        <v>39</v>
      </c>
      <c r="V3142" s="3">
        <v>467.07</v>
      </c>
      <c r="W3142" s="3">
        <v>198.5</v>
      </c>
      <c r="X3142" s="3">
        <v>188</v>
      </c>
      <c r="Y3142" s="3">
        <v>80.569999999999993</v>
      </c>
    </row>
    <row r="3143" spans="1:25" ht="72.75" x14ac:dyDescent="0.25">
      <c r="A3143" s="3" t="s">
        <v>26</v>
      </c>
      <c r="B3143" s="3" t="s">
        <v>27</v>
      </c>
      <c r="C3143" s="3" t="s">
        <v>28</v>
      </c>
      <c r="D3143" s="3" t="s">
        <v>91</v>
      </c>
      <c r="E3143" s="3" t="s">
        <v>151</v>
      </c>
      <c r="F3143" s="3" t="s">
        <v>93</v>
      </c>
      <c r="G3143" s="3" t="s">
        <v>151</v>
      </c>
      <c r="H3143" s="3" t="s">
        <v>45</v>
      </c>
      <c r="I3143" s="3">
        <v>2025</v>
      </c>
      <c r="J3143" s="3" t="str">
        <f>CONCATENATE("54820237953")</f>
        <v>54820237953</v>
      </c>
      <c r="K3143" s="3" t="s">
        <v>33</v>
      </c>
      <c r="L3143" s="3"/>
      <c r="M3143" s="3" t="s">
        <v>131</v>
      </c>
      <c r="N3143" s="3" t="str">
        <f>CONCATENATE("SRTNRC41M23G453A")</f>
        <v>SRTNRC41M23G453A</v>
      </c>
      <c r="O3143" s="3" t="s">
        <v>3266</v>
      </c>
      <c r="P3143" s="3" t="s">
        <v>36</v>
      </c>
      <c r="Q3143" s="3"/>
      <c r="R3143" s="4">
        <v>45996</v>
      </c>
      <c r="S3143" s="3" t="s">
        <v>37</v>
      </c>
      <c r="T3143" s="3" t="s">
        <v>38</v>
      </c>
      <c r="U3143" s="3" t="s">
        <v>39</v>
      </c>
      <c r="V3143" s="3">
        <v>911.4</v>
      </c>
      <c r="W3143" s="3">
        <v>387.35</v>
      </c>
      <c r="X3143" s="3">
        <v>366.84</v>
      </c>
      <c r="Y3143" s="3">
        <v>157.21</v>
      </c>
    </row>
    <row r="3144" spans="1:25" ht="60.75" x14ac:dyDescent="0.25">
      <c r="A3144" s="3" t="s">
        <v>26</v>
      </c>
      <c r="B3144" s="3" t="s">
        <v>27</v>
      </c>
      <c r="C3144" s="3" t="s">
        <v>28</v>
      </c>
      <c r="D3144" s="3" t="s">
        <v>50</v>
      </c>
      <c r="E3144" s="3" t="s">
        <v>60</v>
      </c>
      <c r="F3144" s="3" t="s">
        <v>52</v>
      </c>
      <c r="G3144" s="3" t="s">
        <v>60</v>
      </c>
      <c r="H3144" s="3" t="s">
        <v>45</v>
      </c>
      <c r="I3144" s="3">
        <v>2025</v>
      </c>
      <c r="J3144" s="3" t="str">
        <f>CONCATENATE("54820202791")</f>
        <v>54820202791</v>
      </c>
      <c r="K3144" s="3" t="s">
        <v>33</v>
      </c>
      <c r="L3144" s="3"/>
      <c r="M3144" s="3" t="s">
        <v>131</v>
      </c>
      <c r="N3144" s="3" t="str">
        <f>CONCATENATE("GMBDNI36S08H958Y")</f>
        <v>GMBDNI36S08H958Y</v>
      </c>
      <c r="O3144" s="3" t="s">
        <v>3267</v>
      </c>
      <c r="P3144" s="3" t="s">
        <v>36</v>
      </c>
      <c r="Q3144" s="3"/>
      <c r="R3144" s="4">
        <v>45996</v>
      </c>
      <c r="S3144" s="3" t="s">
        <v>37</v>
      </c>
      <c r="T3144" s="3" t="s">
        <v>38</v>
      </c>
      <c r="U3144" s="3" t="s">
        <v>39</v>
      </c>
      <c r="V3144" s="3">
        <v>74.41</v>
      </c>
      <c r="W3144" s="3">
        <v>31.62</v>
      </c>
      <c r="X3144" s="3">
        <v>29.95</v>
      </c>
      <c r="Y3144" s="3">
        <v>12.84</v>
      </c>
    </row>
    <row r="3145" spans="1:25" ht="60.75" x14ac:dyDescent="0.25">
      <c r="A3145" s="3" t="s">
        <v>26</v>
      </c>
      <c r="B3145" s="3" t="s">
        <v>27</v>
      </c>
      <c r="C3145" s="3" t="s">
        <v>28</v>
      </c>
      <c r="D3145" s="3" t="s">
        <v>264</v>
      </c>
      <c r="E3145" s="3" t="s">
        <v>265</v>
      </c>
      <c r="F3145" s="3" t="s">
        <v>266</v>
      </c>
      <c r="G3145" s="3" t="s">
        <v>265</v>
      </c>
      <c r="H3145" s="3" t="s">
        <v>45</v>
      </c>
      <c r="I3145" s="3">
        <v>2025</v>
      </c>
      <c r="J3145" s="3" t="str">
        <f>CONCATENATE("54820275029")</f>
        <v>54820275029</v>
      </c>
      <c r="K3145" s="3" t="s">
        <v>33</v>
      </c>
      <c r="L3145" s="3"/>
      <c r="M3145" s="3" t="s">
        <v>131</v>
      </c>
      <c r="N3145" s="3" t="str">
        <f>CONCATENATE("RFFNNL66L43I459T")</f>
        <v>RFFNNL66L43I459T</v>
      </c>
      <c r="O3145" s="3" t="s">
        <v>3268</v>
      </c>
      <c r="P3145" s="3" t="s">
        <v>36</v>
      </c>
      <c r="Q3145" s="3"/>
      <c r="R3145" s="4">
        <v>45996</v>
      </c>
      <c r="S3145" s="3" t="s">
        <v>37</v>
      </c>
      <c r="T3145" s="3" t="s">
        <v>38</v>
      </c>
      <c r="U3145" s="3" t="s">
        <v>39</v>
      </c>
      <c r="V3145" s="3">
        <v>146.36000000000001</v>
      </c>
      <c r="W3145" s="3">
        <v>62.2</v>
      </c>
      <c r="X3145" s="3">
        <v>58.91</v>
      </c>
      <c r="Y3145" s="3">
        <v>25.25</v>
      </c>
    </row>
    <row r="3146" spans="1:25" ht="60.75" x14ac:dyDescent="0.25">
      <c r="A3146" s="3" t="s">
        <v>26</v>
      </c>
      <c r="B3146" s="3" t="s">
        <v>27</v>
      </c>
      <c r="C3146" s="3" t="s">
        <v>28</v>
      </c>
      <c r="D3146" s="3" t="s">
        <v>29</v>
      </c>
      <c r="E3146" s="3" t="s">
        <v>228</v>
      </c>
      <c r="F3146" s="3" t="s">
        <v>31</v>
      </c>
      <c r="G3146" s="3" t="s">
        <v>228</v>
      </c>
      <c r="H3146" s="3" t="s">
        <v>45</v>
      </c>
      <c r="I3146" s="3">
        <v>2025</v>
      </c>
      <c r="J3146" s="3" t="str">
        <f>CONCATENATE("54820207857")</f>
        <v>54820207857</v>
      </c>
      <c r="K3146" s="3" t="s">
        <v>33</v>
      </c>
      <c r="L3146" s="3"/>
      <c r="M3146" s="3" t="s">
        <v>131</v>
      </c>
      <c r="N3146" s="3" t="str">
        <f>CONCATENATE("CLVLRA86B51D451O")</f>
        <v>CLVLRA86B51D451O</v>
      </c>
      <c r="O3146" s="3" t="s">
        <v>3269</v>
      </c>
      <c r="P3146" s="3" t="s">
        <v>36</v>
      </c>
      <c r="Q3146" s="3"/>
      <c r="R3146" s="4">
        <v>45996</v>
      </c>
      <c r="S3146" s="3" t="s">
        <v>37</v>
      </c>
      <c r="T3146" s="3" t="s">
        <v>38</v>
      </c>
      <c r="U3146" s="3" t="s">
        <v>39</v>
      </c>
      <c r="V3146" s="5">
        <v>1227.72</v>
      </c>
      <c r="W3146" s="3">
        <v>521.78</v>
      </c>
      <c r="X3146" s="3">
        <v>494.16</v>
      </c>
      <c r="Y3146" s="3">
        <v>211.78</v>
      </c>
    </row>
    <row r="3147" spans="1:25" ht="60.75" x14ac:dyDescent="0.25">
      <c r="A3147" s="3" t="s">
        <v>26</v>
      </c>
      <c r="B3147" s="3" t="s">
        <v>27</v>
      </c>
      <c r="C3147" s="3" t="s">
        <v>28</v>
      </c>
      <c r="D3147" s="3" t="s">
        <v>29</v>
      </c>
      <c r="E3147" s="3" t="s">
        <v>101</v>
      </c>
      <c r="F3147" s="3" t="s">
        <v>31</v>
      </c>
      <c r="G3147" s="3" t="s">
        <v>101</v>
      </c>
      <c r="H3147" s="3" t="s">
        <v>32</v>
      </c>
      <c r="I3147" s="3">
        <v>2025</v>
      </c>
      <c r="J3147" s="3" t="str">
        <f>CONCATENATE("54820253356")</f>
        <v>54820253356</v>
      </c>
      <c r="K3147" s="3" t="s">
        <v>33</v>
      </c>
      <c r="L3147" s="3"/>
      <c r="M3147" s="3" t="s">
        <v>131</v>
      </c>
      <c r="N3147" s="3" t="str">
        <f>CONCATENATE("SRENGL53C05B398R")</f>
        <v>SRENGL53C05B398R</v>
      </c>
      <c r="O3147" s="3" t="s">
        <v>3270</v>
      </c>
      <c r="P3147" s="3" t="s">
        <v>36</v>
      </c>
      <c r="Q3147" s="3"/>
      <c r="R3147" s="4">
        <v>45996</v>
      </c>
      <c r="S3147" s="3" t="s">
        <v>37</v>
      </c>
      <c r="T3147" s="3" t="s">
        <v>38</v>
      </c>
      <c r="U3147" s="3" t="s">
        <v>39</v>
      </c>
      <c r="V3147" s="3">
        <v>125.5</v>
      </c>
      <c r="W3147" s="3">
        <v>53.34</v>
      </c>
      <c r="X3147" s="3">
        <v>50.51</v>
      </c>
      <c r="Y3147" s="3">
        <v>21.65</v>
      </c>
    </row>
    <row r="3148" spans="1:25" ht="36.75" x14ac:dyDescent="0.25">
      <c r="A3148" s="3" t="s">
        <v>26</v>
      </c>
      <c r="B3148" s="3" t="s">
        <v>27</v>
      </c>
      <c r="C3148" s="3" t="s">
        <v>28</v>
      </c>
      <c r="D3148" s="3" t="s">
        <v>29</v>
      </c>
      <c r="E3148" s="3" t="s">
        <v>72</v>
      </c>
      <c r="F3148" s="3" t="s">
        <v>31</v>
      </c>
      <c r="G3148" s="3" t="s">
        <v>72</v>
      </c>
      <c r="H3148" s="3" t="s">
        <v>45</v>
      </c>
      <c r="I3148" s="3">
        <v>2025</v>
      </c>
      <c r="J3148" s="3" t="str">
        <f>CONCATENATE("54820199302")</f>
        <v>54820199302</v>
      </c>
      <c r="K3148" s="3" t="s">
        <v>33</v>
      </c>
      <c r="L3148" s="3"/>
      <c r="M3148" s="3" t="s">
        <v>131</v>
      </c>
      <c r="N3148" s="3" t="str">
        <f>CONCATENATE("02451310417")</f>
        <v>02451310417</v>
      </c>
      <c r="O3148" s="3" t="s">
        <v>3271</v>
      </c>
      <c r="P3148" s="3" t="s">
        <v>36</v>
      </c>
      <c r="Q3148" s="3"/>
      <c r="R3148" s="4">
        <v>45996</v>
      </c>
      <c r="S3148" s="3" t="s">
        <v>37</v>
      </c>
      <c r="T3148" s="3" t="s">
        <v>38</v>
      </c>
      <c r="U3148" s="3" t="s">
        <v>39</v>
      </c>
      <c r="V3148" s="3">
        <v>252.89</v>
      </c>
      <c r="W3148" s="3">
        <v>107.48</v>
      </c>
      <c r="X3148" s="3">
        <v>101.79</v>
      </c>
      <c r="Y3148" s="3">
        <v>43.62</v>
      </c>
    </row>
    <row r="3149" spans="1:25" ht="60.75" x14ac:dyDescent="0.25">
      <c r="A3149" s="3" t="s">
        <v>26</v>
      </c>
      <c r="B3149" s="3" t="s">
        <v>27</v>
      </c>
      <c r="C3149" s="3" t="s">
        <v>28</v>
      </c>
      <c r="D3149" s="3" t="s">
        <v>91</v>
      </c>
      <c r="E3149" s="3" t="s">
        <v>522</v>
      </c>
      <c r="F3149" s="3" t="s">
        <v>93</v>
      </c>
      <c r="G3149" s="3" t="s">
        <v>522</v>
      </c>
      <c r="H3149" s="3" t="s">
        <v>32</v>
      </c>
      <c r="I3149" s="3">
        <v>2025</v>
      </c>
      <c r="J3149" s="3" t="str">
        <f>CONCATENATE("54820217203")</f>
        <v>54820217203</v>
      </c>
      <c r="K3149" s="3" t="s">
        <v>33</v>
      </c>
      <c r="L3149" s="3"/>
      <c r="M3149" s="3" t="s">
        <v>131</v>
      </c>
      <c r="N3149" s="3" t="str">
        <f>CONCATENATE("NSTPRZ68L46A271C")</f>
        <v>NSTPRZ68L46A271C</v>
      </c>
      <c r="O3149" s="3" t="s">
        <v>3272</v>
      </c>
      <c r="P3149" s="3" t="s">
        <v>36</v>
      </c>
      <c r="Q3149" s="3"/>
      <c r="R3149" s="4">
        <v>45996</v>
      </c>
      <c r="S3149" s="3" t="s">
        <v>37</v>
      </c>
      <c r="T3149" s="3" t="s">
        <v>38</v>
      </c>
      <c r="U3149" s="3" t="s">
        <v>39</v>
      </c>
      <c r="V3149" s="3">
        <v>379.47</v>
      </c>
      <c r="W3149" s="3">
        <v>161.27000000000001</v>
      </c>
      <c r="X3149" s="3">
        <v>152.74</v>
      </c>
      <c r="Y3149" s="3">
        <v>65.459999999999994</v>
      </c>
    </row>
    <row r="3150" spans="1:25" ht="36.75" x14ac:dyDescent="0.25">
      <c r="A3150" s="3" t="s">
        <v>26</v>
      </c>
      <c r="B3150" s="3" t="s">
        <v>27</v>
      </c>
      <c r="C3150" s="3" t="s">
        <v>28</v>
      </c>
      <c r="D3150" s="3" t="s">
        <v>29</v>
      </c>
      <c r="E3150" s="3" t="s">
        <v>47</v>
      </c>
      <c r="F3150" s="3" t="s">
        <v>31</v>
      </c>
      <c r="G3150" s="3" t="s">
        <v>47</v>
      </c>
      <c r="H3150" s="3" t="s">
        <v>48</v>
      </c>
      <c r="I3150" s="3">
        <v>2025</v>
      </c>
      <c r="J3150" s="3" t="str">
        <f>CONCATENATE("54820211206")</f>
        <v>54820211206</v>
      </c>
      <c r="K3150" s="3" t="s">
        <v>33</v>
      </c>
      <c r="L3150" s="3"/>
      <c r="M3150" s="3" t="s">
        <v>131</v>
      </c>
      <c r="N3150" s="3" t="str">
        <f>CONCATENATE("02398370425")</f>
        <v>02398370425</v>
      </c>
      <c r="O3150" s="3" t="s">
        <v>3273</v>
      </c>
      <c r="P3150" s="3" t="s">
        <v>36</v>
      </c>
      <c r="Q3150" s="3"/>
      <c r="R3150" s="4">
        <v>45996</v>
      </c>
      <c r="S3150" s="3" t="s">
        <v>37</v>
      </c>
      <c r="T3150" s="3" t="s">
        <v>38</v>
      </c>
      <c r="U3150" s="3" t="s">
        <v>39</v>
      </c>
      <c r="V3150" s="3">
        <v>432.39</v>
      </c>
      <c r="W3150" s="3">
        <v>183.77</v>
      </c>
      <c r="X3150" s="3">
        <v>174.04</v>
      </c>
      <c r="Y3150" s="3">
        <v>74.58</v>
      </c>
    </row>
    <row r="3151" spans="1:25" ht="60.75" x14ac:dyDescent="0.25">
      <c r="A3151" s="3" t="s">
        <v>26</v>
      </c>
      <c r="B3151" s="3" t="s">
        <v>27</v>
      </c>
      <c r="C3151" s="3" t="s">
        <v>28</v>
      </c>
      <c r="D3151" s="3" t="s">
        <v>29</v>
      </c>
      <c r="E3151" s="3" t="s">
        <v>101</v>
      </c>
      <c r="F3151" s="3" t="s">
        <v>31</v>
      </c>
      <c r="G3151" s="3" t="s">
        <v>101</v>
      </c>
      <c r="H3151" s="3" t="s">
        <v>32</v>
      </c>
      <c r="I3151" s="3">
        <v>2025</v>
      </c>
      <c r="J3151" s="3" t="str">
        <f>CONCATENATE("54820197280")</f>
        <v>54820197280</v>
      </c>
      <c r="K3151" s="3" t="s">
        <v>33</v>
      </c>
      <c r="L3151" s="3"/>
      <c r="M3151" s="3" t="s">
        <v>131</v>
      </c>
      <c r="N3151" s="3" t="str">
        <f>CONCATENATE("CRLCLD60L54B474Q")</f>
        <v>CRLCLD60L54B474Q</v>
      </c>
      <c r="O3151" s="3" t="s">
        <v>3274</v>
      </c>
      <c r="P3151" s="3" t="s">
        <v>36</v>
      </c>
      <c r="Q3151" s="3"/>
      <c r="R3151" s="4">
        <v>45996</v>
      </c>
      <c r="S3151" s="3" t="s">
        <v>37</v>
      </c>
      <c r="T3151" s="3" t="s">
        <v>38</v>
      </c>
      <c r="U3151" s="3" t="s">
        <v>39</v>
      </c>
      <c r="V3151" s="3">
        <v>232.15</v>
      </c>
      <c r="W3151" s="3">
        <v>98.66</v>
      </c>
      <c r="X3151" s="3">
        <v>93.44</v>
      </c>
      <c r="Y3151" s="3">
        <v>40.049999999999997</v>
      </c>
    </row>
    <row r="3152" spans="1:25" ht="60.75" x14ac:dyDescent="0.25">
      <c r="A3152" s="3" t="s">
        <v>26</v>
      </c>
      <c r="B3152" s="3" t="s">
        <v>27</v>
      </c>
      <c r="C3152" s="3" t="s">
        <v>28</v>
      </c>
      <c r="D3152" s="3" t="s">
        <v>29</v>
      </c>
      <c r="E3152" s="3" t="s">
        <v>47</v>
      </c>
      <c r="F3152" s="3" t="s">
        <v>31</v>
      </c>
      <c r="G3152" s="3" t="s">
        <v>47</v>
      </c>
      <c r="H3152" s="3" t="s">
        <v>48</v>
      </c>
      <c r="I3152" s="3">
        <v>2025</v>
      </c>
      <c r="J3152" s="3" t="str">
        <f>CONCATENATE("54820218904")</f>
        <v>54820218904</v>
      </c>
      <c r="K3152" s="3" t="s">
        <v>33</v>
      </c>
      <c r="L3152" s="3"/>
      <c r="M3152" s="3" t="s">
        <v>131</v>
      </c>
      <c r="N3152" s="3" t="str">
        <f>CONCATENATE("TSSCLD70R29D451O")</f>
        <v>TSSCLD70R29D451O</v>
      </c>
      <c r="O3152" s="3" t="s">
        <v>3275</v>
      </c>
      <c r="P3152" s="3" t="s">
        <v>36</v>
      </c>
      <c r="Q3152" s="3"/>
      <c r="R3152" s="4">
        <v>45996</v>
      </c>
      <c r="S3152" s="3" t="s">
        <v>37</v>
      </c>
      <c r="T3152" s="3" t="s">
        <v>38</v>
      </c>
      <c r="U3152" s="3" t="s">
        <v>39</v>
      </c>
      <c r="V3152" s="3">
        <v>85.86</v>
      </c>
      <c r="W3152" s="3">
        <v>36.49</v>
      </c>
      <c r="X3152" s="3">
        <v>34.56</v>
      </c>
      <c r="Y3152" s="3">
        <v>14.81</v>
      </c>
    </row>
    <row r="3153" spans="1:25" ht="72.75" x14ac:dyDescent="0.25">
      <c r="A3153" s="3" t="s">
        <v>26</v>
      </c>
      <c r="B3153" s="3" t="s">
        <v>27</v>
      </c>
      <c r="C3153" s="3" t="s">
        <v>28</v>
      </c>
      <c r="D3153" s="3" t="s">
        <v>29</v>
      </c>
      <c r="E3153" s="3" t="s">
        <v>47</v>
      </c>
      <c r="F3153" s="3" t="s">
        <v>31</v>
      </c>
      <c r="G3153" s="3" t="s">
        <v>47</v>
      </c>
      <c r="H3153" s="3" t="s">
        <v>48</v>
      </c>
      <c r="I3153" s="3">
        <v>2025</v>
      </c>
      <c r="J3153" s="3" t="str">
        <f>CONCATENATE("54820172697")</f>
        <v>54820172697</v>
      </c>
      <c r="K3153" s="3" t="s">
        <v>33</v>
      </c>
      <c r="L3153" s="3"/>
      <c r="M3153" s="3" t="s">
        <v>131</v>
      </c>
      <c r="N3153" s="3" t="str">
        <f>CONCATENATE("MRNFRZ61B09D451R")</f>
        <v>MRNFRZ61B09D451R</v>
      </c>
      <c r="O3153" s="3" t="s">
        <v>3276</v>
      </c>
      <c r="P3153" s="3" t="s">
        <v>36</v>
      </c>
      <c r="Q3153" s="3"/>
      <c r="R3153" s="4">
        <v>45996</v>
      </c>
      <c r="S3153" s="3" t="s">
        <v>37</v>
      </c>
      <c r="T3153" s="3" t="s">
        <v>38</v>
      </c>
      <c r="U3153" s="3" t="s">
        <v>39</v>
      </c>
      <c r="V3153" s="3">
        <v>157.04</v>
      </c>
      <c r="W3153" s="3">
        <v>66.739999999999995</v>
      </c>
      <c r="X3153" s="3">
        <v>63.21</v>
      </c>
      <c r="Y3153" s="3">
        <v>27.09</v>
      </c>
    </row>
    <row r="3154" spans="1:25" ht="60.75" x14ac:dyDescent="0.25">
      <c r="A3154" s="3" t="s">
        <v>26</v>
      </c>
      <c r="B3154" s="3" t="s">
        <v>27</v>
      </c>
      <c r="C3154" s="3" t="s">
        <v>28</v>
      </c>
      <c r="D3154" s="3" t="s">
        <v>29</v>
      </c>
      <c r="E3154" s="3" t="s">
        <v>208</v>
      </c>
      <c r="F3154" s="3" t="s">
        <v>31</v>
      </c>
      <c r="G3154" s="3" t="s">
        <v>208</v>
      </c>
      <c r="H3154" s="3" t="s">
        <v>45</v>
      </c>
      <c r="I3154" s="3">
        <v>2025</v>
      </c>
      <c r="J3154" s="3" t="str">
        <f>CONCATENATE("54820217591")</f>
        <v>54820217591</v>
      </c>
      <c r="K3154" s="3" t="s">
        <v>33</v>
      </c>
      <c r="L3154" s="3"/>
      <c r="M3154" s="3" t="s">
        <v>131</v>
      </c>
      <c r="N3154" s="3" t="str">
        <f>CONCATENATE("PZZDRN64R17F135L")</f>
        <v>PZZDRN64R17F135L</v>
      </c>
      <c r="O3154" s="3" t="s">
        <v>3277</v>
      </c>
      <c r="P3154" s="3" t="s">
        <v>36</v>
      </c>
      <c r="Q3154" s="3"/>
      <c r="R3154" s="4">
        <v>45996</v>
      </c>
      <c r="S3154" s="3" t="s">
        <v>37</v>
      </c>
      <c r="T3154" s="3" t="s">
        <v>38</v>
      </c>
      <c r="U3154" s="3" t="s">
        <v>39</v>
      </c>
      <c r="V3154" s="3">
        <v>233.86</v>
      </c>
      <c r="W3154" s="3">
        <v>99.39</v>
      </c>
      <c r="X3154" s="3">
        <v>94.13</v>
      </c>
      <c r="Y3154" s="3">
        <v>40.340000000000003</v>
      </c>
    </row>
    <row r="3155" spans="1:25" ht="60.75" x14ac:dyDescent="0.25">
      <c r="A3155" s="3" t="s">
        <v>26</v>
      </c>
      <c r="B3155" s="3" t="s">
        <v>27</v>
      </c>
      <c r="C3155" s="3" t="s">
        <v>28</v>
      </c>
      <c r="D3155" s="3" t="s">
        <v>40</v>
      </c>
      <c r="E3155" s="3" t="s">
        <v>41</v>
      </c>
      <c r="F3155" s="3" t="s">
        <v>42</v>
      </c>
      <c r="G3155" s="3" t="s">
        <v>41</v>
      </c>
      <c r="H3155" s="3" t="s">
        <v>32</v>
      </c>
      <c r="I3155" s="3">
        <v>2025</v>
      </c>
      <c r="J3155" s="3" t="str">
        <f>CONCATENATE("54820238977")</f>
        <v>54820238977</v>
      </c>
      <c r="K3155" s="3" t="s">
        <v>33</v>
      </c>
      <c r="L3155" s="3"/>
      <c r="M3155" s="3" t="s">
        <v>131</v>
      </c>
      <c r="N3155" s="3" t="str">
        <f>CONCATENATE("BNDRCR90C02B474M")</f>
        <v>BNDRCR90C02B474M</v>
      </c>
      <c r="O3155" s="3" t="s">
        <v>67</v>
      </c>
      <c r="P3155" s="3" t="s">
        <v>36</v>
      </c>
      <c r="Q3155" s="3"/>
      <c r="R3155" s="4">
        <v>45996</v>
      </c>
      <c r="S3155" s="3" t="s">
        <v>37</v>
      </c>
      <c r="T3155" s="3" t="s">
        <v>38</v>
      </c>
      <c r="U3155" s="3" t="s">
        <v>39</v>
      </c>
      <c r="V3155" s="5">
        <v>1296.53</v>
      </c>
      <c r="W3155" s="3">
        <v>551.03</v>
      </c>
      <c r="X3155" s="3">
        <v>521.85</v>
      </c>
      <c r="Y3155" s="3">
        <v>223.65</v>
      </c>
    </row>
    <row r="3156" spans="1:25" ht="60.75" x14ac:dyDescent="0.25">
      <c r="A3156" s="3" t="s">
        <v>26</v>
      </c>
      <c r="B3156" s="3" t="s">
        <v>27</v>
      </c>
      <c r="C3156" s="3" t="s">
        <v>28</v>
      </c>
      <c r="D3156" s="3" t="s">
        <v>91</v>
      </c>
      <c r="E3156" s="3" t="s">
        <v>151</v>
      </c>
      <c r="F3156" s="3" t="s">
        <v>93</v>
      </c>
      <c r="G3156" s="3" t="s">
        <v>151</v>
      </c>
      <c r="H3156" s="3" t="s">
        <v>45</v>
      </c>
      <c r="I3156" s="3">
        <v>2025</v>
      </c>
      <c r="J3156" s="3" t="str">
        <f>CONCATENATE("54820286588")</f>
        <v>54820286588</v>
      </c>
      <c r="K3156" s="3" t="s">
        <v>33</v>
      </c>
      <c r="L3156" s="3"/>
      <c r="M3156" s="3" t="s">
        <v>131</v>
      </c>
      <c r="N3156" s="3" t="str">
        <f>CONCATENATE("MZZLRS46A08B816S")</f>
        <v>MZZLRS46A08B816S</v>
      </c>
      <c r="O3156" s="3" t="s">
        <v>3278</v>
      </c>
      <c r="P3156" s="3" t="s">
        <v>36</v>
      </c>
      <c r="Q3156" s="3"/>
      <c r="R3156" s="4">
        <v>45996</v>
      </c>
      <c r="S3156" s="3" t="s">
        <v>37</v>
      </c>
      <c r="T3156" s="3" t="s">
        <v>38</v>
      </c>
      <c r="U3156" s="3" t="s">
        <v>39</v>
      </c>
      <c r="V3156" s="3">
        <v>200.89</v>
      </c>
      <c r="W3156" s="3">
        <v>85.38</v>
      </c>
      <c r="X3156" s="3">
        <v>80.86</v>
      </c>
      <c r="Y3156" s="3">
        <v>34.65</v>
      </c>
    </row>
    <row r="3157" spans="1:25" ht="60.75" x14ac:dyDescent="0.25">
      <c r="A3157" s="3" t="s">
        <v>26</v>
      </c>
      <c r="B3157" s="3" t="s">
        <v>27</v>
      </c>
      <c r="C3157" s="3" t="s">
        <v>28</v>
      </c>
      <c r="D3157" s="3" t="s">
        <v>91</v>
      </c>
      <c r="E3157" s="3" t="s">
        <v>151</v>
      </c>
      <c r="F3157" s="3" t="s">
        <v>93</v>
      </c>
      <c r="G3157" s="3" t="s">
        <v>151</v>
      </c>
      <c r="H3157" s="3" t="s">
        <v>45</v>
      </c>
      <c r="I3157" s="3">
        <v>2025</v>
      </c>
      <c r="J3157" s="3" t="str">
        <f>CONCATENATE("54820286521")</f>
        <v>54820286521</v>
      </c>
      <c r="K3157" s="3" t="s">
        <v>33</v>
      </c>
      <c r="L3157" s="3"/>
      <c r="M3157" s="3" t="s">
        <v>131</v>
      </c>
      <c r="N3157" s="3" t="str">
        <f>CONCATENATE("STRRND38S10D791H")</f>
        <v>STRRND38S10D791H</v>
      </c>
      <c r="O3157" s="3" t="s">
        <v>3279</v>
      </c>
      <c r="P3157" s="3" t="s">
        <v>36</v>
      </c>
      <c r="Q3157" s="3"/>
      <c r="R3157" s="4">
        <v>45996</v>
      </c>
      <c r="S3157" s="3" t="s">
        <v>37</v>
      </c>
      <c r="T3157" s="3" t="s">
        <v>38</v>
      </c>
      <c r="U3157" s="3" t="s">
        <v>39</v>
      </c>
      <c r="V3157" s="3">
        <v>128.49</v>
      </c>
      <c r="W3157" s="3">
        <v>54.61</v>
      </c>
      <c r="X3157" s="3">
        <v>51.72</v>
      </c>
      <c r="Y3157" s="3">
        <v>22.16</v>
      </c>
    </row>
    <row r="3158" spans="1:25" ht="60.75" x14ac:dyDescent="0.25">
      <c r="A3158" s="3" t="s">
        <v>26</v>
      </c>
      <c r="B3158" s="3" t="s">
        <v>27</v>
      </c>
      <c r="C3158" s="3" t="s">
        <v>28</v>
      </c>
      <c r="D3158" s="3" t="s">
        <v>91</v>
      </c>
      <c r="E3158" s="3" t="s">
        <v>151</v>
      </c>
      <c r="F3158" s="3" t="s">
        <v>93</v>
      </c>
      <c r="G3158" s="3" t="s">
        <v>151</v>
      </c>
      <c r="H3158" s="3" t="s">
        <v>45</v>
      </c>
      <c r="I3158" s="3">
        <v>2025</v>
      </c>
      <c r="J3158" s="3" t="str">
        <f>CONCATENATE("54820258157")</f>
        <v>54820258157</v>
      </c>
      <c r="K3158" s="3" t="s">
        <v>33</v>
      </c>
      <c r="L3158" s="3"/>
      <c r="M3158" s="3" t="s">
        <v>131</v>
      </c>
      <c r="N3158" s="3" t="str">
        <f>CONCATENATE("BRSRNN48M71F450L")</f>
        <v>BRSRNN48M71F450L</v>
      </c>
      <c r="O3158" s="3" t="s">
        <v>3280</v>
      </c>
      <c r="P3158" s="3" t="s">
        <v>36</v>
      </c>
      <c r="Q3158" s="3"/>
      <c r="R3158" s="4">
        <v>45996</v>
      </c>
      <c r="S3158" s="3" t="s">
        <v>37</v>
      </c>
      <c r="T3158" s="3" t="s">
        <v>38</v>
      </c>
      <c r="U3158" s="3" t="s">
        <v>39</v>
      </c>
      <c r="V3158" s="3">
        <v>649.47</v>
      </c>
      <c r="W3158" s="3">
        <v>276.02</v>
      </c>
      <c r="X3158" s="3">
        <v>261.41000000000003</v>
      </c>
      <c r="Y3158" s="3">
        <v>112.04</v>
      </c>
    </row>
    <row r="3159" spans="1:25" ht="36.75" x14ac:dyDescent="0.25">
      <c r="A3159" s="3" t="s">
        <v>26</v>
      </c>
      <c r="B3159" s="3" t="s">
        <v>27</v>
      </c>
      <c r="C3159" s="3" t="s">
        <v>28</v>
      </c>
      <c r="D3159" s="3" t="s">
        <v>91</v>
      </c>
      <c r="E3159" s="3" t="s">
        <v>151</v>
      </c>
      <c r="F3159" s="3" t="s">
        <v>93</v>
      </c>
      <c r="G3159" s="3" t="s">
        <v>151</v>
      </c>
      <c r="H3159" s="3" t="s">
        <v>45</v>
      </c>
      <c r="I3159" s="3">
        <v>2025</v>
      </c>
      <c r="J3159" s="3" t="str">
        <f>CONCATENATE("54820286752")</f>
        <v>54820286752</v>
      </c>
      <c r="K3159" s="3" t="s">
        <v>33</v>
      </c>
      <c r="L3159" s="3"/>
      <c r="M3159" s="3" t="s">
        <v>131</v>
      </c>
      <c r="N3159" s="3" t="str">
        <f>CONCATENATE("02802020418")</f>
        <v>02802020418</v>
      </c>
      <c r="O3159" s="3" t="s">
        <v>3281</v>
      </c>
      <c r="P3159" s="3" t="s">
        <v>36</v>
      </c>
      <c r="Q3159" s="3"/>
      <c r="R3159" s="4">
        <v>45996</v>
      </c>
      <c r="S3159" s="3" t="s">
        <v>37</v>
      </c>
      <c r="T3159" s="3" t="s">
        <v>38</v>
      </c>
      <c r="U3159" s="3" t="s">
        <v>39</v>
      </c>
      <c r="V3159" s="3">
        <v>387.51</v>
      </c>
      <c r="W3159" s="3">
        <v>164.69</v>
      </c>
      <c r="X3159" s="3">
        <v>155.97</v>
      </c>
      <c r="Y3159" s="3">
        <v>66.849999999999994</v>
      </c>
    </row>
    <row r="3160" spans="1:25" ht="72.75" x14ac:dyDescent="0.25">
      <c r="A3160" s="3" t="s">
        <v>26</v>
      </c>
      <c r="B3160" s="3" t="s">
        <v>27</v>
      </c>
      <c r="C3160" s="3" t="s">
        <v>28</v>
      </c>
      <c r="D3160" s="3" t="s">
        <v>50</v>
      </c>
      <c r="E3160" s="3" t="s">
        <v>173</v>
      </c>
      <c r="F3160" s="3" t="s">
        <v>52</v>
      </c>
      <c r="G3160" s="3" t="s">
        <v>173</v>
      </c>
      <c r="H3160" s="3" t="s">
        <v>45</v>
      </c>
      <c r="I3160" s="3">
        <v>2025</v>
      </c>
      <c r="J3160" s="3" t="str">
        <f>CONCATENATE("54820367487")</f>
        <v>54820367487</v>
      </c>
      <c r="K3160" s="3" t="s">
        <v>33</v>
      </c>
      <c r="L3160" s="3"/>
      <c r="M3160" s="3" t="s">
        <v>131</v>
      </c>
      <c r="N3160" s="3" t="str">
        <f>CONCATENATE("MGNSRA63B08I459U")</f>
        <v>MGNSRA63B08I459U</v>
      </c>
      <c r="O3160" s="3" t="s">
        <v>3282</v>
      </c>
      <c r="P3160" s="3" t="s">
        <v>36</v>
      </c>
      <c r="Q3160" s="3"/>
      <c r="R3160" s="4">
        <v>45996</v>
      </c>
      <c r="S3160" s="3" t="s">
        <v>37</v>
      </c>
      <c r="T3160" s="3" t="s">
        <v>38</v>
      </c>
      <c r="U3160" s="3" t="s">
        <v>39</v>
      </c>
      <c r="V3160" s="3">
        <v>150.59</v>
      </c>
      <c r="W3160" s="3">
        <v>64</v>
      </c>
      <c r="X3160" s="3">
        <v>60.61</v>
      </c>
      <c r="Y3160" s="3">
        <v>25.98</v>
      </c>
    </row>
    <row r="3161" spans="1:25" ht="60.75" x14ac:dyDescent="0.25">
      <c r="A3161" s="3" t="s">
        <v>26</v>
      </c>
      <c r="B3161" s="3" t="s">
        <v>27</v>
      </c>
      <c r="C3161" s="3" t="s">
        <v>28</v>
      </c>
      <c r="D3161" s="3" t="s">
        <v>40</v>
      </c>
      <c r="E3161" s="3" t="s">
        <v>99</v>
      </c>
      <c r="F3161" s="3" t="s">
        <v>42</v>
      </c>
      <c r="G3161" s="3" t="s">
        <v>99</v>
      </c>
      <c r="H3161" s="3" t="s">
        <v>32</v>
      </c>
      <c r="I3161" s="3">
        <v>2025</v>
      </c>
      <c r="J3161" s="3" t="str">
        <f>CONCATENATE("54820377031")</f>
        <v>54820377031</v>
      </c>
      <c r="K3161" s="3" t="s">
        <v>33</v>
      </c>
      <c r="L3161" s="3"/>
      <c r="M3161" s="3" t="s">
        <v>131</v>
      </c>
      <c r="N3161" s="3" t="str">
        <f>CONCATENATE("RMLMRA85M06L191R")</f>
        <v>RMLMRA85M06L191R</v>
      </c>
      <c r="O3161" s="3" t="s">
        <v>3283</v>
      </c>
      <c r="P3161" s="3" t="s">
        <v>36</v>
      </c>
      <c r="Q3161" s="3"/>
      <c r="R3161" s="4">
        <v>45996</v>
      </c>
      <c r="S3161" s="3" t="s">
        <v>37</v>
      </c>
      <c r="T3161" s="3" t="s">
        <v>38</v>
      </c>
      <c r="U3161" s="3" t="s">
        <v>39</v>
      </c>
      <c r="V3161" s="3">
        <v>111.87</v>
      </c>
      <c r="W3161" s="3">
        <v>47.54</v>
      </c>
      <c r="X3161" s="3">
        <v>45.03</v>
      </c>
      <c r="Y3161" s="3">
        <v>19.3</v>
      </c>
    </row>
    <row r="3162" spans="1:25" ht="36.75" x14ac:dyDescent="0.25">
      <c r="A3162" s="3" t="s">
        <v>26</v>
      </c>
      <c r="B3162" s="3" t="s">
        <v>27</v>
      </c>
      <c r="C3162" s="3" t="s">
        <v>28</v>
      </c>
      <c r="D3162" s="3" t="s">
        <v>40</v>
      </c>
      <c r="E3162" s="3" t="s">
        <v>218</v>
      </c>
      <c r="F3162" s="3" t="s">
        <v>42</v>
      </c>
      <c r="G3162" s="3" t="s">
        <v>218</v>
      </c>
      <c r="H3162" s="3" t="s">
        <v>45</v>
      </c>
      <c r="I3162" s="3">
        <v>2025</v>
      </c>
      <c r="J3162" s="3" t="str">
        <f>CONCATENATE("54820046552")</f>
        <v>54820046552</v>
      </c>
      <c r="K3162" s="3" t="s">
        <v>33</v>
      </c>
      <c r="L3162" s="3"/>
      <c r="M3162" s="3" t="s">
        <v>131</v>
      </c>
      <c r="N3162" s="3" t="str">
        <f>CONCATENATE("02707760415")</f>
        <v>02707760415</v>
      </c>
      <c r="O3162" s="3" t="s">
        <v>3284</v>
      </c>
      <c r="P3162" s="3" t="s">
        <v>36</v>
      </c>
      <c r="Q3162" s="3"/>
      <c r="R3162" s="4">
        <v>45996</v>
      </c>
      <c r="S3162" s="3" t="s">
        <v>37</v>
      </c>
      <c r="T3162" s="3" t="s">
        <v>38</v>
      </c>
      <c r="U3162" s="3" t="s">
        <v>39</v>
      </c>
      <c r="V3162" s="3">
        <v>233.56</v>
      </c>
      <c r="W3162" s="3">
        <v>99.26</v>
      </c>
      <c r="X3162" s="3">
        <v>94.01</v>
      </c>
      <c r="Y3162" s="3">
        <v>40.29</v>
      </c>
    </row>
    <row r="3163" spans="1:25" ht="60.75" x14ac:dyDescent="0.25">
      <c r="A3163" s="3" t="s">
        <v>26</v>
      </c>
      <c r="B3163" s="3" t="s">
        <v>27</v>
      </c>
      <c r="C3163" s="3" t="s">
        <v>28</v>
      </c>
      <c r="D3163" s="3" t="s">
        <v>40</v>
      </c>
      <c r="E3163" s="3" t="s">
        <v>287</v>
      </c>
      <c r="F3163" s="3" t="s">
        <v>42</v>
      </c>
      <c r="G3163" s="3" t="s">
        <v>287</v>
      </c>
      <c r="H3163" s="3" t="s">
        <v>32</v>
      </c>
      <c r="I3163" s="3">
        <v>2025</v>
      </c>
      <c r="J3163" s="3" t="str">
        <f>CONCATENATE("54820016803")</f>
        <v>54820016803</v>
      </c>
      <c r="K3163" s="3" t="s">
        <v>33</v>
      </c>
      <c r="L3163" s="3"/>
      <c r="M3163" s="3" t="s">
        <v>131</v>
      </c>
      <c r="N3163" s="3" t="str">
        <f>CONCATENATE("PTRRLL50C71B474J")</f>
        <v>PTRRLL50C71B474J</v>
      </c>
      <c r="O3163" s="3" t="s">
        <v>3285</v>
      </c>
      <c r="P3163" s="3" t="s">
        <v>36</v>
      </c>
      <c r="Q3163" s="3"/>
      <c r="R3163" s="4">
        <v>45996</v>
      </c>
      <c r="S3163" s="3" t="s">
        <v>37</v>
      </c>
      <c r="T3163" s="3" t="s">
        <v>38</v>
      </c>
      <c r="U3163" s="3" t="s">
        <v>39</v>
      </c>
      <c r="V3163" s="3">
        <v>290.94</v>
      </c>
      <c r="W3163" s="3">
        <v>123.65</v>
      </c>
      <c r="X3163" s="3">
        <v>117.1</v>
      </c>
      <c r="Y3163" s="3">
        <v>50.19</v>
      </c>
    </row>
    <row r="3164" spans="1:25" ht="60.75" x14ac:dyDescent="0.25">
      <c r="A3164" s="3" t="s">
        <v>26</v>
      </c>
      <c r="B3164" s="3" t="s">
        <v>27</v>
      </c>
      <c r="C3164" s="3" t="s">
        <v>28</v>
      </c>
      <c r="D3164" s="3" t="s">
        <v>29</v>
      </c>
      <c r="E3164" s="3" t="s">
        <v>228</v>
      </c>
      <c r="F3164" s="3" t="s">
        <v>31</v>
      </c>
      <c r="G3164" s="3" t="s">
        <v>228</v>
      </c>
      <c r="H3164" s="3" t="s">
        <v>45</v>
      </c>
      <c r="I3164" s="3">
        <v>2025</v>
      </c>
      <c r="J3164" s="3" t="str">
        <f>CONCATENATE("54820041918")</f>
        <v>54820041918</v>
      </c>
      <c r="K3164" s="3" t="s">
        <v>33</v>
      </c>
      <c r="L3164" s="3"/>
      <c r="M3164" s="3" t="s">
        <v>131</v>
      </c>
      <c r="N3164" s="3" t="str">
        <f>CONCATENATE("PGLFRC84H69D488E")</f>
        <v>PGLFRC84H69D488E</v>
      </c>
      <c r="O3164" s="3" t="s">
        <v>3286</v>
      </c>
      <c r="P3164" s="3" t="s">
        <v>36</v>
      </c>
      <c r="Q3164" s="3"/>
      <c r="R3164" s="4">
        <v>45996</v>
      </c>
      <c r="S3164" s="3" t="s">
        <v>37</v>
      </c>
      <c r="T3164" s="3" t="s">
        <v>38</v>
      </c>
      <c r="U3164" s="3" t="s">
        <v>39</v>
      </c>
      <c r="V3164" s="3">
        <v>59.64</v>
      </c>
      <c r="W3164" s="3">
        <v>25.35</v>
      </c>
      <c r="X3164" s="3">
        <v>24.01</v>
      </c>
      <c r="Y3164" s="3">
        <v>10.28</v>
      </c>
    </row>
    <row r="3165" spans="1:25" ht="36.75" x14ac:dyDescent="0.25">
      <c r="A3165" s="3" t="s">
        <v>26</v>
      </c>
      <c r="B3165" s="3" t="s">
        <v>27</v>
      </c>
      <c r="C3165" s="3" t="s">
        <v>28</v>
      </c>
      <c r="D3165" s="3" t="s">
        <v>40</v>
      </c>
      <c r="E3165" s="3" t="s">
        <v>44</v>
      </c>
      <c r="F3165" s="3" t="s">
        <v>42</v>
      </c>
      <c r="G3165" s="3" t="s">
        <v>44</v>
      </c>
      <c r="H3165" s="3" t="s">
        <v>32</v>
      </c>
      <c r="I3165" s="3">
        <v>2025</v>
      </c>
      <c r="J3165" s="3" t="str">
        <f>CONCATENATE("54820015888")</f>
        <v>54820015888</v>
      </c>
      <c r="K3165" s="3" t="s">
        <v>33</v>
      </c>
      <c r="L3165" s="3"/>
      <c r="M3165" s="3" t="s">
        <v>131</v>
      </c>
      <c r="N3165" s="3" t="str">
        <f>CONCATENATE("01913730436")</f>
        <v>01913730436</v>
      </c>
      <c r="O3165" s="3" t="s">
        <v>3287</v>
      </c>
      <c r="P3165" s="3" t="s">
        <v>36</v>
      </c>
      <c r="Q3165" s="3"/>
      <c r="R3165" s="4">
        <v>45996</v>
      </c>
      <c r="S3165" s="3" t="s">
        <v>37</v>
      </c>
      <c r="T3165" s="3" t="s">
        <v>38</v>
      </c>
      <c r="U3165" s="3" t="s">
        <v>39</v>
      </c>
      <c r="V3165" s="3">
        <v>91.13</v>
      </c>
      <c r="W3165" s="3">
        <v>38.729999999999997</v>
      </c>
      <c r="X3165" s="3">
        <v>36.68</v>
      </c>
      <c r="Y3165" s="3">
        <v>15.72</v>
      </c>
    </row>
    <row r="3166" spans="1:25" ht="60.75" x14ac:dyDescent="0.25">
      <c r="A3166" s="3" t="s">
        <v>26</v>
      </c>
      <c r="B3166" s="3" t="s">
        <v>27</v>
      </c>
      <c r="C3166" s="3" t="s">
        <v>28</v>
      </c>
      <c r="D3166" s="3" t="s">
        <v>29</v>
      </c>
      <c r="E3166" s="3" t="s">
        <v>80</v>
      </c>
      <c r="F3166" s="3" t="s">
        <v>31</v>
      </c>
      <c r="G3166" s="3" t="s">
        <v>80</v>
      </c>
      <c r="H3166" s="3" t="s">
        <v>45</v>
      </c>
      <c r="I3166" s="3">
        <v>2025</v>
      </c>
      <c r="J3166" s="3" t="str">
        <f>CONCATENATE("54820061973")</f>
        <v>54820061973</v>
      </c>
      <c r="K3166" s="3" t="s">
        <v>33</v>
      </c>
      <c r="L3166" s="3"/>
      <c r="M3166" s="3" t="s">
        <v>131</v>
      </c>
      <c r="N3166" s="3" t="str">
        <f>CONCATENATE("LTTLCU57R57G453U")</f>
        <v>LTTLCU57R57G453U</v>
      </c>
      <c r="O3166" s="3" t="s">
        <v>3288</v>
      </c>
      <c r="P3166" s="3" t="s">
        <v>36</v>
      </c>
      <c r="Q3166" s="3"/>
      <c r="R3166" s="4">
        <v>45996</v>
      </c>
      <c r="S3166" s="3" t="s">
        <v>37</v>
      </c>
      <c r="T3166" s="3" t="s">
        <v>38</v>
      </c>
      <c r="U3166" s="3" t="s">
        <v>39</v>
      </c>
      <c r="V3166" s="3">
        <v>52.33</v>
      </c>
      <c r="W3166" s="3">
        <v>22.24</v>
      </c>
      <c r="X3166" s="3">
        <v>21.06</v>
      </c>
      <c r="Y3166" s="3">
        <v>9.0299999999999994</v>
      </c>
    </row>
    <row r="3167" spans="1:25" ht="60.75" x14ac:dyDescent="0.25">
      <c r="A3167" s="3" t="s">
        <v>26</v>
      </c>
      <c r="B3167" s="3" t="s">
        <v>27</v>
      </c>
      <c r="C3167" s="3" t="s">
        <v>28</v>
      </c>
      <c r="D3167" s="3" t="s">
        <v>50</v>
      </c>
      <c r="E3167" s="3" t="s">
        <v>51</v>
      </c>
      <c r="F3167" s="3" t="s">
        <v>52</v>
      </c>
      <c r="G3167" s="3" t="s">
        <v>51</v>
      </c>
      <c r="H3167" s="3" t="s">
        <v>48</v>
      </c>
      <c r="I3167" s="3">
        <v>2025</v>
      </c>
      <c r="J3167" s="3" t="str">
        <f>CONCATENATE("54820052485")</f>
        <v>54820052485</v>
      </c>
      <c r="K3167" s="3" t="s">
        <v>33</v>
      </c>
      <c r="L3167" s="3"/>
      <c r="M3167" s="3" t="s">
        <v>131</v>
      </c>
      <c r="N3167" s="3" t="str">
        <f>CONCATENATE("BDYMLN71E42Z100O")</f>
        <v>BDYMLN71E42Z100O</v>
      </c>
      <c r="O3167" s="3" t="s">
        <v>3289</v>
      </c>
      <c r="P3167" s="3" t="s">
        <v>36</v>
      </c>
      <c r="Q3167" s="3"/>
      <c r="R3167" s="4">
        <v>45996</v>
      </c>
      <c r="S3167" s="3" t="s">
        <v>37</v>
      </c>
      <c r="T3167" s="3" t="s">
        <v>38</v>
      </c>
      <c r="U3167" s="3" t="s">
        <v>39</v>
      </c>
      <c r="V3167" s="3">
        <v>296.22000000000003</v>
      </c>
      <c r="W3167" s="3">
        <v>125.89</v>
      </c>
      <c r="X3167" s="3">
        <v>119.23</v>
      </c>
      <c r="Y3167" s="3">
        <v>51.1</v>
      </c>
    </row>
    <row r="3168" spans="1:25" ht="72.75" x14ac:dyDescent="0.25">
      <c r="A3168" s="3" t="s">
        <v>26</v>
      </c>
      <c r="B3168" s="3" t="s">
        <v>27</v>
      </c>
      <c r="C3168" s="3" t="s">
        <v>28</v>
      </c>
      <c r="D3168" s="3" t="s">
        <v>40</v>
      </c>
      <c r="E3168" s="3" t="s">
        <v>41</v>
      </c>
      <c r="F3168" s="3" t="s">
        <v>42</v>
      </c>
      <c r="G3168" s="3" t="s">
        <v>41</v>
      </c>
      <c r="H3168" s="3" t="s">
        <v>32</v>
      </c>
      <c r="I3168" s="3">
        <v>2025</v>
      </c>
      <c r="J3168" s="3" t="str">
        <f>CONCATENATE("54820060322")</f>
        <v>54820060322</v>
      </c>
      <c r="K3168" s="3" t="s">
        <v>33</v>
      </c>
      <c r="L3168" s="3"/>
      <c r="M3168" s="3" t="s">
        <v>131</v>
      </c>
      <c r="N3168" s="3" t="str">
        <f>CONCATENATE("MCNCSR55B25B474A")</f>
        <v>MCNCSR55B25B474A</v>
      </c>
      <c r="O3168" s="3" t="s">
        <v>3290</v>
      </c>
      <c r="P3168" s="3" t="s">
        <v>36</v>
      </c>
      <c r="Q3168" s="3"/>
      <c r="R3168" s="4">
        <v>45996</v>
      </c>
      <c r="S3168" s="3" t="s">
        <v>37</v>
      </c>
      <c r="T3168" s="3" t="s">
        <v>38</v>
      </c>
      <c r="U3168" s="3" t="s">
        <v>39</v>
      </c>
      <c r="V3168" s="3">
        <v>251.86</v>
      </c>
      <c r="W3168" s="3">
        <v>107.04</v>
      </c>
      <c r="X3168" s="3">
        <v>101.37</v>
      </c>
      <c r="Y3168" s="3">
        <v>43.45</v>
      </c>
    </row>
    <row r="3169" spans="1:25" ht="60.75" x14ac:dyDescent="0.25">
      <c r="A3169" s="3" t="s">
        <v>26</v>
      </c>
      <c r="B3169" s="3" t="s">
        <v>27</v>
      </c>
      <c r="C3169" s="3" t="s">
        <v>28</v>
      </c>
      <c r="D3169" s="3" t="s">
        <v>29</v>
      </c>
      <c r="E3169" s="3" t="s">
        <v>119</v>
      </c>
      <c r="F3169" s="3" t="s">
        <v>31</v>
      </c>
      <c r="G3169" s="3" t="s">
        <v>119</v>
      </c>
      <c r="H3169" s="3" t="s">
        <v>96</v>
      </c>
      <c r="I3169" s="3">
        <v>2025</v>
      </c>
      <c r="J3169" s="3" t="str">
        <f>CONCATENATE("54820048780")</f>
        <v>54820048780</v>
      </c>
      <c r="K3169" s="3" t="s">
        <v>33</v>
      </c>
      <c r="L3169" s="3"/>
      <c r="M3169" s="3" t="s">
        <v>131</v>
      </c>
      <c r="N3169" s="3" t="str">
        <f>CONCATENATE("CRBTZN63B26G137I")</f>
        <v>CRBTZN63B26G137I</v>
      </c>
      <c r="O3169" s="3" t="s">
        <v>3291</v>
      </c>
      <c r="P3169" s="3" t="s">
        <v>36</v>
      </c>
      <c r="Q3169" s="3"/>
      <c r="R3169" s="4">
        <v>45996</v>
      </c>
      <c r="S3169" s="3" t="s">
        <v>37</v>
      </c>
      <c r="T3169" s="3" t="s">
        <v>38</v>
      </c>
      <c r="U3169" s="3" t="s">
        <v>39</v>
      </c>
      <c r="V3169" s="3">
        <v>140.66</v>
      </c>
      <c r="W3169" s="3">
        <v>59.78</v>
      </c>
      <c r="X3169" s="3">
        <v>56.62</v>
      </c>
      <c r="Y3169" s="3">
        <v>24.26</v>
      </c>
    </row>
    <row r="3170" spans="1:25" ht="60.75" x14ac:dyDescent="0.25">
      <c r="A3170" s="3" t="s">
        <v>26</v>
      </c>
      <c r="B3170" s="3" t="s">
        <v>27</v>
      </c>
      <c r="C3170" s="3" t="s">
        <v>28</v>
      </c>
      <c r="D3170" s="3" t="s">
        <v>29</v>
      </c>
      <c r="E3170" s="3" t="s">
        <v>72</v>
      </c>
      <c r="F3170" s="3" t="s">
        <v>31</v>
      </c>
      <c r="G3170" s="3" t="s">
        <v>72</v>
      </c>
      <c r="H3170" s="3" t="s">
        <v>45</v>
      </c>
      <c r="I3170" s="3">
        <v>2025</v>
      </c>
      <c r="J3170" s="3" t="str">
        <f>CONCATENATE("54820030432")</f>
        <v>54820030432</v>
      </c>
      <c r="K3170" s="3" t="s">
        <v>33</v>
      </c>
      <c r="L3170" s="3"/>
      <c r="M3170" s="3" t="s">
        <v>131</v>
      </c>
      <c r="N3170" s="3" t="str">
        <f>CONCATENATE("BCCGPR63R24A327S")</f>
        <v>BCCGPR63R24A327S</v>
      </c>
      <c r="O3170" s="3" t="s">
        <v>3292</v>
      </c>
      <c r="P3170" s="3" t="s">
        <v>36</v>
      </c>
      <c r="Q3170" s="3"/>
      <c r="R3170" s="4">
        <v>45996</v>
      </c>
      <c r="S3170" s="3" t="s">
        <v>37</v>
      </c>
      <c r="T3170" s="3" t="s">
        <v>38</v>
      </c>
      <c r="U3170" s="3" t="s">
        <v>39</v>
      </c>
      <c r="V3170" s="3">
        <v>276.19</v>
      </c>
      <c r="W3170" s="3">
        <v>117.38</v>
      </c>
      <c r="X3170" s="3">
        <v>111.17</v>
      </c>
      <c r="Y3170" s="3">
        <v>47.64</v>
      </c>
    </row>
    <row r="3171" spans="1:25" ht="60.75" x14ac:dyDescent="0.25">
      <c r="A3171" s="3" t="s">
        <v>26</v>
      </c>
      <c r="B3171" s="3" t="s">
        <v>27</v>
      </c>
      <c r="C3171" s="3" t="s">
        <v>28</v>
      </c>
      <c r="D3171" s="3" t="s">
        <v>29</v>
      </c>
      <c r="E3171" s="3" t="s">
        <v>72</v>
      </c>
      <c r="F3171" s="3" t="s">
        <v>31</v>
      </c>
      <c r="G3171" s="3" t="s">
        <v>72</v>
      </c>
      <c r="H3171" s="3" t="s">
        <v>45</v>
      </c>
      <c r="I3171" s="3">
        <v>2025</v>
      </c>
      <c r="J3171" s="3" t="str">
        <f>CONCATENATE("54820030630")</f>
        <v>54820030630</v>
      </c>
      <c r="K3171" s="3" t="s">
        <v>33</v>
      </c>
      <c r="L3171" s="3"/>
      <c r="M3171" s="3" t="s">
        <v>131</v>
      </c>
      <c r="N3171" s="3" t="str">
        <f>CONCATENATE("GCMVND39T67B352U")</f>
        <v>GCMVND39T67B352U</v>
      </c>
      <c r="O3171" s="3" t="s">
        <v>3293</v>
      </c>
      <c r="P3171" s="3" t="s">
        <v>36</v>
      </c>
      <c r="Q3171" s="3"/>
      <c r="R3171" s="4">
        <v>45996</v>
      </c>
      <c r="S3171" s="3" t="s">
        <v>37</v>
      </c>
      <c r="T3171" s="3" t="s">
        <v>38</v>
      </c>
      <c r="U3171" s="3" t="s">
        <v>39</v>
      </c>
      <c r="V3171" s="3">
        <v>67.33</v>
      </c>
      <c r="W3171" s="3">
        <v>28.62</v>
      </c>
      <c r="X3171" s="3">
        <v>27.1</v>
      </c>
      <c r="Y3171" s="3">
        <v>11.61</v>
      </c>
    </row>
    <row r="3172" spans="1:25" ht="60.75" x14ac:dyDescent="0.25">
      <c r="A3172" s="3" t="s">
        <v>26</v>
      </c>
      <c r="B3172" s="3" t="s">
        <v>27</v>
      </c>
      <c r="C3172" s="3" t="s">
        <v>28</v>
      </c>
      <c r="D3172" s="3" t="s">
        <v>29</v>
      </c>
      <c r="E3172" s="3" t="s">
        <v>101</v>
      </c>
      <c r="F3172" s="3" t="s">
        <v>31</v>
      </c>
      <c r="G3172" s="3" t="s">
        <v>101</v>
      </c>
      <c r="H3172" s="3" t="s">
        <v>32</v>
      </c>
      <c r="I3172" s="3">
        <v>2025</v>
      </c>
      <c r="J3172" s="3" t="str">
        <f>CONCATENATE("54820011267")</f>
        <v>54820011267</v>
      </c>
      <c r="K3172" s="3" t="s">
        <v>33</v>
      </c>
      <c r="L3172" s="3"/>
      <c r="M3172" s="3" t="s">
        <v>131</v>
      </c>
      <c r="N3172" s="3" t="str">
        <f>CONCATENATE("RSLFNC36A03B398K")</f>
        <v>RSLFNC36A03B398K</v>
      </c>
      <c r="O3172" s="3" t="s">
        <v>3294</v>
      </c>
      <c r="P3172" s="3" t="s">
        <v>36</v>
      </c>
      <c r="Q3172" s="3"/>
      <c r="R3172" s="4">
        <v>45996</v>
      </c>
      <c r="S3172" s="3" t="s">
        <v>37</v>
      </c>
      <c r="T3172" s="3" t="s">
        <v>38</v>
      </c>
      <c r="U3172" s="3" t="s">
        <v>39</v>
      </c>
      <c r="V3172" s="3">
        <v>78.12</v>
      </c>
      <c r="W3172" s="3">
        <v>33.200000000000003</v>
      </c>
      <c r="X3172" s="3">
        <v>31.44</v>
      </c>
      <c r="Y3172" s="3">
        <v>13.48</v>
      </c>
    </row>
    <row r="3173" spans="1:25" ht="72.75" x14ac:dyDescent="0.25">
      <c r="A3173" s="3" t="s">
        <v>26</v>
      </c>
      <c r="B3173" s="3" t="s">
        <v>27</v>
      </c>
      <c r="C3173" s="3" t="s">
        <v>28</v>
      </c>
      <c r="D3173" s="3" t="s">
        <v>50</v>
      </c>
      <c r="E3173" s="3" t="s">
        <v>225</v>
      </c>
      <c r="F3173" s="3" t="s">
        <v>52</v>
      </c>
      <c r="G3173" s="3" t="s">
        <v>225</v>
      </c>
      <c r="H3173" s="3" t="s">
        <v>96</v>
      </c>
      <c r="I3173" s="3">
        <v>2025</v>
      </c>
      <c r="J3173" s="3" t="str">
        <f>CONCATENATE("54820052469")</f>
        <v>54820052469</v>
      </c>
      <c r="K3173" s="3" t="s">
        <v>33</v>
      </c>
      <c r="L3173" s="3"/>
      <c r="M3173" s="3" t="s">
        <v>131</v>
      </c>
      <c r="N3173" s="3" t="str">
        <f>CONCATENATE("GLLMNN58M65F487Q")</f>
        <v>GLLMNN58M65F487Q</v>
      </c>
      <c r="O3173" s="3" t="s">
        <v>3295</v>
      </c>
      <c r="P3173" s="3" t="s">
        <v>36</v>
      </c>
      <c r="Q3173" s="3"/>
      <c r="R3173" s="4">
        <v>45996</v>
      </c>
      <c r="S3173" s="3" t="s">
        <v>37</v>
      </c>
      <c r="T3173" s="3" t="s">
        <v>38</v>
      </c>
      <c r="U3173" s="3" t="s">
        <v>39</v>
      </c>
      <c r="V3173" s="3">
        <v>93.12</v>
      </c>
      <c r="W3173" s="3">
        <v>39.58</v>
      </c>
      <c r="X3173" s="3">
        <v>37.479999999999997</v>
      </c>
      <c r="Y3173" s="3">
        <v>16.059999999999999</v>
      </c>
    </row>
    <row r="3174" spans="1:25" ht="60.75" x14ac:dyDescent="0.25">
      <c r="A3174" s="3" t="s">
        <v>26</v>
      </c>
      <c r="B3174" s="3" t="s">
        <v>27</v>
      </c>
      <c r="C3174" s="3" t="s">
        <v>28</v>
      </c>
      <c r="D3174" s="3" t="s">
        <v>104</v>
      </c>
      <c r="E3174" s="3" t="s">
        <v>691</v>
      </c>
      <c r="F3174" s="3" t="s">
        <v>104</v>
      </c>
      <c r="G3174" s="3" t="s">
        <v>691</v>
      </c>
      <c r="H3174" s="3" t="s">
        <v>48</v>
      </c>
      <c r="I3174" s="3">
        <v>2025</v>
      </c>
      <c r="J3174" s="3" t="str">
        <f>CONCATENATE("54820038674")</f>
        <v>54820038674</v>
      </c>
      <c r="K3174" s="3" t="s">
        <v>33</v>
      </c>
      <c r="L3174" s="3"/>
      <c r="M3174" s="3" t="s">
        <v>131</v>
      </c>
      <c r="N3174" s="3" t="str">
        <f>CONCATENATE("RTLLCN59S29A329R")</f>
        <v>RTLLCN59S29A329R</v>
      </c>
      <c r="O3174" s="3" t="s">
        <v>3296</v>
      </c>
      <c r="P3174" s="3" t="s">
        <v>36</v>
      </c>
      <c r="Q3174" s="3"/>
      <c r="R3174" s="4">
        <v>45996</v>
      </c>
      <c r="S3174" s="3" t="s">
        <v>37</v>
      </c>
      <c r="T3174" s="3" t="s">
        <v>38</v>
      </c>
      <c r="U3174" s="3" t="s">
        <v>39</v>
      </c>
      <c r="V3174" s="3">
        <v>75.52</v>
      </c>
      <c r="W3174" s="3">
        <v>32.1</v>
      </c>
      <c r="X3174" s="3">
        <v>30.4</v>
      </c>
      <c r="Y3174" s="3">
        <v>13.02</v>
      </c>
    </row>
    <row r="3175" spans="1:25" ht="60.75" x14ac:dyDescent="0.25">
      <c r="A3175" s="3" t="s">
        <v>26</v>
      </c>
      <c r="B3175" s="3" t="s">
        <v>27</v>
      </c>
      <c r="C3175" s="3" t="s">
        <v>28</v>
      </c>
      <c r="D3175" s="3" t="s">
        <v>50</v>
      </c>
      <c r="E3175" s="3" t="s">
        <v>173</v>
      </c>
      <c r="F3175" s="3" t="s">
        <v>52</v>
      </c>
      <c r="G3175" s="3" t="s">
        <v>173</v>
      </c>
      <c r="H3175" s="3" t="s">
        <v>45</v>
      </c>
      <c r="I3175" s="3">
        <v>2025</v>
      </c>
      <c r="J3175" s="3" t="str">
        <f>CONCATENATE("54820051099")</f>
        <v>54820051099</v>
      </c>
      <c r="K3175" s="3" t="s">
        <v>33</v>
      </c>
      <c r="L3175" s="3"/>
      <c r="M3175" s="3" t="s">
        <v>131</v>
      </c>
      <c r="N3175" s="3" t="str">
        <f>CONCATENATE("FRNPTR50D27E785V")</f>
        <v>FRNPTR50D27E785V</v>
      </c>
      <c r="O3175" s="3" t="s">
        <v>3297</v>
      </c>
      <c r="P3175" s="3" t="s">
        <v>36</v>
      </c>
      <c r="Q3175" s="3"/>
      <c r="R3175" s="4">
        <v>45996</v>
      </c>
      <c r="S3175" s="3" t="s">
        <v>37</v>
      </c>
      <c r="T3175" s="3" t="s">
        <v>38</v>
      </c>
      <c r="U3175" s="3" t="s">
        <v>39</v>
      </c>
      <c r="V3175" s="3">
        <v>271.68</v>
      </c>
      <c r="W3175" s="3">
        <v>115.46</v>
      </c>
      <c r="X3175" s="3">
        <v>109.35</v>
      </c>
      <c r="Y3175" s="3">
        <v>46.87</v>
      </c>
    </row>
    <row r="3176" spans="1:25" ht="60.75" x14ac:dyDescent="0.25">
      <c r="A3176" s="3" t="s">
        <v>26</v>
      </c>
      <c r="B3176" s="3" t="s">
        <v>27</v>
      </c>
      <c r="C3176" s="3" t="s">
        <v>28</v>
      </c>
      <c r="D3176" s="3" t="s">
        <v>683</v>
      </c>
      <c r="E3176" s="3" t="s">
        <v>684</v>
      </c>
      <c r="F3176" s="3" t="s">
        <v>685</v>
      </c>
      <c r="G3176" s="3" t="s">
        <v>684</v>
      </c>
      <c r="H3176" s="3" t="s">
        <v>45</v>
      </c>
      <c r="I3176" s="3">
        <v>2025</v>
      </c>
      <c r="J3176" s="3" t="str">
        <f>CONCATENATE("54820116025")</f>
        <v>54820116025</v>
      </c>
      <c r="K3176" s="3" t="s">
        <v>33</v>
      </c>
      <c r="L3176" s="3"/>
      <c r="M3176" s="3" t="s">
        <v>131</v>
      </c>
      <c r="N3176" s="3" t="str">
        <f>CONCATENATE("FRRLCU79T08I459U")</f>
        <v>FRRLCU79T08I459U</v>
      </c>
      <c r="O3176" s="3" t="s">
        <v>3298</v>
      </c>
      <c r="P3176" s="3" t="s">
        <v>36</v>
      </c>
      <c r="Q3176" s="3"/>
      <c r="R3176" s="4">
        <v>45996</v>
      </c>
      <c r="S3176" s="3" t="s">
        <v>37</v>
      </c>
      <c r="T3176" s="3" t="s">
        <v>38</v>
      </c>
      <c r="U3176" s="3" t="s">
        <v>39</v>
      </c>
      <c r="V3176" s="3">
        <v>274.22000000000003</v>
      </c>
      <c r="W3176" s="3">
        <v>116.54</v>
      </c>
      <c r="X3176" s="3">
        <v>110.37</v>
      </c>
      <c r="Y3176" s="3">
        <v>47.31</v>
      </c>
    </row>
    <row r="3177" spans="1:25" ht="60.75" x14ac:dyDescent="0.25">
      <c r="A3177" s="3" t="s">
        <v>26</v>
      </c>
      <c r="B3177" s="3" t="s">
        <v>27</v>
      </c>
      <c r="C3177" s="3" t="s">
        <v>28</v>
      </c>
      <c r="D3177" s="3" t="s">
        <v>50</v>
      </c>
      <c r="E3177" s="3" t="s">
        <v>173</v>
      </c>
      <c r="F3177" s="3" t="s">
        <v>52</v>
      </c>
      <c r="G3177" s="3" t="s">
        <v>173</v>
      </c>
      <c r="H3177" s="3" t="s">
        <v>45</v>
      </c>
      <c r="I3177" s="3">
        <v>2025</v>
      </c>
      <c r="J3177" s="3" t="str">
        <f>CONCATENATE("54820032560")</f>
        <v>54820032560</v>
      </c>
      <c r="K3177" s="3" t="s">
        <v>33</v>
      </c>
      <c r="L3177" s="3"/>
      <c r="M3177" s="3" t="s">
        <v>131</v>
      </c>
      <c r="N3177" s="3" t="str">
        <f>CONCATENATE("SCHBRN60C14F467Q")</f>
        <v>SCHBRN60C14F467Q</v>
      </c>
      <c r="O3177" s="3" t="s">
        <v>3299</v>
      </c>
      <c r="P3177" s="3" t="s">
        <v>36</v>
      </c>
      <c r="Q3177" s="3"/>
      <c r="R3177" s="4">
        <v>45996</v>
      </c>
      <c r="S3177" s="3" t="s">
        <v>37</v>
      </c>
      <c r="T3177" s="3" t="s">
        <v>38</v>
      </c>
      <c r="U3177" s="3" t="s">
        <v>39</v>
      </c>
      <c r="V3177" s="3">
        <v>161.69</v>
      </c>
      <c r="W3177" s="3">
        <v>68.72</v>
      </c>
      <c r="X3177" s="3">
        <v>65.08</v>
      </c>
      <c r="Y3177" s="3">
        <v>27.89</v>
      </c>
    </row>
    <row r="3178" spans="1:25" ht="72.75" x14ac:dyDescent="0.25">
      <c r="A3178" s="3" t="s">
        <v>26</v>
      </c>
      <c r="B3178" s="3" t="s">
        <v>27</v>
      </c>
      <c r="C3178" s="3" t="s">
        <v>28</v>
      </c>
      <c r="D3178" s="3" t="s">
        <v>29</v>
      </c>
      <c r="E3178" s="3" t="s">
        <v>119</v>
      </c>
      <c r="F3178" s="3" t="s">
        <v>31</v>
      </c>
      <c r="G3178" s="3" t="s">
        <v>119</v>
      </c>
      <c r="H3178" s="3" t="s">
        <v>96</v>
      </c>
      <c r="I3178" s="3">
        <v>2025</v>
      </c>
      <c r="J3178" s="3" t="str">
        <f>CONCATENATE("54820018916")</f>
        <v>54820018916</v>
      </c>
      <c r="K3178" s="3" t="s">
        <v>33</v>
      </c>
      <c r="L3178" s="3"/>
      <c r="M3178" s="3" t="s">
        <v>131</v>
      </c>
      <c r="N3178" s="3" t="str">
        <f>CONCATENATE("BRTLCN46M20A252H")</f>
        <v>BRTLCN46M20A252H</v>
      </c>
      <c r="O3178" s="3" t="s">
        <v>3300</v>
      </c>
      <c r="P3178" s="3" t="s">
        <v>36</v>
      </c>
      <c r="Q3178" s="3"/>
      <c r="R3178" s="4">
        <v>45996</v>
      </c>
      <c r="S3178" s="3" t="s">
        <v>37</v>
      </c>
      <c r="T3178" s="3" t="s">
        <v>38</v>
      </c>
      <c r="U3178" s="3" t="s">
        <v>39</v>
      </c>
      <c r="V3178" s="3">
        <v>255.29</v>
      </c>
      <c r="W3178" s="3">
        <v>108.5</v>
      </c>
      <c r="X3178" s="3">
        <v>102.75</v>
      </c>
      <c r="Y3178" s="3">
        <v>44.04</v>
      </c>
    </row>
    <row r="3179" spans="1:25" ht="60.75" x14ac:dyDescent="0.25">
      <c r="A3179" s="3" t="s">
        <v>26</v>
      </c>
      <c r="B3179" s="3" t="s">
        <v>27</v>
      </c>
      <c r="C3179" s="3" t="s">
        <v>28</v>
      </c>
      <c r="D3179" s="3" t="s">
        <v>50</v>
      </c>
      <c r="E3179" s="3" t="s">
        <v>173</v>
      </c>
      <c r="F3179" s="3" t="s">
        <v>52</v>
      </c>
      <c r="G3179" s="3" t="s">
        <v>173</v>
      </c>
      <c r="H3179" s="3" t="s">
        <v>45</v>
      </c>
      <c r="I3179" s="3">
        <v>2025</v>
      </c>
      <c r="J3179" s="3" t="str">
        <f>CONCATENATE("54820061452")</f>
        <v>54820061452</v>
      </c>
      <c r="K3179" s="3" t="s">
        <v>33</v>
      </c>
      <c r="L3179" s="3"/>
      <c r="M3179" s="3" t="s">
        <v>131</v>
      </c>
      <c r="N3179" s="3" t="str">
        <f>CONCATENATE("VNNMRA62E25E743G")</f>
        <v>VNNMRA62E25E743G</v>
      </c>
      <c r="O3179" s="3" t="s">
        <v>3301</v>
      </c>
      <c r="P3179" s="3" t="s">
        <v>36</v>
      </c>
      <c r="Q3179" s="3"/>
      <c r="R3179" s="4">
        <v>45996</v>
      </c>
      <c r="S3179" s="3" t="s">
        <v>37</v>
      </c>
      <c r="T3179" s="3" t="s">
        <v>38</v>
      </c>
      <c r="U3179" s="3" t="s">
        <v>39</v>
      </c>
      <c r="V3179" s="3">
        <v>111.62</v>
      </c>
      <c r="W3179" s="3">
        <v>47.44</v>
      </c>
      <c r="X3179" s="3">
        <v>44.93</v>
      </c>
      <c r="Y3179" s="3">
        <v>19.25</v>
      </c>
    </row>
    <row r="3180" spans="1:25" ht="60.75" x14ac:dyDescent="0.25">
      <c r="A3180" s="3" t="s">
        <v>26</v>
      </c>
      <c r="B3180" s="3" t="s">
        <v>27</v>
      </c>
      <c r="C3180" s="3" t="s">
        <v>28</v>
      </c>
      <c r="D3180" s="3" t="s">
        <v>50</v>
      </c>
      <c r="E3180" s="3" t="s">
        <v>173</v>
      </c>
      <c r="F3180" s="3" t="s">
        <v>52</v>
      </c>
      <c r="G3180" s="3" t="s">
        <v>173</v>
      </c>
      <c r="H3180" s="3" t="s">
        <v>45</v>
      </c>
      <c r="I3180" s="3">
        <v>2025</v>
      </c>
      <c r="J3180" s="3" t="str">
        <f>CONCATENATE("54820032115")</f>
        <v>54820032115</v>
      </c>
      <c r="K3180" s="3" t="s">
        <v>33</v>
      </c>
      <c r="L3180" s="3"/>
      <c r="M3180" s="3" t="s">
        <v>131</v>
      </c>
      <c r="N3180" s="3" t="str">
        <f>CONCATENATE("DGLNLN58D43L078U")</f>
        <v>DGLNLN58D43L078U</v>
      </c>
      <c r="O3180" s="3" t="s">
        <v>3302</v>
      </c>
      <c r="P3180" s="3" t="s">
        <v>36</v>
      </c>
      <c r="Q3180" s="3"/>
      <c r="R3180" s="4">
        <v>45996</v>
      </c>
      <c r="S3180" s="3" t="s">
        <v>37</v>
      </c>
      <c r="T3180" s="3" t="s">
        <v>38</v>
      </c>
      <c r="U3180" s="3" t="s">
        <v>39</v>
      </c>
      <c r="V3180" s="3">
        <v>127.83</v>
      </c>
      <c r="W3180" s="3">
        <v>54.33</v>
      </c>
      <c r="X3180" s="3">
        <v>51.45</v>
      </c>
      <c r="Y3180" s="3">
        <v>22.05</v>
      </c>
    </row>
    <row r="3181" spans="1:25" ht="60.75" x14ac:dyDescent="0.25">
      <c r="A3181" s="3" t="s">
        <v>26</v>
      </c>
      <c r="B3181" s="3" t="s">
        <v>27</v>
      </c>
      <c r="C3181" s="3" t="s">
        <v>28</v>
      </c>
      <c r="D3181" s="3" t="s">
        <v>29</v>
      </c>
      <c r="E3181" s="3" t="s">
        <v>119</v>
      </c>
      <c r="F3181" s="3" t="s">
        <v>31</v>
      </c>
      <c r="G3181" s="3" t="s">
        <v>119</v>
      </c>
      <c r="H3181" s="3" t="s">
        <v>96</v>
      </c>
      <c r="I3181" s="3">
        <v>2025</v>
      </c>
      <c r="J3181" s="3" t="str">
        <f>CONCATENATE("54820010475")</f>
        <v>54820010475</v>
      </c>
      <c r="K3181" s="3" t="s">
        <v>33</v>
      </c>
      <c r="L3181" s="3"/>
      <c r="M3181" s="3" t="s">
        <v>131</v>
      </c>
      <c r="N3181" s="3" t="str">
        <f>CONCATENATE("LRNNTN50L02I774O")</f>
        <v>LRNNTN50L02I774O</v>
      </c>
      <c r="O3181" s="3" t="s">
        <v>3303</v>
      </c>
      <c r="P3181" s="3" t="s">
        <v>36</v>
      </c>
      <c r="Q3181" s="3"/>
      <c r="R3181" s="4">
        <v>45996</v>
      </c>
      <c r="S3181" s="3" t="s">
        <v>37</v>
      </c>
      <c r="T3181" s="3" t="s">
        <v>38</v>
      </c>
      <c r="U3181" s="3" t="s">
        <v>39</v>
      </c>
      <c r="V3181" s="3">
        <v>131.4</v>
      </c>
      <c r="W3181" s="3">
        <v>55.85</v>
      </c>
      <c r="X3181" s="3">
        <v>52.89</v>
      </c>
      <c r="Y3181" s="3">
        <v>22.66</v>
      </c>
    </row>
    <row r="3182" spans="1:25" ht="60.75" x14ac:dyDescent="0.25">
      <c r="A3182" s="3" t="s">
        <v>26</v>
      </c>
      <c r="B3182" s="3" t="s">
        <v>27</v>
      </c>
      <c r="C3182" s="3" t="s">
        <v>28</v>
      </c>
      <c r="D3182" s="3" t="s">
        <v>50</v>
      </c>
      <c r="E3182" s="3" t="s">
        <v>173</v>
      </c>
      <c r="F3182" s="3" t="s">
        <v>52</v>
      </c>
      <c r="G3182" s="3" t="s">
        <v>173</v>
      </c>
      <c r="H3182" s="3" t="s">
        <v>45</v>
      </c>
      <c r="I3182" s="3">
        <v>2025</v>
      </c>
      <c r="J3182" s="3" t="str">
        <f>CONCATENATE("54820035969")</f>
        <v>54820035969</v>
      </c>
      <c r="K3182" s="3" t="s">
        <v>33</v>
      </c>
      <c r="L3182" s="3"/>
      <c r="M3182" s="3" t="s">
        <v>131</v>
      </c>
      <c r="N3182" s="3" t="str">
        <f>CONCATENATE("BNCGRG43R10F524L")</f>
        <v>BNCGRG43R10F524L</v>
      </c>
      <c r="O3182" s="3" t="s">
        <v>3304</v>
      </c>
      <c r="P3182" s="3" t="s">
        <v>36</v>
      </c>
      <c r="Q3182" s="3"/>
      <c r="R3182" s="4">
        <v>45996</v>
      </c>
      <c r="S3182" s="3" t="s">
        <v>37</v>
      </c>
      <c r="T3182" s="3" t="s">
        <v>38</v>
      </c>
      <c r="U3182" s="3" t="s">
        <v>39</v>
      </c>
      <c r="V3182" s="3">
        <v>432.22</v>
      </c>
      <c r="W3182" s="3">
        <v>183.69</v>
      </c>
      <c r="X3182" s="3">
        <v>173.97</v>
      </c>
      <c r="Y3182" s="3">
        <v>74.56</v>
      </c>
    </row>
    <row r="3183" spans="1:25" ht="60.75" x14ac:dyDescent="0.25">
      <c r="A3183" s="3" t="s">
        <v>26</v>
      </c>
      <c r="B3183" s="3" t="s">
        <v>27</v>
      </c>
      <c r="C3183" s="3" t="s">
        <v>28</v>
      </c>
      <c r="D3183" s="3" t="s">
        <v>40</v>
      </c>
      <c r="E3183" s="3" t="s">
        <v>287</v>
      </c>
      <c r="F3183" s="3" t="s">
        <v>42</v>
      </c>
      <c r="G3183" s="3" t="s">
        <v>287</v>
      </c>
      <c r="H3183" s="3" t="s">
        <v>32</v>
      </c>
      <c r="I3183" s="3">
        <v>2025</v>
      </c>
      <c r="J3183" s="3" t="str">
        <f>CONCATENATE("54820015094")</f>
        <v>54820015094</v>
      </c>
      <c r="K3183" s="3" t="s">
        <v>33</v>
      </c>
      <c r="L3183" s="3"/>
      <c r="M3183" s="3" t="s">
        <v>131</v>
      </c>
      <c r="N3183" s="3" t="str">
        <f>CONCATENATE("BLDLBN51A68I661H")</f>
        <v>BLDLBN51A68I661H</v>
      </c>
      <c r="O3183" s="3" t="s">
        <v>3305</v>
      </c>
      <c r="P3183" s="3" t="s">
        <v>36</v>
      </c>
      <c r="Q3183" s="3"/>
      <c r="R3183" s="4">
        <v>45996</v>
      </c>
      <c r="S3183" s="3" t="s">
        <v>37</v>
      </c>
      <c r="T3183" s="3" t="s">
        <v>38</v>
      </c>
      <c r="U3183" s="3" t="s">
        <v>39</v>
      </c>
      <c r="V3183" s="3">
        <v>233.53</v>
      </c>
      <c r="W3183" s="3">
        <v>99.25</v>
      </c>
      <c r="X3183" s="3">
        <v>94</v>
      </c>
      <c r="Y3183" s="3">
        <v>40.28</v>
      </c>
    </row>
    <row r="3184" spans="1:25" ht="72.75" x14ac:dyDescent="0.25">
      <c r="A3184" s="3" t="s">
        <v>26</v>
      </c>
      <c r="B3184" s="3" t="s">
        <v>27</v>
      </c>
      <c r="C3184" s="3" t="s">
        <v>28</v>
      </c>
      <c r="D3184" s="3" t="s">
        <v>91</v>
      </c>
      <c r="E3184" s="3" t="s">
        <v>92</v>
      </c>
      <c r="F3184" s="3" t="s">
        <v>93</v>
      </c>
      <c r="G3184" s="3" t="s">
        <v>92</v>
      </c>
      <c r="H3184" s="3" t="s">
        <v>48</v>
      </c>
      <c r="I3184" s="3">
        <v>2025</v>
      </c>
      <c r="J3184" s="3" t="str">
        <f>CONCATENATE("54820007687")</f>
        <v>54820007687</v>
      </c>
      <c r="K3184" s="3" t="s">
        <v>33</v>
      </c>
      <c r="L3184" s="3"/>
      <c r="M3184" s="3" t="s">
        <v>131</v>
      </c>
      <c r="N3184" s="3" t="str">
        <f>CONCATENATE("MCCMML42M61D451O")</f>
        <v>MCCMML42M61D451O</v>
      </c>
      <c r="O3184" s="3" t="s">
        <v>3306</v>
      </c>
      <c r="P3184" s="3" t="s">
        <v>36</v>
      </c>
      <c r="Q3184" s="3"/>
      <c r="R3184" s="4">
        <v>45996</v>
      </c>
      <c r="S3184" s="3" t="s">
        <v>37</v>
      </c>
      <c r="T3184" s="3" t="s">
        <v>38</v>
      </c>
      <c r="U3184" s="3" t="s">
        <v>39</v>
      </c>
      <c r="V3184" s="3">
        <v>258.49</v>
      </c>
      <c r="W3184" s="3">
        <v>109.86</v>
      </c>
      <c r="X3184" s="3">
        <v>104.04</v>
      </c>
      <c r="Y3184" s="3">
        <v>44.59</v>
      </c>
    </row>
    <row r="3185" spans="1:25" ht="60.75" x14ac:dyDescent="0.25">
      <c r="A3185" s="3" t="s">
        <v>26</v>
      </c>
      <c r="B3185" s="3" t="s">
        <v>27</v>
      </c>
      <c r="C3185" s="3" t="s">
        <v>28</v>
      </c>
      <c r="D3185" s="3" t="s">
        <v>29</v>
      </c>
      <c r="E3185" s="3" t="s">
        <v>80</v>
      </c>
      <c r="F3185" s="3" t="s">
        <v>31</v>
      </c>
      <c r="G3185" s="3" t="s">
        <v>80</v>
      </c>
      <c r="H3185" s="3" t="s">
        <v>45</v>
      </c>
      <c r="I3185" s="3">
        <v>2025</v>
      </c>
      <c r="J3185" s="3" t="str">
        <f>CONCATENATE("54820051305")</f>
        <v>54820051305</v>
      </c>
      <c r="K3185" s="3" t="s">
        <v>33</v>
      </c>
      <c r="L3185" s="3"/>
      <c r="M3185" s="3" t="s">
        <v>131</v>
      </c>
      <c r="N3185" s="3" t="str">
        <f>CONCATENATE("CSTCLD49D20I654H")</f>
        <v>CSTCLD49D20I654H</v>
      </c>
      <c r="O3185" s="3" t="s">
        <v>3307</v>
      </c>
      <c r="P3185" s="3" t="s">
        <v>36</v>
      </c>
      <c r="Q3185" s="3"/>
      <c r="R3185" s="4">
        <v>45996</v>
      </c>
      <c r="S3185" s="3" t="s">
        <v>37</v>
      </c>
      <c r="T3185" s="3" t="s">
        <v>38</v>
      </c>
      <c r="U3185" s="3" t="s">
        <v>39</v>
      </c>
      <c r="V3185" s="3">
        <v>169.76</v>
      </c>
      <c r="W3185" s="3">
        <v>72.150000000000006</v>
      </c>
      <c r="X3185" s="3">
        <v>68.33</v>
      </c>
      <c r="Y3185" s="3">
        <v>29.28</v>
      </c>
    </row>
    <row r="3186" spans="1:25" ht="60.75" x14ac:dyDescent="0.25">
      <c r="A3186" s="3" t="s">
        <v>26</v>
      </c>
      <c r="B3186" s="3" t="s">
        <v>27</v>
      </c>
      <c r="C3186" s="3" t="s">
        <v>28</v>
      </c>
      <c r="D3186" s="3" t="s">
        <v>50</v>
      </c>
      <c r="E3186" s="3" t="s">
        <v>173</v>
      </c>
      <c r="F3186" s="3" t="s">
        <v>52</v>
      </c>
      <c r="G3186" s="3" t="s">
        <v>173</v>
      </c>
      <c r="H3186" s="3" t="s">
        <v>45</v>
      </c>
      <c r="I3186" s="3">
        <v>2025</v>
      </c>
      <c r="J3186" s="3" t="str">
        <f>CONCATENATE("54820028683")</f>
        <v>54820028683</v>
      </c>
      <c r="K3186" s="3" t="s">
        <v>33</v>
      </c>
      <c r="L3186" s="3"/>
      <c r="M3186" s="3" t="s">
        <v>131</v>
      </c>
      <c r="N3186" s="3" t="str">
        <f>CONCATENATE("NNNLBR67E07I459Q")</f>
        <v>NNNLBR67E07I459Q</v>
      </c>
      <c r="O3186" s="3" t="s">
        <v>3308</v>
      </c>
      <c r="P3186" s="3" t="s">
        <v>36</v>
      </c>
      <c r="Q3186" s="3"/>
      <c r="R3186" s="4">
        <v>45996</v>
      </c>
      <c r="S3186" s="3" t="s">
        <v>37</v>
      </c>
      <c r="T3186" s="3" t="s">
        <v>38</v>
      </c>
      <c r="U3186" s="3" t="s">
        <v>39</v>
      </c>
      <c r="V3186" s="3">
        <v>372.04</v>
      </c>
      <c r="W3186" s="3">
        <v>158.12</v>
      </c>
      <c r="X3186" s="3">
        <v>149.75</v>
      </c>
      <c r="Y3186" s="3">
        <v>64.17</v>
      </c>
    </row>
    <row r="3187" spans="1:25" ht="60.75" x14ac:dyDescent="0.25">
      <c r="A3187" s="3" t="s">
        <v>26</v>
      </c>
      <c r="B3187" s="3" t="s">
        <v>27</v>
      </c>
      <c r="C3187" s="3" t="s">
        <v>28</v>
      </c>
      <c r="D3187" s="3" t="s">
        <v>29</v>
      </c>
      <c r="E3187" s="3" t="s">
        <v>136</v>
      </c>
      <c r="F3187" s="3" t="s">
        <v>31</v>
      </c>
      <c r="G3187" s="3" t="s">
        <v>136</v>
      </c>
      <c r="H3187" s="3" t="s">
        <v>48</v>
      </c>
      <c r="I3187" s="3">
        <v>2025</v>
      </c>
      <c r="J3187" s="3" t="str">
        <f>CONCATENATE("54820040068")</f>
        <v>54820040068</v>
      </c>
      <c r="K3187" s="3" t="s">
        <v>33</v>
      </c>
      <c r="L3187" s="3"/>
      <c r="M3187" s="3" t="s">
        <v>131</v>
      </c>
      <c r="N3187" s="3" t="str">
        <f>CONCATENATE("GSTDNC58C20A366Z")</f>
        <v>GSTDNC58C20A366Z</v>
      </c>
      <c r="O3187" s="3" t="s">
        <v>3309</v>
      </c>
      <c r="P3187" s="3" t="s">
        <v>36</v>
      </c>
      <c r="Q3187" s="3"/>
      <c r="R3187" s="4">
        <v>45996</v>
      </c>
      <c r="S3187" s="3" t="s">
        <v>37</v>
      </c>
      <c r="T3187" s="3" t="s">
        <v>38</v>
      </c>
      <c r="U3187" s="3" t="s">
        <v>39</v>
      </c>
      <c r="V3187" s="3">
        <v>54.84</v>
      </c>
      <c r="W3187" s="3">
        <v>23.31</v>
      </c>
      <c r="X3187" s="3">
        <v>22.07</v>
      </c>
      <c r="Y3187" s="3">
        <v>9.4600000000000009</v>
      </c>
    </row>
    <row r="3188" spans="1:25" ht="60.75" x14ac:dyDescent="0.25">
      <c r="A3188" s="3" t="s">
        <v>26</v>
      </c>
      <c r="B3188" s="3" t="s">
        <v>27</v>
      </c>
      <c r="C3188" s="3" t="s">
        <v>28</v>
      </c>
      <c r="D3188" s="3" t="s">
        <v>29</v>
      </c>
      <c r="E3188" s="3" t="s">
        <v>186</v>
      </c>
      <c r="F3188" s="3" t="s">
        <v>31</v>
      </c>
      <c r="G3188" s="3" t="s">
        <v>186</v>
      </c>
      <c r="H3188" s="3" t="s">
        <v>45</v>
      </c>
      <c r="I3188" s="3">
        <v>2025</v>
      </c>
      <c r="J3188" s="3" t="str">
        <f>CONCATENATE("54820073705")</f>
        <v>54820073705</v>
      </c>
      <c r="K3188" s="3" t="s">
        <v>33</v>
      </c>
      <c r="L3188" s="3"/>
      <c r="M3188" s="3" t="s">
        <v>131</v>
      </c>
      <c r="N3188" s="3" t="str">
        <f>CONCATENATE("BLDFRC87A16I459P")</f>
        <v>BLDFRC87A16I459P</v>
      </c>
      <c r="O3188" s="3" t="s">
        <v>3310</v>
      </c>
      <c r="P3188" s="3" t="s">
        <v>36</v>
      </c>
      <c r="Q3188" s="3"/>
      <c r="R3188" s="4">
        <v>45996</v>
      </c>
      <c r="S3188" s="3" t="s">
        <v>37</v>
      </c>
      <c r="T3188" s="3" t="s">
        <v>38</v>
      </c>
      <c r="U3188" s="3" t="s">
        <v>39</v>
      </c>
      <c r="V3188" s="3">
        <v>162.31</v>
      </c>
      <c r="W3188" s="3">
        <v>68.98</v>
      </c>
      <c r="X3188" s="3">
        <v>65.33</v>
      </c>
      <c r="Y3188" s="3">
        <v>28</v>
      </c>
    </row>
    <row r="3189" spans="1:25" ht="60.75" x14ac:dyDescent="0.25">
      <c r="A3189" s="3" t="s">
        <v>26</v>
      </c>
      <c r="B3189" s="3" t="s">
        <v>27</v>
      </c>
      <c r="C3189" s="3" t="s">
        <v>28</v>
      </c>
      <c r="D3189" s="3" t="s">
        <v>104</v>
      </c>
      <c r="E3189" s="3" t="s">
        <v>691</v>
      </c>
      <c r="F3189" s="3" t="s">
        <v>104</v>
      </c>
      <c r="G3189" s="3" t="s">
        <v>691</v>
      </c>
      <c r="H3189" s="3" t="s">
        <v>48</v>
      </c>
      <c r="I3189" s="3">
        <v>2025</v>
      </c>
      <c r="J3189" s="3" t="str">
        <f>CONCATENATE("54820367479")</f>
        <v>54820367479</v>
      </c>
      <c r="K3189" s="3" t="s">
        <v>33</v>
      </c>
      <c r="L3189" s="3"/>
      <c r="M3189" s="3" t="s">
        <v>131</v>
      </c>
      <c r="N3189" s="3" t="str">
        <f>CONCATENATE("RSSPRM59R06I932Z")</f>
        <v>RSSPRM59R06I932Z</v>
      </c>
      <c r="O3189" s="3" t="s">
        <v>3311</v>
      </c>
      <c r="P3189" s="3" t="s">
        <v>36</v>
      </c>
      <c r="Q3189" s="3"/>
      <c r="R3189" s="4">
        <v>45996</v>
      </c>
      <c r="S3189" s="3" t="s">
        <v>37</v>
      </c>
      <c r="T3189" s="3" t="s">
        <v>38</v>
      </c>
      <c r="U3189" s="3" t="s">
        <v>39</v>
      </c>
      <c r="V3189" s="3">
        <v>208.41</v>
      </c>
      <c r="W3189" s="3">
        <v>88.57</v>
      </c>
      <c r="X3189" s="3">
        <v>83.89</v>
      </c>
      <c r="Y3189" s="3">
        <v>35.950000000000003</v>
      </c>
    </row>
    <row r="3190" spans="1:25" ht="60.75" x14ac:dyDescent="0.25">
      <c r="A3190" s="3" t="s">
        <v>26</v>
      </c>
      <c r="B3190" s="3" t="s">
        <v>27</v>
      </c>
      <c r="C3190" s="3" t="s">
        <v>28</v>
      </c>
      <c r="D3190" s="3" t="s">
        <v>104</v>
      </c>
      <c r="E3190" s="3" t="s">
        <v>691</v>
      </c>
      <c r="F3190" s="3" t="s">
        <v>104</v>
      </c>
      <c r="G3190" s="3" t="s">
        <v>691</v>
      </c>
      <c r="H3190" s="3" t="s">
        <v>48</v>
      </c>
      <c r="I3190" s="3">
        <v>2025</v>
      </c>
      <c r="J3190" s="3" t="str">
        <f>CONCATENATE("54820367537")</f>
        <v>54820367537</v>
      </c>
      <c r="K3190" s="3" t="s">
        <v>33</v>
      </c>
      <c r="L3190" s="3"/>
      <c r="M3190" s="3" t="s">
        <v>131</v>
      </c>
      <c r="N3190" s="3" t="str">
        <f>CONCATENATE("LCCGNI59S27I653D")</f>
        <v>LCCGNI59S27I653D</v>
      </c>
      <c r="O3190" s="3" t="s">
        <v>3312</v>
      </c>
      <c r="P3190" s="3" t="s">
        <v>36</v>
      </c>
      <c r="Q3190" s="3"/>
      <c r="R3190" s="4">
        <v>45996</v>
      </c>
      <c r="S3190" s="3" t="s">
        <v>37</v>
      </c>
      <c r="T3190" s="3" t="s">
        <v>38</v>
      </c>
      <c r="U3190" s="3" t="s">
        <v>39</v>
      </c>
      <c r="V3190" s="3">
        <v>107.9</v>
      </c>
      <c r="W3190" s="3">
        <v>45.86</v>
      </c>
      <c r="X3190" s="3">
        <v>43.43</v>
      </c>
      <c r="Y3190" s="3">
        <v>18.61</v>
      </c>
    </row>
    <row r="3191" spans="1:25" ht="60.75" x14ac:dyDescent="0.25">
      <c r="A3191" s="3" t="s">
        <v>26</v>
      </c>
      <c r="B3191" s="3" t="s">
        <v>27</v>
      </c>
      <c r="C3191" s="3" t="s">
        <v>28</v>
      </c>
      <c r="D3191" s="3" t="s">
        <v>29</v>
      </c>
      <c r="E3191" s="3" t="s">
        <v>119</v>
      </c>
      <c r="F3191" s="3" t="s">
        <v>31</v>
      </c>
      <c r="G3191" s="3" t="s">
        <v>119</v>
      </c>
      <c r="H3191" s="3" t="s">
        <v>96</v>
      </c>
      <c r="I3191" s="3">
        <v>2025</v>
      </c>
      <c r="J3191" s="3" t="str">
        <f>CONCATENATE("54820019203")</f>
        <v>54820019203</v>
      </c>
      <c r="K3191" s="3" t="s">
        <v>33</v>
      </c>
      <c r="L3191" s="3"/>
      <c r="M3191" s="3" t="s">
        <v>131</v>
      </c>
      <c r="N3191" s="3" t="str">
        <f>CONCATENATE("TFFMRA39C66F509D")</f>
        <v>TFFMRA39C66F509D</v>
      </c>
      <c r="O3191" s="3" t="s">
        <v>3313</v>
      </c>
      <c r="P3191" s="3" t="s">
        <v>36</v>
      </c>
      <c r="Q3191" s="3"/>
      <c r="R3191" s="4">
        <v>45996</v>
      </c>
      <c r="S3191" s="3" t="s">
        <v>37</v>
      </c>
      <c r="T3191" s="3" t="s">
        <v>38</v>
      </c>
      <c r="U3191" s="3" t="s">
        <v>39</v>
      </c>
      <c r="V3191" s="3">
        <v>87.49</v>
      </c>
      <c r="W3191" s="3">
        <v>37.18</v>
      </c>
      <c r="X3191" s="3">
        <v>35.21</v>
      </c>
      <c r="Y3191" s="3">
        <v>15.1</v>
      </c>
    </row>
    <row r="3192" spans="1:25" ht="36.75" x14ac:dyDescent="0.25">
      <c r="A3192" s="3" t="s">
        <v>26</v>
      </c>
      <c r="B3192" s="3" t="s">
        <v>27</v>
      </c>
      <c r="C3192" s="3" t="s">
        <v>28</v>
      </c>
      <c r="D3192" s="3" t="s">
        <v>40</v>
      </c>
      <c r="E3192" s="3" t="s">
        <v>287</v>
      </c>
      <c r="F3192" s="3" t="s">
        <v>42</v>
      </c>
      <c r="G3192" s="3" t="s">
        <v>287</v>
      </c>
      <c r="H3192" s="3" t="s">
        <v>32</v>
      </c>
      <c r="I3192" s="3">
        <v>2025</v>
      </c>
      <c r="J3192" s="3" t="str">
        <f>CONCATENATE("54820017637")</f>
        <v>54820017637</v>
      </c>
      <c r="K3192" s="3" t="s">
        <v>33</v>
      </c>
      <c r="L3192" s="3"/>
      <c r="M3192" s="3" t="s">
        <v>131</v>
      </c>
      <c r="N3192" s="3" t="str">
        <f>CONCATENATE("02850780426")</f>
        <v>02850780426</v>
      </c>
      <c r="O3192" s="3" t="s">
        <v>3314</v>
      </c>
      <c r="P3192" s="3" t="s">
        <v>36</v>
      </c>
      <c r="Q3192" s="3"/>
      <c r="R3192" s="4">
        <v>45996</v>
      </c>
      <c r="S3192" s="3" t="s">
        <v>37</v>
      </c>
      <c r="T3192" s="3" t="s">
        <v>38</v>
      </c>
      <c r="U3192" s="3" t="s">
        <v>39</v>
      </c>
      <c r="V3192" s="3">
        <v>421.11</v>
      </c>
      <c r="W3192" s="3">
        <v>178.97</v>
      </c>
      <c r="X3192" s="3">
        <v>169.5</v>
      </c>
      <c r="Y3192" s="3">
        <v>72.64</v>
      </c>
    </row>
    <row r="3193" spans="1:25" ht="60.75" x14ac:dyDescent="0.25">
      <c r="A3193" s="3" t="s">
        <v>26</v>
      </c>
      <c r="B3193" s="3" t="s">
        <v>27</v>
      </c>
      <c r="C3193" s="3" t="s">
        <v>28</v>
      </c>
      <c r="D3193" s="3" t="s">
        <v>29</v>
      </c>
      <c r="E3193" s="3" t="s">
        <v>119</v>
      </c>
      <c r="F3193" s="3" t="s">
        <v>31</v>
      </c>
      <c r="G3193" s="3" t="s">
        <v>119</v>
      </c>
      <c r="H3193" s="3" t="s">
        <v>96</v>
      </c>
      <c r="I3193" s="3">
        <v>2025</v>
      </c>
      <c r="J3193" s="3" t="str">
        <f>CONCATENATE("54820024617")</f>
        <v>54820024617</v>
      </c>
      <c r="K3193" s="3" t="s">
        <v>33</v>
      </c>
      <c r="L3193" s="3"/>
      <c r="M3193" s="3" t="s">
        <v>131</v>
      </c>
      <c r="N3193" s="3" t="str">
        <f>CONCATENATE("LPUGRL45E26L728T")</f>
        <v>LPUGRL45E26L728T</v>
      </c>
      <c r="O3193" s="3" t="s">
        <v>3315</v>
      </c>
      <c r="P3193" s="3" t="s">
        <v>36</v>
      </c>
      <c r="Q3193" s="3"/>
      <c r="R3193" s="4">
        <v>45996</v>
      </c>
      <c r="S3193" s="3" t="s">
        <v>37</v>
      </c>
      <c r="T3193" s="3" t="s">
        <v>38</v>
      </c>
      <c r="U3193" s="3" t="s">
        <v>39</v>
      </c>
      <c r="V3193" s="3">
        <v>66.16</v>
      </c>
      <c r="W3193" s="3">
        <v>28.12</v>
      </c>
      <c r="X3193" s="3">
        <v>26.63</v>
      </c>
      <c r="Y3193" s="3">
        <v>11.41</v>
      </c>
    </row>
    <row r="3194" spans="1:25" ht="60.75" x14ac:dyDescent="0.25">
      <c r="A3194" s="3" t="s">
        <v>26</v>
      </c>
      <c r="B3194" s="3" t="s">
        <v>27</v>
      </c>
      <c r="C3194" s="3" t="s">
        <v>28</v>
      </c>
      <c r="D3194" s="3" t="s">
        <v>29</v>
      </c>
      <c r="E3194" s="3" t="s">
        <v>72</v>
      </c>
      <c r="F3194" s="3" t="s">
        <v>31</v>
      </c>
      <c r="G3194" s="3" t="s">
        <v>72</v>
      </c>
      <c r="H3194" s="3" t="s">
        <v>45</v>
      </c>
      <c r="I3194" s="3">
        <v>2025</v>
      </c>
      <c r="J3194" s="3" t="str">
        <f>CONCATENATE("54820028386")</f>
        <v>54820028386</v>
      </c>
      <c r="K3194" s="3" t="s">
        <v>33</v>
      </c>
      <c r="L3194" s="3"/>
      <c r="M3194" s="3" t="s">
        <v>131</v>
      </c>
      <c r="N3194" s="3" t="str">
        <f>CONCATENATE("MRTLSN58B21A327E")</f>
        <v>MRTLSN58B21A327E</v>
      </c>
      <c r="O3194" s="3" t="s">
        <v>3316</v>
      </c>
      <c r="P3194" s="3" t="s">
        <v>36</v>
      </c>
      <c r="Q3194" s="3"/>
      <c r="R3194" s="4">
        <v>45996</v>
      </c>
      <c r="S3194" s="3" t="s">
        <v>37</v>
      </c>
      <c r="T3194" s="3" t="s">
        <v>38</v>
      </c>
      <c r="U3194" s="3" t="s">
        <v>39</v>
      </c>
      <c r="V3194" s="3">
        <v>298.8</v>
      </c>
      <c r="W3194" s="3">
        <v>126.99</v>
      </c>
      <c r="X3194" s="3">
        <v>120.27</v>
      </c>
      <c r="Y3194" s="3">
        <v>51.54</v>
      </c>
    </row>
    <row r="3195" spans="1:25" ht="60.75" x14ac:dyDescent="0.25">
      <c r="A3195" s="3" t="s">
        <v>26</v>
      </c>
      <c r="B3195" s="3" t="s">
        <v>27</v>
      </c>
      <c r="C3195" s="3" t="s">
        <v>28</v>
      </c>
      <c r="D3195" s="3" t="s">
        <v>29</v>
      </c>
      <c r="E3195" s="3" t="s">
        <v>56</v>
      </c>
      <c r="F3195" s="3" t="s">
        <v>31</v>
      </c>
      <c r="G3195" s="3" t="s">
        <v>56</v>
      </c>
      <c r="H3195" s="3" t="s">
        <v>32</v>
      </c>
      <c r="I3195" s="3">
        <v>2025</v>
      </c>
      <c r="J3195" s="3" t="str">
        <f>CONCATENATE("54820020169")</f>
        <v>54820020169</v>
      </c>
      <c r="K3195" s="3" t="s">
        <v>33</v>
      </c>
      <c r="L3195" s="3"/>
      <c r="M3195" s="3" t="s">
        <v>131</v>
      </c>
      <c r="N3195" s="3" t="str">
        <f>CONCATENATE("CCCGZN58M04B474Y")</f>
        <v>CCCGZN58M04B474Y</v>
      </c>
      <c r="O3195" s="3" t="s">
        <v>3317</v>
      </c>
      <c r="P3195" s="3" t="s">
        <v>36</v>
      </c>
      <c r="Q3195" s="3"/>
      <c r="R3195" s="4">
        <v>45996</v>
      </c>
      <c r="S3195" s="3" t="s">
        <v>37</v>
      </c>
      <c r="T3195" s="3" t="s">
        <v>38</v>
      </c>
      <c r="U3195" s="3" t="s">
        <v>39</v>
      </c>
      <c r="V3195" s="3">
        <v>251.1</v>
      </c>
      <c r="W3195" s="3">
        <v>106.72</v>
      </c>
      <c r="X3195" s="3">
        <v>101.07</v>
      </c>
      <c r="Y3195" s="3">
        <v>43.31</v>
      </c>
    </row>
    <row r="3196" spans="1:25" ht="60.75" x14ac:dyDescent="0.25">
      <c r="A3196" s="3" t="s">
        <v>26</v>
      </c>
      <c r="B3196" s="3" t="s">
        <v>27</v>
      </c>
      <c r="C3196" s="3" t="s">
        <v>28</v>
      </c>
      <c r="D3196" s="3" t="s">
        <v>40</v>
      </c>
      <c r="E3196" s="3" t="s">
        <v>287</v>
      </c>
      <c r="F3196" s="3" t="s">
        <v>42</v>
      </c>
      <c r="G3196" s="3" t="s">
        <v>287</v>
      </c>
      <c r="H3196" s="3" t="s">
        <v>32</v>
      </c>
      <c r="I3196" s="3">
        <v>2025</v>
      </c>
      <c r="J3196" s="3" t="str">
        <f>CONCATENATE("54820014642")</f>
        <v>54820014642</v>
      </c>
      <c r="K3196" s="3" t="s">
        <v>33</v>
      </c>
      <c r="L3196" s="3"/>
      <c r="M3196" s="3" t="s">
        <v>131</v>
      </c>
      <c r="N3196" s="3" t="str">
        <f>CONCATENATE("TRNLNZ76L01B474E")</f>
        <v>TRNLNZ76L01B474E</v>
      </c>
      <c r="O3196" s="3" t="s">
        <v>3318</v>
      </c>
      <c r="P3196" s="3" t="s">
        <v>36</v>
      </c>
      <c r="Q3196" s="3"/>
      <c r="R3196" s="4">
        <v>45996</v>
      </c>
      <c r="S3196" s="3" t="s">
        <v>37</v>
      </c>
      <c r="T3196" s="3" t="s">
        <v>38</v>
      </c>
      <c r="U3196" s="3" t="s">
        <v>39</v>
      </c>
      <c r="V3196" s="3">
        <v>149.94999999999999</v>
      </c>
      <c r="W3196" s="3">
        <v>63.73</v>
      </c>
      <c r="X3196" s="3">
        <v>60.35</v>
      </c>
      <c r="Y3196" s="3">
        <v>25.87</v>
      </c>
    </row>
    <row r="3197" spans="1:25" ht="60.75" x14ac:dyDescent="0.25">
      <c r="A3197" s="3" t="s">
        <v>26</v>
      </c>
      <c r="B3197" s="3" t="s">
        <v>27</v>
      </c>
      <c r="C3197" s="3" t="s">
        <v>28</v>
      </c>
      <c r="D3197" s="3" t="s">
        <v>40</v>
      </c>
      <c r="E3197" s="3" t="s">
        <v>287</v>
      </c>
      <c r="F3197" s="3" t="s">
        <v>42</v>
      </c>
      <c r="G3197" s="3" t="s">
        <v>287</v>
      </c>
      <c r="H3197" s="3" t="s">
        <v>32</v>
      </c>
      <c r="I3197" s="3">
        <v>2025</v>
      </c>
      <c r="J3197" s="3" t="str">
        <f>CONCATENATE("54820023247")</f>
        <v>54820023247</v>
      </c>
      <c r="K3197" s="3" t="s">
        <v>33</v>
      </c>
      <c r="L3197" s="3"/>
      <c r="M3197" s="3" t="s">
        <v>131</v>
      </c>
      <c r="N3197" s="3" t="str">
        <f>CONCATENATE("PLONRT52T46C267N")</f>
        <v>PLONRT52T46C267N</v>
      </c>
      <c r="O3197" s="3" t="s">
        <v>3319</v>
      </c>
      <c r="P3197" s="3" t="s">
        <v>36</v>
      </c>
      <c r="Q3197" s="3"/>
      <c r="R3197" s="4">
        <v>45996</v>
      </c>
      <c r="S3197" s="3" t="s">
        <v>37</v>
      </c>
      <c r="T3197" s="3" t="s">
        <v>38</v>
      </c>
      <c r="U3197" s="3" t="s">
        <v>39</v>
      </c>
      <c r="V3197" s="3">
        <v>498.34</v>
      </c>
      <c r="W3197" s="3">
        <v>211.79</v>
      </c>
      <c r="X3197" s="3">
        <v>200.58</v>
      </c>
      <c r="Y3197" s="3">
        <v>85.97</v>
      </c>
    </row>
    <row r="3198" spans="1:25" ht="60.75" x14ac:dyDescent="0.25">
      <c r="A3198" s="3" t="s">
        <v>26</v>
      </c>
      <c r="B3198" s="3" t="s">
        <v>27</v>
      </c>
      <c r="C3198" s="3" t="s">
        <v>28</v>
      </c>
      <c r="D3198" s="3" t="s">
        <v>29</v>
      </c>
      <c r="E3198" s="3" t="s">
        <v>186</v>
      </c>
      <c r="F3198" s="3" t="s">
        <v>31</v>
      </c>
      <c r="G3198" s="3" t="s">
        <v>186</v>
      </c>
      <c r="H3198" s="3" t="s">
        <v>45</v>
      </c>
      <c r="I3198" s="3">
        <v>2025</v>
      </c>
      <c r="J3198" s="3" t="str">
        <f>CONCATENATE("54820054051")</f>
        <v>54820054051</v>
      </c>
      <c r="K3198" s="3" t="s">
        <v>33</v>
      </c>
      <c r="L3198" s="3"/>
      <c r="M3198" s="3" t="s">
        <v>131</v>
      </c>
      <c r="N3198" s="3" t="str">
        <f>CONCATENATE("SRFGPP89C30L500Y")</f>
        <v>SRFGPP89C30L500Y</v>
      </c>
      <c r="O3198" s="3" t="s">
        <v>3320</v>
      </c>
      <c r="P3198" s="3" t="s">
        <v>36</v>
      </c>
      <c r="Q3198" s="3"/>
      <c r="R3198" s="4">
        <v>45996</v>
      </c>
      <c r="S3198" s="3" t="s">
        <v>37</v>
      </c>
      <c r="T3198" s="3" t="s">
        <v>38</v>
      </c>
      <c r="U3198" s="3" t="s">
        <v>39</v>
      </c>
      <c r="V3198" s="3">
        <v>193.49</v>
      </c>
      <c r="W3198" s="3">
        <v>82.23</v>
      </c>
      <c r="X3198" s="3">
        <v>77.88</v>
      </c>
      <c r="Y3198" s="3">
        <v>33.380000000000003</v>
      </c>
    </row>
    <row r="3199" spans="1:25" ht="60.75" x14ac:dyDescent="0.25">
      <c r="A3199" s="3" t="s">
        <v>26</v>
      </c>
      <c r="B3199" s="3" t="s">
        <v>27</v>
      </c>
      <c r="C3199" s="3" t="s">
        <v>28</v>
      </c>
      <c r="D3199" s="3" t="s">
        <v>29</v>
      </c>
      <c r="E3199" s="3" t="s">
        <v>125</v>
      </c>
      <c r="F3199" s="3" t="s">
        <v>31</v>
      </c>
      <c r="G3199" s="3" t="s">
        <v>125</v>
      </c>
      <c r="H3199" s="3" t="s">
        <v>32</v>
      </c>
      <c r="I3199" s="3">
        <v>2025</v>
      </c>
      <c r="J3199" s="3" t="str">
        <f>CONCATENATE("54820008263")</f>
        <v>54820008263</v>
      </c>
      <c r="K3199" s="3" t="s">
        <v>33</v>
      </c>
      <c r="L3199" s="3"/>
      <c r="M3199" s="3" t="s">
        <v>131</v>
      </c>
      <c r="N3199" s="3" t="str">
        <f>CONCATENATE("CMPGLG75T23E783N")</f>
        <v>CMPGLG75T23E783N</v>
      </c>
      <c r="O3199" s="3" t="s">
        <v>3321</v>
      </c>
      <c r="P3199" s="3" t="s">
        <v>36</v>
      </c>
      <c r="Q3199" s="3"/>
      <c r="R3199" s="4">
        <v>45996</v>
      </c>
      <c r="S3199" s="3" t="s">
        <v>37</v>
      </c>
      <c r="T3199" s="3" t="s">
        <v>38</v>
      </c>
      <c r="U3199" s="3" t="s">
        <v>39</v>
      </c>
      <c r="V3199" s="3">
        <v>123.91</v>
      </c>
      <c r="W3199" s="3">
        <v>52.66</v>
      </c>
      <c r="X3199" s="3">
        <v>49.87</v>
      </c>
      <c r="Y3199" s="3">
        <v>21.38</v>
      </c>
    </row>
    <row r="3200" spans="1:25" ht="60.75" x14ac:dyDescent="0.25">
      <c r="A3200" s="3" t="s">
        <v>26</v>
      </c>
      <c r="B3200" s="3" t="s">
        <v>27</v>
      </c>
      <c r="C3200" s="3" t="s">
        <v>28</v>
      </c>
      <c r="D3200" s="3" t="s">
        <v>29</v>
      </c>
      <c r="E3200" s="3" t="s">
        <v>228</v>
      </c>
      <c r="F3200" s="3" t="s">
        <v>31</v>
      </c>
      <c r="G3200" s="3" t="s">
        <v>228</v>
      </c>
      <c r="H3200" s="3" t="s">
        <v>45</v>
      </c>
      <c r="I3200" s="3">
        <v>2025</v>
      </c>
      <c r="J3200" s="3" t="str">
        <f>CONCATENATE("54820036314")</f>
        <v>54820036314</v>
      </c>
      <c r="K3200" s="3" t="s">
        <v>33</v>
      </c>
      <c r="L3200" s="3"/>
      <c r="M3200" s="3" t="s">
        <v>131</v>
      </c>
      <c r="N3200" s="3" t="str">
        <f>CONCATENATE("GNSLRT75L22H294L")</f>
        <v>GNSLRT75L22H294L</v>
      </c>
      <c r="O3200" s="3" t="s">
        <v>3322</v>
      </c>
      <c r="P3200" s="3" t="s">
        <v>36</v>
      </c>
      <c r="Q3200" s="3"/>
      <c r="R3200" s="4">
        <v>45996</v>
      </c>
      <c r="S3200" s="3" t="s">
        <v>37</v>
      </c>
      <c r="T3200" s="3" t="s">
        <v>38</v>
      </c>
      <c r="U3200" s="3" t="s">
        <v>39</v>
      </c>
      <c r="V3200" s="3">
        <v>176.81</v>
      </c>
      <c r="W3200" s="3">
        <v>75.14</v>
      </c>
      <c r="X3200" s="3">
        <v>71.17</v>
      </c>
      <c r="Y3200" s="3">
        <v>30.5</v>
      </c>
    </row>
    <row r="3201" spans="1:25" ht="60.75" x14ac:dyDescent="0.25">
      <c r="A3201" s="3" t="s">
        <v>26</v>
      </c>
      <c r="B3201" s="3" t="s">
        <v>27</v>
      </c>
      <c r="C3201" s="3" t="s">
        <v>28</v>
      </c>
      <c r="D3201" s="3" t="s">
        <v>29</v>
      </c>
      <c r="E3201" s="3" t="s">
        <v>403</v>
      </c>
      <c r="F3201" s="3" t="s">
        <v>31</v>
      </c>
      <c r="G3201" s="3" t="s">
        <v>403</v>
      </c>
      <c r="H3201" s="3" t="s">
        <v>96</v>
      </c>
      <c r="I3201" s="3">
        <v>2025</v>
      </c>
      <c r="J3201" s="3" t="str">
        <f>CONCATENATE("54820012596")</f>
        <v>54820012596</v>
      </c>
      <c r="K3201" s="3" t="s">
        <v>33</v>
      </c>
      <c r="L3201" s="3"/>
      <c r="M3201" s="3" t="s">
        <v>131</v>
      </c>
      <c r="N3201" s="3" t="str">
        <f>CONCATENATE("VNNGPR68C23A462W")</f>
        <v>VNNGPR68C23A462W</v>
      </c>
      <c r="O3201" s="3" t="s">
        <v>3323</v>
      </c>
      <c r="P3201" s="3" t="s">
        <v>36</v>
      </c>
      <c r="Q3201" s="3"/>
      <c r="R3201" s="4">
        <v>45996</v>
      </c>
      <c r="S3201" s="3" t="s">
        <v>37</v>
      </c>
      <c r="T3201" s="3" t="s">
        <v>38</v>
      </c>
      <c r="U3201" s="3" t="s">
        <v>39</v>
      </c>
      <c r="V3201" s="3">
        <v>71.959999999999994</v>
      </c>
      <c r="W3201" s="3">
        <v>30.58</v>
      </c>
      <c r="X3201" s="3">
        <v>28.96</v>
      </c>
      <c r="Y3201" s="3">
        <v>12.42</v>
      </c>
    </row>
    <row r="3202" spans="1:25" ht="72.75" x14ac:dyDescent="0.25">
      <c r="A3202" s="3" t="s">
        <v>26</v>
      </c>
      <c r="B3202" s="3" t="s">
        <v>27</v>
      </c>
      <c r="C3202" s="3" t="s">
        <v>28</v>
      </c>
      <c r="D3202" s="3" t="s">
        <v>40</v>
      </c>
      <c r="E3202" s="3" t="s">
        <v>287</v>
      </c>
      <c r="F3202" s="3" t="s">
        <v>42</v>
      </c>
      <c r="G3202" s="3" t="s">
        <v>287</v>
      </c>
      <c r="H3202" s="3" t="s">
        <v>32</v>
      </c>
      <c r="I3202" s="3">
        <v>2025</v>
      </c>
      <c r="J3202" s="3" t="str">
        <f>CONCATENATE("54820015557")</f>
        <v>54820015557</v>
      </c>
      <c r="K3202" s="3" t="s">
        <v>33</v>
      </c>
      <c r="L3202" s="3"/>
      <c r="M3202" s="3" t="s">
        <v>131</v>
      </c>
      <c r="N3202" s="3" t="str">
        <f>CONCATENATE("CTTMNO78P47D451U")</f>
        <v>CTTMNO78P47D451U</v>
      </c>
      <c r="O3202" s="3" t="s">
        <v>3324</v>
      </c>
      <c r="P3202" s="3" t="s">
        <v>36</v>
      </c>
      <c r="Q3202" s="3"/>
      <c r="R3202" s="4">
        <v>45996</v>
      </c>
      <c r="S3202" s="3" t="s">
        <v>37</v>
      </c>
      <c r="T3202" s="3" t="s">
        <v>38</v>
      </c>
      <c r="U3202" s="3" t="s">
        <v>39</v>
      </c>
      <c r="V3202" s="5">
        <v>1429.3</v>
      </c>
      <c r="W3202" s="3">
        <v>607.45000000000005</v>
      </c>
      <c r="X3202" s="3">
        <v>575.29</v>
      </c>
      <c r="Y3202" s="3">
        <v>246.56</v>
      </c>
    </row>
    <row r="3203" spans="1:25" ht="72.75" x14ac:dyDescent="0.25">
      <c r="A3203" s="3" t="s">
        <v>26</v>
      </c>
      <c r="B3203" s="3" t="s">
        <v>27</v>
      </c>
      <c r="C3203" s="3" t="s">
        <v>28</v>
      </c>
      <c r="D3203" s="3" t="s">
        <v>29</v>
      </c>
      <c r="E3203" s="3" t="s">
        <v>186</v>
      </c>
      <c r="F3203" s="3" t="s">
        <v>31</v>
      </c>
      <c r="G3203" s="3" t="s">
        <v>186</v>
      </c>
      <c r="H3203" s="3" t="s">
        <v>45</v>
      </c>
      <c r="I3203" s="3">
        <v>2025</v>
      </c>
      <c r="J3203" s="3" t="str">
        <f>CONCATENATE("54820030739")</f>
        <v>54820030739</v>
      </c>
      <c r="K3203" s="3" t="s">
        <v>33</v>
      </c>
      <c r="L3203" s="3"/>
      <c r="M3203" s="3" t="s">
        <v>131</v>
      </c>
      <c r="N3203" s="3" t="str">
        <f>CONCATENATE("MRNBNN71D14A740Q")</f>
        <v>MRNBNN71D14A740Q</v>
      </c>
      <c r="O3203" s="3" t="s">
        <v>3325</v>
      </c>
      <c r="P3203" s="3" t="s">
        <v>36</v>
      </c>
      <c r="Q3203" s="3"/>
      <c r="R3203" s="4">
        <v>45996</v>
      </c>
      <c r="S3203" s="3" t="s">
        <v>37</v>
      </c>
      <c r="T3203" s="3" t="s">
        <v>38</v>
      </c>
      <c r="U3203" s="3" t="s">
        <v>39</v>
      </c>
      <c r="V3203" s="3">
        <v>500.64</v>
      </c>
      <c r="W3203" s="3">
        <v>212.77</v>
      </c>
      <c r="X3203" s="3">
        <v>201.51</v>
      </c>
      <c r="Y3203" s="3">
        <v>86.36</v>
      </c>
    </row>
    <row r="3204" spans="1:25" ht="60.75" x14ac:dyDescent="0.25">
      <c r="A3204" s="3" t="s">
        <v>26</v>
      </c>
      <c r="B3204" s="3" t="s">
        <v>27</v>
      </c>
      <c r="C3204" s="3" t="s">
        <v>28</v>
      </c>
      <c r="D3204" s="3" t="s">
        <v>29</v>
      </c>
      <c r="E3204" s="3" t="s">
        <v>119</v>
      </c>
      <c r="F3204" s="3" t="s">
        <v>31</v>
      </c>
      <c r="G3204" s="3" t="s">
        <v>119</v>
      </c>
      <c r="H3204" s="3" t="s">
        <v>96</v>
      </c>
      <c r="I3204" s="3">
        <v>2025</v>
      </c>
      <c r="J3204" s="3" t="str">
        <f>CONCATENATE("54820018833")</f>
        <v>54820018833</v>
      </c>
      <c r="K3204" s="3" t="s">
        <v>33</v>
      </c>
      <c r="L3204" s="3"/>
      <c r="M3204" s="3" t="s">
        <v>131</v>
      </c>
      <c r="N3204" s="3" t="str">
        <f>CONCATENATE("MRCDGS42S53A252W")</f>
        <v>MRCDGS42S53A252W</v>
      </c>
      <c r="O3204" s="3" t="s">
        <v>3326</v>
      </c>
      <c r="P3204" s="3" t="s">
        <v>36</v>
      </c>
      <c r="Q3204" s="3"/>
      <c r="R3204" s="4">
        <v>45996</v>
      </c>
      <c r="S3204" s="3" t="s">
        <v>37</v>
      </c>
      <c r="T3204" s="3" t="s">
        <v>38</v>
      </c>
      <c r="U3204" s="3" t="s">
        <v>39</v>
      </c>
      <c r="V3204" s="3">
        <v>131.51</v>
      </c>
      <c r="W3204" s="3">
        <v>55.89</v>
      </c>
      <c r="X3204" s="3">
        <v>52.93</v>
      </c>
      <c r="Y3204" s="3">
        <v>22.69</v>
      </c>
    </row>
    <row r="3205" spans="1:25" ht="60.75" x14ac:dyDescent="0.25">
      <c r="A3205" s="3" t="s">
        <v>26</v>
      </c>
      <c r="B3205" s="3" t="s">
        <v>27</v>
      </c>
      <c r="C3205" s="3" t="s">
        <v>28</v>
      </c>
      <c r="D3205" s="3" t="s">
        <v>91</v>
      </c>
      <c r="E3205" s="3" t="s">
        <v>95</v>
      </c>
      <c r="F3205" s="3" t="s">
        <v>93</v>
      </c>
      <c r="G3205" s="3" t="s">
        <v>95</v>
      </c>
      <c r="H3205" s="3" t="s">
        <v>96</v>
      </c>
      <c r="I3205" s="3">
        <v>2025</v>
      </c>
      <c r="J3205" s="3" t="str">
        <f>CONCATENATE("54820034822")</f>
        <v>54820034822</v>
      </c>
      <c r="K3205" s="3" t="s">
        <v>33</v>
      </c>
      <c r="L3205" s="3"/>
      <c r="M3205" s="3" t="s">
        <v>131</v>
      </c>
      <c r="N3205" s="3" t="str">
        <f>CONCATENATE("MRCMTR55P70F493M")</f>
        <v>MRCMTR55P70F493M</v>
      </c>
      <c r="O3205" s="3" t="s">
        <v>3327</v>
      </c>
      <c r="P3205" s="3" t="s">
        <v>36</v>
      </c>
      <c r="Q3205" s="3"/>
      <c r="R3205" s="4">
        <v>45996</v>
      </c>
      <c r="S3205" s="3" t="s">
        <v>37</v>
      </c>
      <c r="T3205" s="3" t="s">
        <v>38</v>
      </c>
      <c r="U3205" s="3" t="s">
        <v>39</v>
      </c>
      <c r="V3205" s="3">
        <v>101.49</v>
      </c>
      <c r="W3205" s="3">
        <v>43.13</v>
      </c>
      <c r="X3205" s="3">
        <v>40.85</v>
      </c>
      <c r="Y3205" s="3">
        <v>17.510000000000002</v>
      </c>
    </row>
    <row r="3206" spans="1:25" ht="60.75" x14ac:dyDescent="0.25">
      <c r="A3206" s="3" t="s">
        <v>26</v>
      </c>
      <c r="B3206" s="3" t="s">
        <v>27</v>
      </c>
      <c r="C3206" s="3" t="s">
        <v>28</v>
      </c>
      <c r="D3206" s="3" t="s">
        <v>50</v>
      </c>
      <c r="E3206" s="3" t="s">
        <v>173</v>
      </c>
      <c r="F3206" s="3" t="s">
        <v>52</v>
      </c>
      <c r="G3206" s="3" t="s">
        <v>173</v>
      </c>
      <c r="H3206" s="3" t="s">
        <v>45</v>
      </c>
      <c r="I3206" s="3">
        <v>2025</v>
      </c>
      <c r="J3206" s="3" t="str">
        <f>CONCATENATE("54820027495")</f>
        <v>54820027495</v>
      </c>
      <c r="K3206" s="3" t="s">
        <v>33</v>
      </c>
      <c r="L3206" s="3"/>
      <c r="M3206" s="3" t="s">
        <v>131</v>
      </c>
      <c r="N3206" s="3" t="str">
        <f>CONCATENATE("PCCMRC77L11E785Z")</f>
        <v>PCCMRC77L11E785Z</v>
      </c>
      <c r="O3206" s="3" t="s">
        <v>3328</v>
      </c>
      <c r="P3206" s="3" t="s">
        <v>36</v>
      </c>
      <c r="Q3206" s="3"/>
      <c r="R3206" s="4">
        <v>45996</v>
      </c>
      <c r="S3206" s="3" t="s">
        <v>37</v>
      </c>
      <c r="T3206" s="3" t="s">
        <v>38</v>
      </c>
      <c r="U3206" s="3" t="s">
        <v>39</v>
      </c>
      <c r="V3206" s="5">
        <v>1221.5</v>
      </c>
      <c r="W3206" s="3">
        <v>519.14</v>
      </c>
      <c r="X3206" s="3">
        <v>491.65</v>
      </c>
      <c r="Y3206" s="3">
        <v>210.71</v>
      </c>
    </row>
    <row r="3207" spans="1:25" ht="36.75" x14ac:dyDescent="0.25">
      <c r="A3207" s="3" t="s">
        <v>26</v>
      </c>
      <c r="B3207" s="3" t="s">
        <v>27</v>
      </c>
      <c r="C3207" s="3" t="s">
        <v>28</v>
      </c>
      <c r="D3207" s="3" t="s">
        <v>50</v>
      </c>
      <c r="E3207" s="3" t="s">
        <v>51</v>
      </c>
      <c r="F3207" s="3" t="s">
        <v>52</v>
      </c>
      <c r="G3207" s="3" t="s">
        <v>51</v>
      </c>
      <c r="H3207" s="3" t="s">
        <v>48</v>
      </c>
      <c r="I3207" s="3">
        <v>2025</v>
      </c>
      <c r="J3207" s="3" t="str">
        <f>CONCATENATE("54820074372")</f>
        <v>54820074372</v>
      </c>
      <c r="K3207" s="3" t="s">
        <v>33</v>
      </c>
      <c r="L3207" s="3"/>
      <c r="M3207" s="3" t="s">
        <v>131</v>
      </c>
      <c r="N3207" s="3" t="str">
        <f>CONCATENATE("01234180428")</f>
        <v>01234180428</v>
      </c>
      <c r="O3207" s="3" t="s">
        <v>3329</v>
      </c>
      <c r="P3207" s="3" t="s">
        <v>36</v>
      </c>
      <c r="Q3207" s="3"/>
      <c r="R3207" s="4">
        <v>45996</v>
      </c>
      <c r="S3207" s="3" t="s">
        <v>37</v>
      </c>
      <c r="T3207" s="3" t="s">
        <v>38</v>
      </c>
      <c r="U3207" s="3" t="s">
        <v>39</v>
      </c>
      <c r="V3207" s="3">
        <v>645.71</v>
      </c>
      <c r="W3207" s="3">
        <v>274.43</v>
      </c>
      <c r="X3207" s="3">
        <v>259.89999999999998</v>
      </c>
      <c r="Y3207" s="3">
        <v>111.38</v>
      </c>
    </row>
    <row r="3208" spans="1:25" ht="60.75" x14ac:dyDescent="0.25">
      <c r="A3208" s="3" t="s">
        <v>26</v>
      </c>
      <c r="B3208" s="3" t="s">
        <v>27</v>
      </c>
      <c r="C3208" s="3" t="s">
        <v>28</v>
      </c>
      <c r="D3208" s="3" t="s">
        <v>29</v>
      </c>
      <c r="E3208" s="3" t="s">
        <v>186</v>
      </c>
      <c r="F3208" s="3" t="s">
        <v>31</v>
      </c>
      <c r="G3208" s="3" t="s">
        <v>186</v>
      </c>
      <c r="H3208" s="3" t="s">
        <v>45</v>
      </c>
      <c r="I3208" s="3">
        <v>2025</v>
      </c>
      <c r="J3208" s="3" t="str">
        <f>CONCATENATE("54820026463")</f>
        <v>54820026463</v>
      </c>
      <c r="K3208" s="3" t="s">
        <v>33</v>
      </c>
      <c r="L3208" s="3"/>
      <c r="M3208" s="3" t="s">
        <v>131</v>
      </c>
      <c r="N3208" s="3" t="str">
        <f>CONCATENATE("BRCCLR80L49F205M")</f>
        <v>BRCCLR80L49F205M</v>
      </c>
      <c r="O3208" s="3" t="s">
        <v>3330</v>
      </c>
      <c r="P3208" s="3" t="s">
        <v>36</v>
      </c>
      <c r="Q3208" s="3"/>
      <c r="R3208" s="4">
        <v>45996</v>
      </c>
      <c r="S3208" s="3" t="s">
        <v>37</v>
      </c>
      <c r="T3208" s="3" t="s">
        <v>38</v>
      </c>
      <c r="U3208" s="3" t="s">
        <v>39</v>
      </c>
      <c r="V3208" s="3">
        <v>109.18</v>
      </c>
      <c r="W3208" s="3">
        <v>46.4</v>
      </c>
      <c r="X3208" s="3">
        <v>43.94</v>
      </c>
      <c r="Y3208" s="3">
        <v>18.84</v>
      </c>
    </row>
    <row r="3209" spans="1:25" ht="60.75" x14ac:dyDescent="0.25">
      <c r="A3209" s="3" t="s">
        <v>26</v>
      </c>
      <c r="B3209" s="3" t="s">
        <v>27</v>
      </c>
      <c r="C3209" s="3" t="s">
        <v>28</v>
      </c>
      <c r="D3209" s="3" t="s">
        <v>40</v>
      </c>
      <c r="E3209" s="3" t="s">
        <v>218</v>
      </c>
      <c r="F3209" s="3" t="s">
        <v>42</v>
      </c>
      <c r="G3209" s="3" t="s">
        <v>218</v>
      </c>
      <c r="H3209" s="3" t="s">
        <v>45</v>
      </c>
      <c r="I3209" s="3">
        <v>2025</v>
      </c>
      <c r="J3209" s="3" t="str">
        <f>CONCATENATE("54820089420")</f>
        <v>54820089420</v>
      </c>
      <c r="K3209" s="3" t="s">
        <v>33</v>
      </c>
      <c r="L3209" s="3"/>
      <c r="M3209" s="3" t="s">
        <v>131</v>
      </c>
      <c r="N3209" s="3" t="str">
        <f>CONCATENATE("SCCNDR74D28F205Y")</f>
        <v>SCCNDR74D28F205Y</v>
      </c>
      <c r="O3209" s="3" t="s">
        <v>3331</v>
      </c>
      <c r="P3209" s="3" t="s">
        <v>36</v>
      </c>
      <c r="Q3209" s="3"/>
      <c r="R3209" s="4">
        <v>45996</v>
      </c>
      <c r="S3209" s="3" t="s">
        <v>37</v>
      </c>
      <c r="T3209" s="3" t="s">
        <v>38</v>
      </c>
      <c r="U3209" s="3" t="s">
        <v>39</v>
      </c>
      <c r="V3209" s="3">
        <v>524.84</v>
      </c>
      <c r="W3209" s="3">
        <v>223.06</v>
      </c>
      <c r="X3209" s="3">
        <v>211.25</v>
      </c>
      <c r="Y3209" s="3">
        <v>90.53</v>
      </c>
    </row>
    <row r="3210" spans="1:25" ht="72.75" x14ac:dyDescent="0.25">
      <c r="A3210" s="3" t="s">
        <v>26</v>
      </c>
      <c r="B3210" s="3" t="s">
        <v>27</v>
      </c>
      <c r="C3210" s="3" t="s">
        <v>28</v>
      </c>
      <c r="D3210" s="3" t="s">
        <v>50</v>
      </c>
      <c r="E3210" s="3" t="s">
        <v>51</v>
      </c>
      <c r="F3210" s="3" t="s">
        <v>52</v>
      </c>
      <c r="G3210" s="3" t="s">
        <v>51</v>
      </c>
      <c r="H3210" s="3" t="s">
        <v>48</v>
      </c>
      <c r="I3210" s="3">
        <v>2025</v>
      </c>
      <c r="J3210" s="3" t="str">
        <f>CONCATENATE("54820070875")</f>
        <v>54820070875</v>
      </c>
      <c r="K3210" s="3" t="s">
        <v>33</v>
      </c>
      <c r="L3210" s="3"/>
      <c r="M3210" s="3" t="s">
        <v>131</v>
      </c>
      <c r="N3210" s="3" t="str">
        <f>CONCATENATE("CCCMNL61M54H509O")</f>
        <v>CCCMNL61M54H509O</v>
      </c>
      <c r="O3210" s="3" t="s">
        <v>3332</v>
      </c>
      <c r="P3210" s="3" t="s">
        <v>36</v>
      </c>
      <c r="Q3210" s="3"/>
      <c r="R3210" s="4">
        <v>45996</v>
      </c>
      <c r="S3210" s="3" t="s">
        <v>37</v>
      </c>
      <c r="T3210" s="3" t="s">
        <v>38</v>
      </c>
      <c r="U3210" s="3" t="s">
        <v>39</v>
      </c>
      <c r="V3210" s="3">
        <v>161.46</v>
      </c>
      <c r="W3210" s="3">
        <v>68.62</v>
      </c>
      <c r="X3210" s="3">
        <v>64.989999999999995</v>
      </c>
      <c r="Y3210" s="3">
        <v>27.85</v>
      </c>
    </row>
    <row r="3211" spans="1:25" ht="60.75" x14ac:dyDescent="0.25">
      <c r="A3211" s="3" t="s">
        <v>26</v>
      </c>
      <c r="B3211" s="3" t="s">
        <v>27</v>
      </c>
      <c r="C3211" s="3" t="s">
        <v>28</v>
      </c>
      <c r="D3211" s="3" t="s">
        <v>50</v>
      </c>
      <c r="E3211" s="3" t="s">
        <v>147</v>
      </c>
      <c r="F3211" s="3" t="s">
        <v>52</v>
      </c>
      <c r="G3211" s="3" t="s">
        <v>147</v>
      </c>
      <c r="H3211" s="3" t="s">
        <v>45</v>
      </c>
      <c r="I3211" s="3">
        <v>2025</v>
      </c>
      <c r="J3211" s="3" t="str">
        <f>CONCATENATE("54820193776")</f>
        <v>54820193776</v>
      </c>
      <c r="K3211" s="3" t="s">
        <v>33</v>
      </c>
      <c r="L3211" s="3"/>
      <c r="M3211" s="3" t="s">
        <v>131</v>
      </c>
      <c r="N3211" s="3" t="str">
        <f>CONCATENATE("BLDGPP39B03L500M")</f>
        <v>BLDGPP39B03L500M</v>
      </c>
      <c r="O3211" s="3" t="s">
        <v>3333</v>
      </c>
      <c r="P3211" s="3" t="s">
        <v>36</v>
      </c>
      <c r="Q3211" s="3"/>
      <c r="R3211" s="4">
        <v>45996</v>
      </c>
      <c r="S3211" s="3" t="s">
        <v>37</v>
      </c>
      <c r="T3211" s="3" t="s">
        <v>38</v>
      </c>
      <c r="U3211" s="3" t="s">
        <v>39</v>
      </c>
      <c r="V3211" s="3">
        <v>69.260000000000005</v>
      </c>
      <c r="W3211" s="3">
        <v>29.44</v>
      </c>
      <c r="X3211" s="3">
        <v>27.88</v>
      </c>
      <c r="Y3211" s="3">
        <v>11.94</v>
      </c>
    </row>
    <row r="3212" spans="1:25" ht="60.75" x14ac:dyDescent="0.25">
      <c r="A3212" s="3" t="s">
        <v>26</v>
      </c>
      <c r="B3212" s="3" t="s">
        <v>27</v>
      </c>
      <c r="C3212" s="3" t="s">
        <v>28</v>
      </c>
      <c r="D3212" s="3" t="s">
        <v>104</v>
      </c>
      <c r="E3212" s="3" t="s">
        <v>268</v>
      </c>
      <c r="F3212" s="3" t="s">
        <v>104</v>
      </c>
      <c r="G3212" s="3" t="s">
        <v>268</v>
      </c>
      <c r="H3212" s="3" t="s">
        <v>32</v>
      </c>
      <c r="I3212" s="3">
        <v>2025</v>
      </c>
      <c r="J3212" s="3" t="str">
        <f>CONCATENATE("54820217922")</f>
        <v>54820217922</v>
      </c>
      <c r="K3212" s="3" t="s">
        <v>33</v>
      </c>
      <c r="L3212" s="3"/>
      <c r="M3212" s="3" t="s">
        <v>131</v>
      </c>
      <c r="N3212" s="3" t="str">
        <f>CONCATENATE("SBBMRZ58R08M078P")</f>
        <v>SBBMRZ58R08M078P</v>
      </c>
      <c r="O3212" s="3" t="s">
        <v>3334</v>
      </c>
      <c r="P3212" s="3" t="s">
        <v>36</v>
      </c>
      <c r="Q3212" s="3"/>
      <c r="R3212" s="4">
        <v>45996</v>
      </c>
      <c r="S3212" s="3" t="s">
        <v>37</v>
      </c>
      <c r="T3212" s="3" t="s">
        <v>38</v>
      </c>
      <c r="U3212" s="3" t="s">
        <v>39</v>
      </c>
      <c r="V3212" s="5">
        <v>1265.6199999999999</v>
      </c>
      <c r="W3212" s="3">
        <v>537.89</v>
      </c>
      <c r="X3212" s="3">
        <v>509.41</v>
      </c>
      <c r="Y3212" s="3">
        <v>218.32</v>
      </c>
    </row>
    <row r="3213" spans="1:25" ht="60.75" x14ac:dyDescent="0.25">
      <c r="A3213" s="3" t="s">
        <v>26</v>
      </c>
      <c r="B3213" s="3" t="s">
        <v>27</v>
      </c>
      <c r="C3213" s="3" t="s">
        <v>28</v>
      </c>
      <c r="D3213" s="3" t="s">
        <v>50</v>
      </c>
      <c r="E3213" s="3" t="s">
        <v>147</v>
      </c>
      <c r="F3213" s="3" t="s">
        <v>52</v>
      </c>
      <c r="G3213" s="3" t="s">
        <v>147</v>
      </c>
      <c r="H3213" s="3" t="s">
        <v>45</v>
      </c>
      <c r="I3213" s="3">
        <v>2025</v>
      </c>
      <c r="J3213" s="3" t="str">
        <f>CONCATENATE("54820181235")</f>
        <v>54820181235</v>
      </c>
      <c r="K3213" s="3" t="s">
        <v>33</v>
      </c>
      <c r="L3213" s="3"/>
      <c r="M3213" s="3" t="s">
        <v>131</v>
      </c>
      <c r="N3213" s="3" t="str">
        <f>CONCATENATE("SRFNCL93B20L500T")</f>
        <v>SRFNCL93B20L500T</v>
      </c>
      <c r="O3213" s="3" t="s">
        <v>3335</v>
      </c>
      <c r="P3213" s="3" t="s">
        <v>36</v>
      </c>
      <c r="Q3213" s="3"/>
      <c r="R3213" s="4">
        <v>45996</v>
      </c>
      <c r="S3213" s="3" t="s">
        <v>37</v>
      </c>
      <c r="T3213" s="3" t="s">
        <v>38</v>
      </c>
      <c r="U3213" s="3" t="s">
        <v>39</v>
      </c>
      <c r="V3213" s="3">
        <v>65.44</v>
      </c>
      <c r="W3213" s="3">
        <v>27.81</v>
      </c>
      <c r="X3213" s="3">
        <v>26.34</v>
      </c>
      <c r="Y3213" s="3">
        <v>11.29</v>
      </c>
    </row>
    <row r="3214" spans="1:25" ht="60.75" x14ac:dyDescent="0.25">
      <c r="A3214" s="3" t="s">
        <v>26</v>
      </c>
      <c r="B3214" s="3" t="s">
        <v>27</v>
      </c>
      <c r="C3214" s="3" t="s">
        <v>28</v>
      </c>
      <c r="D3214" s="3" t="s">
        <v>50</v>
      </c>
      <c r="E3214" s="3" t="s">
        <v>51</v>
      </c>
      <c r="F3214" s="3" t="s">
        <v>52</v>
      </c>
      <c r="G3214" s="3" t="s">
        <v>51</v>
      </c>
      <c r="H3214" s="3" t="s">
        <v>48</v>
      </c>
      <c r="I3214" s="3">
        <v>2025</v>
      </c>
      <c r="J3214" s="3" t="str">
        <f>CONCATENATE("54820185533")</f>
        <v>54820185533</v>
      </c>
      <c r="K3214" s="3" t="s">
        <v>33</v>
      </c>
      <c r="L3214" s="3"/>
      <c r="M3214" s="3" t="s">
        <v>131</v>
      </c>
      <c r="N3214" s="3" t="str">
        <f>CONCATENATE("RMZDNL65R12A366J")</f>
        <v>RMZDNL65R12A366J</v>
      </c>
      <c r="O3214" s="3" t="s">
        <v>3336</v>
      </c>
      <c r="P3214" s="3" t="s">
        <v>36</v>
      </c>
      <c r="Q3214" s="3"/>
      <c r="R3214" s="4">
        <v>45996</v>
      </c>
      <c r="S3214" s="3" t="s">
        <v>37</v>
      </c>
      <c r="T3214" s="3" t="s">
        <v>38</v>
      </c>
      <c r="U3214" s="3" t="s">
        <v>39</v>
      </c>
      <c r="V3214" s="3">
        <v>905.62</v>
      </c>
      <c r="W3214" s="3">
        <v>384.89</v>
      </c>
      <c r="X3214" s="3">
        <v>364.51</v>
      </c>
      <c r="Y3214" s="3">
        <v>156.22</v>
      </c>
    </row>
    <row r="3215" spans="1:25" ht="36.75" x14ac:dyDescent="0.25">
      <c r="A3215" s="3" t="s">
        <v>26</v>
      </c>
      <c r="B3215" s="3" t="s">
        <v>27</v>
      </c>
      <c r="C3215" s="3" t="s">
        <v>28</v>
      </c>
      <c r="D3215" s="3" t="s">
        <v>91</v>
      </c>
      <c r="E3215" s="3" t="s">
        <v>522</v>
      </c>
      <c r="F3215" s="3" t="s">
        <v>93</v>
      </c>
      <c r="G3215" s="3" t="s">
        <v>522</v>
      </c>
      <c r="H3215" s="3" t="s">
        <v>32</v>
      </c>
      <c r="I3215" s="3">
        <v>2025</v>
      </c>
      <c r="J3215" s="3" t="str">
        <f>CONCATENATE("54820101050")</f>
        <v>54820101050</v>
      </c>
      <c r="K3215" s="3" t="s">
        <v>33</v>
      </c>
      <c r="L3215" s="3"/>
      <c r="M3215" s="3" t="s">
        <v>131</v>
      </c>
      <c r="N3215" s="3" t="str">
        <f>CONCATENATE("02571110549")</f>
        <v>02571110549</v>
      </c>
      <c r="O3215" s="3" t="s">
        <v>3337</v>
      </c>
      <c r="P3215" s="3" t="s">
        <v>36</v>
      </c>
      <c r="Q3215" s="3"/>
      <c r="R3215" s="4">
        <v>45996</v>
      </c>
      <c r="S3215" s="3" t="s">
        <v>37</v>
      </c>
      <c r="T3215" s="3" t="s">
        <v>38</v>
      </c>
      <c r="U3215" s="3" t="s">
        <v>39</v>
      </c>
      <c r="V3215" s="3">
        <v>480.51</v>
      </c>
      <c r="W3215" s="3">
        <v>204.22</v>
      </c>
      <c r="X3215" s="3">
        <v>193.41</v>
      </c>
      <c r="Y3215" s="3">
        <v>82.88</v>
      </c>
    </row>
    <row r="3216" spans="1:25" ht="72.75" x14ac:dyDescent="0.25">
      <c r="A3216" s="3" t="s">
        <v>26</v>
      </c>
      <c r="B3216" s="3" t="s">
        <v>27</v>
      </c>
      <c r="C3216" s="3" t="s">
        <v>28</v>
      </c>
      <c r="D3216" s="3" t="s">
        <v>29</v>
      </c>
      <c r="E3216" s="3" t="s">
        <v>47</v>
      </c>
      <c r="F3216" s="3" t="s">
        <v>31</v>
      </c>
      <c r="G3216" s="3" t="s">
        <v>47</v>
      </c>
      <c r="H3216" s="3" t="s">
        <v>48</v>
      </c>
      <c r="I3216" s="3">
        <v>2025</v>
      </c>
      <c r="J3216" s="3" t="str">
        <f>CONCATENATE("54820151121")</f>
        <v>54820151121</v>
      </c>
      <c r="K3216" s="3" t="s">
        <v>33</v>
      </c>
      <c r="L3216" s="3"/>
      <c r="M3216" s="3" t="s">
        <v>131</v>
      </c>
      <c r="N3216" s="3" t="str">
        <f>CONCATENATE("BLLMNL90H05D451W")</f>
        <v>BLLMNL90H05D451W</v>
      </c>
      <c r="O3216" s="3" t="s">
        <v>3338</v>
      </c>
      <c r="P3216" s="3" t="s">
        <v>36</v>
      </c>
      <c r="Q3216" s="3"/>
      <c r="R3216" s="4">
        <v>45996</v>
      </c>
      <c r="S3216" s="3" t="s">
        <v>37</v>
      </c>
      <c r="T3216" s="3" t="s">
        <v>38</v>
      </c>
      <c r="U3216" s="3" t="s">
        <v>39</v>
      </c>
      <c r="V3216" s="3">
        <v>102.78</v>
      </c>
      <c r="W3216" s="3">
        <v>43.68</v>
      </c>
      <c r="X3216" s="3">
        <v>41.37</v>
      </c>
      <c r="Y3216" s="3">
        <v>17.73</v>
      </c>
    </row>
    <row r="3217" spans="1:25" ht="60.75" x14ac:dyDescent="0.25">
      <c r="A3217" s="3" t="s">
        <v>26</v>
      </c>
      <c r="B3217" s="3" t="s">
        <v>27</v>
      </c>
      <c r="C3217" s="3" t="s">
        <v>28</v>
      </c>
      <c r="D3217" s="3" t="s">
        <v>50</v>
      </c>
      <c r="E3217" s="3" t="s">
        <v>252</v>
      </c>
      <c r="F3217" s="3" t="s">
        <v>52</v>
      </c>
      <c r="G3217" s="3" t="s">
        <v>252</v>
      </c>
      <c r="H3217" s="3" t="s">
        <v>45</v>
      </c>
      <c r="I3217" s="3">
        <v>2025</v>
      </c>
      <c r="J3217" s="3" t="str">
        <f>CONCATENATE("54820120597")</f>
        <v>54820120597</v>
      </c>
      <c r="K3217" s="3" t="s">
        <v>33</v>
      </c>
      <c r="L3217" s="3"/>
      <c r="M3217" s="3" t="s">
        <v>131</v>
      </c>
      <c r="N3217" s="3" t="str">
        <f>CONCATENATE("BRBRST48P01G514K")</f>
        <v>BRBRST48P01G514K</v>
      </c>
      <c r="O3217" s="3" t="s">
        <v>3339</v>
      </c>
      <c r="P3217" s="3" t="s">
        <v>36</v>
      </c>
      <c r="Q3217" s="3"/>
      <c r="R3217" s="4">
        <v>45996</v>
      </c>
      <c r="S3217" s="3" t="s">
        <v>37</v>
      </c>
      <c r="T3217" s="3" t="s">
        <v>38</v>
      </c>
      <c r="U3217" s="3" t="s">
        <v>39</v>
      </c>
      <c r="V3217" s="3">
        <v>107.95</v>
      </c>
      <c r="W3217" s="3">
        <v>45.88</v>
      </c>
      <c r="X3217" s="3">
        <v>43.45</v>
      </c>
      <c r="Y3217" s="3">
        <v>18.62</v>
      </c>
    </row>
    <row r="3218" spans="1:25" ht="60.75" x14ac:dyDescent="0.25">
      <c r="A3218" s="3" t="s">
        <v>26</v>
      </c>
      <c r="B3218" s="3" t="s">
        <v>27</v>
      </c>
      <c r="C3218" s="3" t="s">
        <v>28</v>
      </c>
      <c r="D3218" s="3" t="s">
        <v>50</v>
      </c>
      <c r="E3218" s="3" t="s">
        <v>60</v>
      </c>
      <c r="F3218" s="3" t="s">
        <v>52</v>
      </c>
      <c r="G3218" s="3" t="s">
        <v>60</v>
      </c>
      <c r="H3218" s="3" t="s">
        <v>45</v>
      </c>
      <c r="I3218" s="3">
        <v>2025</v>
      </c>
      <c r="J3218" s="3" t="str">
        <f>CONCATENATE("54820108030")</f>
        <v>54820108030</v>
      </c>
      <c r="K3218" s="3" t="s">
        <v>33</v>
      </c>
      <c r="L3218" s="3"/>
      <c r="M3218" s="3" t="s">
        <v>131</v>
      </c>
      <c r="N3218" s="3" t="str">
        <f>CONCATENATE("BFFSFN70E19G453H")</f>
        <v>BFFSFN70E19G453H</v>
      </c>
      <c r="O3218" s="3" t="s">
        <v>3340</v>
      </c>
      <c r="P3218" s="3" t="s">
        <v>36</v>
      </c>
      <c r="Q3218" s="3"/>
      <c r="R3218" s="4">
        <v>45996</v>
      </c>
      <c r="S3218" s="3" t="s">
        <v>37</v>
      </c>
      <c r="T3218" s="3" t="s">
        <v>38</v>
      </c>
      <c r="U3218" s="3" t="s">
        <v>39</v>
      </c>
      <c r="V3218" s="3">
        <v>204.25</v>
      </c>
      <c r="W3218" s="3">
        <v>86.81</v>
      </c>
      <c r="X3218" s="3">
        <v>82.21</v>
      </c>
      <c r="Y3218" s="3">
        <v>35.229999999999997</v>
      </c>
    </row>
    <row r="3219" spans="1:25" ht="36.75" x14ac:dyDescent="0.25">
      <c r="A3219" s="3" t="s">
        <v>26</v>
      </c>
      <c r="B3219" s="3" t="s">
        <v>27</v>
      </c>
      <c r="C3219" s="3" t="s">
        <v>28</v>
      </c>
      <c r="D3219" s="3" t="s">
        <v>50</v>
      </c>
      <c r="E3219" s="3" t="s">
        <v>60</v>
      </c>
      <c r="F3219" s="3" t="s">
        <v>52</v>
      </c>
      <c r="G3219" s="3" t="s">
        <v>60</v>
      </c>
      <c r="H3219" s="3" t="s">
        <v>45</v>
      </c>
      <c r="I3219" s="3">
        <v>2025</v>
      </c>
      <c r="J3219" s="3" t="str">
        <f>CONCATENATE("54820162128")</f>
        <v>54820162128</v>
      </c>
      <c r="K3219" s="3" t="s">
        <v>33</v>
      </c>
      <c r="L3219" s="3"/>
      <c r="M3219" s="3" t="s">
        <v>131</v>
      </c>
      <c r="N3219" s="3" t="str">
        <f>CONCATENATE("02700360411")</f>
        <v>02700360411</v>
      </c>
      <c r="O3219" s="3" t="s">
        <v>3341</v>
      </c>
      <c r="P3219" s="3" t="s">
        <v>36</v>
      </c>
      <c r="Q3219" s="3"/>
      <c r="R3219" s="4">
        <v>45996</v>
      </c>
      <c r="S3219" s="3" t="s">
        <v>37</v>
      </c>
      <c r="T3219" s="3" t="s">
        <v>38</v>
      </c>
      <c r="U3219" s="3" t="s">
        <v>39</v>
      </c>
      <c r="V3219" s="3">
        <v>209.95</v>
      </c>
      <c r="W3219" s="3">
        <v>89.23</v>
      </c>
      <c r="X3219" s="3">
        <v>84.5</v>
      </c>
      <c r="Y3219" s="3">
        <v>36.22</v>
      </c>
    </row>
    <row r="3220" spans="1:25" ht="60.75" x14ac:dyDescent="0.25">
      <c r="A3220" s="3" t="s">
        <v>26</v>
      </c>
      <c r="B3220" s="3" t="s">
        <v>27</v>
      </c>
      <c r="C3220" s="3" t="s">
        <v>28</v>
      </c>
      <c r="D3220" s="3" t="s">
        <v>29</v>
      </c>
      <c r="E3220" s="3" t="s">
        <v>56</v>
      </c>
      <c r="F3220" s="3" t="s">
        <v>31</v>
      </c>
      <c r="G3220" s="3" t="s">
        <v>56</v>
      </c>
      <c r="H3220" s="3" t="s">
        <v>32</v>
      </c>
      <c r="I3220" s="3">
        <v>2025</v>
      </c>
      <c r="J3220" s="3" t="str">
        <f>CONCATENATE("54820190657")</f>
        <v>54820190657</v>
      </c>
      <c r="K3220" s="3" t="s">
        <v>33</v>
      </c>
      <c r="L3220" s="3"/>
      <c r="M3220" s="3" t="s">
        <v>131</v>
      </c>
      <c r="N3220" s="3" t="str">
        <f>CONCATENATE("SLVMNL92S18I156D")</f>
        <v>SLVMNL92S18I156D</v>
      </c>
      <c r="O3220" s="3" t="s">
        <v>3342</v>
      </c>
      <c r="P3220" s="3" t="s">
        <v>36</v>
      </c>
      <c r="Q3220" s="3"/>
      <c r="R3220" s="4">
        <v>45996</v>
      </c>
      <c r="S3220" s="3" t="s">
        <v>37</v>
      </c>
      <c r="T3220" s="3" t="s">
        <v>38</v>
      </c>
      <c r="U3220" s="3" t="s">
        <v>39</v>
      </c>
      <c r="V3220" s="3">
        <v>760.29</v>
      </c>
      <c r="W3220" s="3">
        <v>323.12</v>
      </c>
      <c r="X3220" s="3">
        <v>306.02</v>
      </c>
      <c r="Y3220" s="3">
        <v>131.15</v>
      </c>
    </row>
    <row r="3221" spans="1:25" ht="60.75" x14ac:dyDescent="0.25">
      <c r="A3221" s="3" t="s">
        <v>26</v>
      </c>
      <c r="B3221" s="3" t="s">
        <v>27</v>
      </c>
      <c r="C3221" s="3" t="s">
        <v>28</v>
      </c>
      <c r="D3221" s="3" t="s">
        <v>29</v>
      </c>
      <c r="E3221" s="3" t="s">
        <v>119</v>
      </c>
      <c r="F3221" s="3" t="s">
        <v>31</v>
      </c>
      <c r="G3221" s="3" t="s">
        <v>119</v>
      </c>
      <c r="H3221" s="3" t="s">
        <v>96</v>
      </c>
      <c r="I3221" s="3">
        <v>2025</v>
      </c>
      <c r="J3221" s="3" t="str">
        <f>CONCATENATE("54820103452")</f>
        <v>54820103452</v>
      </c>
      <c r="K3221" s="3" t="s">
        <v>33</v>
      </c>
      <c r="L3221" s="3"/>
      <c r="M3221" s="3" t="s">
        <v>131</v>
      </c>
      <c r="N3221" s="3" t="str">
        <f>CONCATENATE("LCAGLN59B52C935X")</f>
        <v>LCAGLN59B52C935X</v>
      </c>
      <c r="O3221" s="3" t="s">
        <v>3343</v>
      </c>
      <c r="P3221" s="3" t="s">
        <v>36</v>
      </c>
      <c r="Q3221" s="3"/>
      <c r="R3221" s="4">
        <v>45996</v>
      </c>
      <c r="S3221" s="3" t="s">
        <v>37</v>
      </c>
      <c r="T3221" s="3" t="s">
        <v>38</v>
      </c>
      <c r="U3221" s="3" t="s">
        <v>39</v>
      </c>
      <c r="V3221" s="3">
        <v>271.07</v>
      </c>
      <c r="W3221" s="3">
        <v>115.2</v>
      </c>
      <c r="X3221" s="3">
        <v>109.11</v>
      </c>
      <c r="Y3221" s="3">
        <v>46.76</v>
      </c>
    </row>
    <row r="3222" spans="1:25" ht="60.75" x14ac:dyDescent="0.25">
      <c r="A3222" s="3" t="s">
        <v>26</v>
      </c>
      <c r="B3222" s="3" t="s">
        <v>27</v>
      </c>
      <c r="C3222" s="3" t="s">
        <v>28</v>
      </c>
      <c r="D3222" s="3" t="s">
        <v>50</v>
      </c>
      <c r="E3222" s="3" t="s">
        <v>51</v>
      </c>
      <c r="F3222" s="3" t="s">
        <v>52</v>
      </c>
      <c r="G3222" s="3" t="s">
        <v>51</v>
      </c>
      <c r="H3222" s="3" t="s">
        <v>48</v>
      </c>
      <c r="I3222" s="3">
        <v>2025</v>
      </c>
      <c r="J3222" s="3" t="str">
        <f>CONCATENATE("54820135983")</f>
        <v>54820135983</v>
      </c>
      <c r="K3222" s="3" t="s">
        <v>33</v>
      </c>
      <c r="L3222" s="3"/>
      <c r="M3222" s="3" t="s">
        <v>131</v>
      </c>
      <c r="N3222" s="3" t="str">
        <f>CONCATENATE("FRRSRA58S20I653F")</f>
        <v>FRRSRA58S20I653F</v>
      </c>
      <c r="O3222" s="3" t="s">
        <v>3344</v>
      </c>
      <c r="P3222" s="3" t="s">
        <v>36</v>
      </c>
      <c r="Q3222" s="3"/>
      <c r="R3222" s="4">
        <v>45996</v>
      </c>
      <c r="S3222" s="3" t="s">
        <v>37</v>
      </c>
      <c r="T3222" s="3" t="s">
        <v>38</v>
      </c>
      <c r="U3222" s="3" t="s">
        <v>39</v>
      </c>
      <c r="V3222" s="3">
        <v>234.23</v>
      </c>
      <c r="W3222" s="3">
        <v>99.55</v>
      </c>
      <c r="X3222" s="3">
        <v>94.28</v>
      </c>
      <c r="Y3222" s="3">
        <v>40.4</v>
      </c>
    </row>
    <row r="3223" spans="1:25" ht="60.75" x14ac:dyDescent="0.25">
      <c r="A3223" s="3" t="s">
        <v>26</v>
      </c>
      <c r="B3223" s="3" t="s">
        <v>27</v>
      </c>
      <c r="C3223" s="3" t="s">
        <v>28</v>
      </c>
      <c r="D3223" s="3" t="s">
        <v>50</v>
      </c>
      <c r="E3223" s="3" t="s">
        <v>60</v>
      </c>
      <c r="F3223" s="3" t="s">
        <v>52</v>
      </c>
      <c r="G3223" s="3" t="s">
        <v>60</v>
      </c>
      <c r="H3223" s="3" t="s">
        <v>45</v>
      </c>
      <c r="I3223" s="3">
        <v>2025</v>
      </c>
      <c r="J3223" s="3" t="str">
        <f>CONCATENATE("54820203054")</f>
        <v>54820203054</v>
      </c>
      <c r="K3223" s="3" t="s">
        <v>33</v>
      </c>
      <c r="L3223" s="3"/>
      <c r="M3223" s="3" t="s">
        <v>131</v>
      </c>
      <c r="N3223" s="3" t="str">
        <f>CONCATENATE("MNTLNI47R17A327W")</f>
        <v>MNTLNI47R17A327W</v>
      </c>
      <c r="O3223" s="3" t="s">
        <v>3345</v>
      </c>
      <c r="P3223" s="3" t="s">
        <v>36</v>
      </c>
      <c r="Q3223" s="3"/>
      <c r="R3223" s="4">
        <v>45996</v>
      </c>
      <c r="S3223" s="3" t="s">
        <v>37</v>
      </c>
      <c r="T3223" s="3" t="s">
        <v>38</v>
      </c>
      <c r="U3223" s="3" t="s">
        <v>39</v>
      </c>
      <c r="V3223" s="3">
        <v>667.99</v>
      </c>
      <c r="W3223" s="3">
        <v>283.89999999999998</v>
      </c>
      <c r="X3223" s="3">
        <v>268.87</v>
      </c>
      <c r="Y3223" s="3">
        <v>115.22</v>
      </c>
    </row>
    <row r="3224" spans="1:25" ht="36.75" x14ac:dyDescent="0.25">
      <c r="A3224" s="3" t="s">
        <v>26</v>
      </c>
      <c r="B3224" s="3" t="s">
        <v>27</v>
      </c>
      <c r="C3224" s="3" t="s">
        <v>28</v>
      </c>
      <c r="D3224" s="3" t="s">
        <v>104</v>
      </c>
      <c r="E3224" s="3" t="s">
        <v>141</v>
      </c>
      <c r="F3224" s="3" t="s">
        <v>104</v>
      </c>
      <c r="G3224" s="3" t="s">
        <v>141</v>
      </c>
      <c r="H3224" s="3" t="s">
        <v>96</v>
      </c>
      <c r="I3224" s="3">
        <v>2025</v>
      </c>
      <c r="J3224" s="3" t="str">
        <f>CONCATENATE("54820137377")</f>
        <v>54820137377</v>
      </c>
      <c r="K3224" s="3" t="s">
        <v>33</v>
      </c>
      <c r="L3224" s="3"/>
      <c r="M3224" s="3" t="s">
        <v>131</v>
      </c>
      <c r="N3224" s="3" t="str">
        <f>CONCATENATE("02195370446")</f>
        <v>02195370446</v>
      </c>
      <c r="O3224" s="3" t="s">
        <v>3346</v>
      </c>
      <c r="P3224" s="3" t="s">
        <v>36</v>
      </c>
      <c r="Q3224" s="3"/>
      <c r="R3224" s="4">
        <v>45996</v>
      </c>
      <c r="S3224" s="3" t="s">
        <v>37</v>
      </c>
      <c r="T3224" s="3" t="s">
        <v>38</v>
      </c>
      <c r="U3224" s="3" t="s">
        <v>39</v>
      </c>
      <c r="V3224" s="3">
        <v>235.41</v>
      </c>
      <c r="W3224" s="3">
        <v>100.05</v>
      </c>
      <c r="X3224" s="3">
        <v>94.75</v>
      </c>
      <c r="Y3224" s="3">
        <v>40.61</v>
      </c>
    </row>
    <row r="3225" spans="1:25" ht="60.75" x14ac:dyDescent="0.25">
      <c r="A3225" s="3" t="s">
        <v>26</v>
      </c>
      <c r="B3225" s="3" t="s">
        <v>27</v>
      </c>
      <c r="C3225" s="3" t="s">
        <v>28</v>
      </c>
      <c r="D3225" s="3" t="s">
        <v>29</v>
      </c>
      <c r="E3225" s="3" t="s">
        <v>56</v>
      </c>
      <c r="F3225" s="3" t="s">
        <v>31</v>
      </c>
      <c r="G3225" s="3" t="s">
        <v>56</v>
      </c>
      <c r="H3225" s="3" t="s">
        <v>32</v>
      </c>
      <c r="I3225" s="3">
        <v>2025</v>
      </c>
      <c r="J3225" s="3" t="str">
        <f>CONCATENATE("54820197330")</f>
        <v>54820197330</v>
      </c>
      <c r="K3225" s="3" t="s">
        <v>33</v>
      </c>
      <c r="L3225" s="3"/>
      <c r="M3225" s="3" t="s">
        <v>131</v>
      </c>
      <c r="N3225" s="3" t="str">
        <f>CONCATENATE("SRTGNN84T69B474Q")</f>
        <v>SRTGNN84T69B474Q</v>
      </c>
      <c r="O3225" s="3" t="s">
        <v>3347</v>
      </c>
      <c r="P3225" s="3" t="s">
        <v>36</v>
      </c>
      <c r="Q3225" s="3"/>
      <c r="R3225" s="4">
        <v>45996</v>
      </c>
      <c r="S3225" s="3" t="s">
        <v>37</v>
      </c>
      <c r="T3225" s="3" t="s">
        <v>38</v>
      </c>
      <c r="U3225" s="3" t="s">
        <v>39</v>
      </c>
      <c r="V3225" s="3">
        <v>134.63</v>
      </c>
      <c r="W3225" s="3">
        <v>57.22</v>
      </c>
      <c r="X3225" s="3">
        <v>54.19</v>
      </c>
      <c r="Y3225" s="3">
        <v>23.22</v>
      </c>
    </row>
    <row r="3226" spans="1:25" ht="72.75" x14ac:dyDescent="0.25">
      <c r="A3226" s="3" t="s">
        <v>26</v>
      </c>
      <c r="B3226" s="3" t="s">
        <v>27</v>
      </c>
      <c r="C3226" s="3" t="s">
        <v>28</v>
      </c>
      <c r="D3226" s="3" t="s">
        <v>29</v>
      </c>
      <c r="E3226" s="3" t="s">
        <v>56</v>
      </c>
      <c r="F3226" s="3" t="s">
        <v>31</v>
      </c>
      <c r="G3226" s="3" t="s">
        <v>56</v>
      </c>
      <c r="H3226" s="3" t="s">
        <v>32</v>
      </c>
      <c r="I3226" s="3">
        <v>2025</v>
      </c>
      <c r="J3226" s="3" t="str">
        <f>CONCATENATE("54820122858")</f>
        <v>54820122858</v>
      </c>
      <c r="K3226" s="3" t="s">
        <v>33</v>
      </c>
      <c r="L3226" s="3"/>
      <c r="M3226" s="3" t="s">
        <v>131</v>
      </c>
      <c r="N3226" s="3" t="str">
        <f>CONCATENATE("RCCNTN83M01B474R")</f>
        <v>RCCNTN83M01B474R</v>
      </c>
      <c r="O3226" s="3" t="s">
        <v>3348</v>
      </c>
      <c r="P3226" s="3" t="s">
        <v>36</v>
      </c>
      <c r="Q3226" s="3"/>
      <c r="R3226" s="4">
        <v>45996</v>
      </c>
      <c r="S3226" s="3" t="s">
        <v>37</v>
      </c>
      <c r="T3226" s="3" t="s">
        <v>38</v>
      </c>
      <c r="U3226" s="3" t="s">
        <v>39</v>
      </c>
      <c r="V3226" s="3">
        <v>297.70999999999998</v>
      </c>
      <c r="W3226" s="3">
        <v>126.53</v>
      </c>
      <c r="X3226" s="3">
        <v>119.83</v>
      </c>
      <c r="Y3226" s="3">
        <v>51.35</v>
      </c>
    </row>
    <row r="3227" spans="1:25" ht="60.75" x14ac:dyDescent="0.25">
      <c r="A3227" s="3" t="s">
        <v>26</v>
      </c>
      <c r="B3227" s="3" t="s">
        <v>27</v>
      </c>
      <c r="C3227" s="3" t="s">
        <v>28</v>
      </c>
      <c r="D3227" s="3" t="s">
        <v>50</v>
      </c>
      <c r="E3227" s="3" t="s">
        <v>147</v>
      </c>
      <c r="F3227" s="3" t="s">
        <v>52</v>
      </c>
      <c r="G3227" s="3" t="s">
        <v>147</v>
      </c>
      <c r="H3227" s="3" t="s">
        <v>45</v>
      </c>
      <c r="I3227" s="3">
        <v>2025</v>
      </c>
      <c r="J3227" s="3" t="str">
        <f>CONCATENATE("54820161252")</f>
        <v>54820161252</v>
      </c>
      <c r="K3227" s="3" t="s">
        <v>33</v>
      </c>
      <c r="L3227" s="3"/>
      <c r="M3227" s="3" t="s">
        <v>131</v>
      </c>
      <c r="N3227" s="3" t="str">
        <f>CONCATENATE("ZPPGPP48T18L500L")</f>
        <v>ZPPGPP48T18L500L</v>
      </c>
      <c r="O3227" s="3" t="s">
        <v>3349</v>
      </c>
      <c r="P3227" s="3" t="s">
        <v>36</v>
      </c>
      <c r="Q3227" s="3"/>
      <c r="R3227" s="4">
        <v>45996</v>
      </c>
      <c r="S3227" s="3" t="s">
        <v>37</v>
      </c>
      <c r="T3227" s="3" t="s">
        <v>38</v>
      </c>
      <c r="U3227" s="3" t="s">
        <v>39</v>
      </c>
      <c r="V3227" s="3">
        <v>60.83</v>
      </c>
      <c r="W3227" s="3">
        <v>25.85</v>
      </c>
      <c r="X3227" s="3">
        <v>24.48</v>
      </c>
      <c r="Y3227" s="3">
        <v>10.5</v>
      </c>
    </row>
    <row r="3228" spans="1:25" ht="60.75" x14ac:dyDescent="0.25">
      <c r="A3228" s="3" t="s">
        <v>26</v>
      </c>
      <c r="B3228" s="3" t="s">
        <v>27</v>
      </c>
      <c r="C3228" s="3" t="s">
        <v>28</v>
      </c>
      <c r="D3228" s="3" t="s">
        <v>104</v>
      </c>
      <c r="E3228" s="3" t="s">
        <v>141</v>
      </c>
      <c r="F3228" s="3" t="s">
        <v>104</v>
      </c>
      <c r="G3228" s="3" t="s">
        <v>141</v>
      </c>
      <c r="H3228" s="3" t="s">
        <v>96</v>
      </c>
      <c r="I3228" s="3">
        <v>2025</v>
      </c>
      <c r="J3228" s="3" t="str">
        <f>CONCATENATE("54820136650")</f>
        <v>54820136650</v>
      </c>
      <c r="K3228" s="3" t="s">
        <v>33</v>
      </c>
      <c r="L3228" s="3"/>
      <c r="M3228" s="3" t="s">
        <v>131</v>
      </c>
      <c r="N3228" s="3" t="str">
        <f>CONCATENATE("RSNVTR37B55F570A")</f>
        <v>RSNVTR37B55F570A</v>
      </c>
      <c r="O3228" s="3" t="s">
        <v>3350</v>
      </c>
      <c r="P3228" s="3" t="s">
        <v>36</v>
      </c>
      <c r="Q3228" s="3"/>
      <c r="R3228" s="4">
        <v>45996</v>
      </c>
      <c r="S3228" s="3" t="s">
        <v>37</v>
      </c>
      <c r="T3228" s="3" t="s">
        <v>38</v>
      </c>
      <c r="U3228" s="3" t="s">
        <v>39</v>
      </c>
      <c r="V3228" s="3">
        <v>147.36000000000001</v>
      </c>
      <c r="W3228" s="3">
        <v>62.63</v>
      </c>
      <c r="X3228" s="3">
        <v>59.31</v>
      </c>
      <c r="Y3228" s="3">
        <v>25.42</v>
      </c>
    </row>
    <row r="3229" spans="1:25" ht="60.75" x14ac:dyDescent="0.25">
      <c r="A3229" s="3" t="s">
        <v>26</v>
      </c>
      <c r="B3229" s="3" t="s">
        <v>27</v>
      </c>
      <c r="C3229" s="3" t="s">
        <v>28</v>
      </c>
      <c r="D3229" s="3" t="s">
        <v>50</v>
      </c>
      <c r="E3229" s="3" t="s">
        <v>60</v>
      </c>
      <c r="F3229" s="3" t="s">
        <v>52</v>
      </c>
      <c r="G3229" s="3" t="s">
        <v>60</v>
      </c>
      <c r="H3229" s="3" t="s">
        <v>45</v>
      </c>
      <c r="I3229" s="3">
        <v>2025</v>
      </c>
      <c r="J3229" s="3" t="str">
        <f>CONCATENATE("54820124870")</f>
        <v>54820124870</v>
      </c>
      <c r="K3229" s="3" t="s">
        <v>33</v>
      </c>
      <c r="L3229" s="3"/>
      <c r="M3229" s="3" t="s">
        <v>131</v>
      </c>
      <c r="N3229" s="3" t="str">
        <f>CONCATENATE("FRRNLL60B51B352A")</f>
        <v>FRRNLL60B51B352A</v>
      </c>
      <c r="O3229" s="3" t="s">
        <v>3351</v>
      </c>
      <c r="P3229" s="3" t="s">
        <v>36</v>
      </c>
      <c r="Q3229" s="3"/>
      <c r="R3229" s="4">
        <v>45996</v>
      </c>
      <c r="S3229" s="3" t="s">
        <v>37</v>
      </c>
      <c r="T3229" s="3" t="s">
        <v>38</v>
      </c>
      <c r="U3229" s="3" t="s">
        <v>39</v>
      </c>
      <c r="V3229" s="3">
        <v>235.69</v>
      </c>
      <c r="W3229" s="3">
        <v>100.17</v>
      </c>
      <c r="X3229" s="3">
        <v>94.87</v>
      </c>
      <c r="Y3229" s="3">
        <v>40.65</v>
      </c>
    </row>
    <row r="3230" spans="1:25" ht="60.75" x14ac:dyDescent="0.25">
      <c r="A3230" s="3" t="s">
        <v>26</v>
      </c>
      <c r="B3230" s="3" t="s">
        <v>27</v>
      </c>
      <c r="C3230" s="3" t="s">
        <v>28</v>
      </c>
      <c r="D3230" s="3" t="s">
        <v>50</v>
      </c>
      <c r="E3230" s="3" t="s">
        <v>51</v>
      </c>
      <c r="F3230" s="3" t="s">
        <v>52</v>
      </c>
      <c r="G3230" s="3" t="s">
        <v>51</v>
      </c>
      <c r="H3230" s="3" t="s">
        <v>48</v>
      </c>
      <c r="I3230" s="3">
        <v>2025</v>
      </c>
      <c r="J3230" s="3" t="str">
        <f>CONCATENATE("54820193313")</f>
        <v>54820193313</v>
      </c>
      <c r="K3230" s="3" t="s">
        <v>33</v>
      </c>
      <c r="L3230" s="3"/>
      <c r="M3230" s="3" t="s">
        <v>131</v>
      </c>
      <c r="N3230" s="3" t="str">
        <f>CONCATENATE("CPTFRC87L22E388U")</f>
        <v>CPTFRC87L22E388U</v>
      </c>
      <c r="O3230" s="3" t="s">
        <v>3352</v>
      </c>
      <c r="P3230" s="3" t="s">
        <v>36</v>
      </c>
      <c r="Q3230" s="3"/>
      <c r="R3230" s="4">
        <v>45996</v>
      </c>
      <c r="S3230" s="3" t="s">
        <v>37</v>
      </c>
      <c r="T3230" s="3" t="s">
        <v>38</v>
      </c>
      <c r="U3230" s="3" t="s">
        <v>39</v>
      </c>
      <c r="V3230" s="3">
        <v>187.7</v>
      </c>
      <c r="W3230" s="3">
        <v>79.77</v>
      </c>
      <c r="X3230" s="3">
        <v>75.55</v>
      </c>
      <c r="Y3230" s="3">
        <v>32.380000000000003</v>
      </c>
    </row>
    <row r="3231" spans="1:25" ht="60.75" x14ac:dyDescent="0.25">
      <c r="A3231" s="3" t="s">
        <v>26</v>
      </c>
      <c r="B3231" s="3" t="s">
        <v>27</v>
      </c>
      <c r="C3231" s="3" t="s">
        <v>28</v>
      </c>
      <c r="D3231" s="3" t="s">
        <v>50</v>
      </c>
      <c r="E3231" s="3" t="s">
        <v>252</v>
      </c>
      <c r="F3231" s="3" t="s">
        <v>52</v>
      </c>
      <c r="G3231" s="3" t="s">
        <v>252</v>
      </c>
      <c r="H3231" s="3" t="s">
        <v>45</v>
      </c>
      <c r="I3231" s="3">
        <v>2025</v>
      </c>
      <c r="J3231" s="3" t="str">
        <f>CONCATENATE("54820121348")</f>
        <v>54820121348</v>
      </c>
      <c r="K3231" s="3" t="s">
        <v>33</v>
      </c>
      <c r="L3231" s="3"/>
      <c r="M3231" s="3" t="s">
        <v>131</v>
      </c>
      <c r="N3231" s="3" t="str">
        <f>CONCATENATE("LLGCTT64R44D749U")</f>
        <v>LLGCTT64R44D749U</v>
      </c>
      <c r="O3231" s="3" t="s">
        <v>3353</v>
      </c>
      <c r="P3231" s="3" t="s">
        <v>36</v>
      </c>
      <c r="Q3231" s="3"/>
      <c r="R3231" s="4">
        <v>45996</v>
      </c>
      <c r="S3231" s="3" t="s">
        <v>37</v>
      </c>
      <c r="T3231" s="3" t="s">
        <v>38</v>
      </c>
      <c r="U3231" s="3" t="s">
        <v>39</v>
      </c>
      <c r="V3231" s="3">
        <v>104.4</v>
      </c>
      <c r="W3231" s="3">
        <v>44.37</v>
      </c>
      <c r="X3231" s="3">
        <v>42.02</v>
      </c>
      <c r="Y3231" s="3">
        <v>18.010000000000002</v>
      </c>
    </row>
    <row r="3232" spans="1:25" ht="60.75" x14ac:dyDescent="0.25">
      <c r="A3232" s="3" t="s">
        <v>26</v>
      </c>
      <c r="B3232" s="3" t="s">
        <v>27</v>
      </c>
      <c r="C3232" s="3" t="s">
        <v>28</v>
      </c>
      <c r="D3232" s="3" t="s">
        <v>50</v>
      </c>
      <c r="E3232" s="3" t="s">
        <v>60</v>
      </c>
      <c r="F3232" s="3" t="s">
        <v>52</v>
      </c>
      <c r="G3232" s="3" t="s">
        <v>60</v>
      </c>
      <c r="H3232" s="3" t="s">
        <v>45</v>
      </c>
      <c r="I3232" s="3">
        <v>2025</v>
      </c>
      <c r="J3232" s="3" t="str">
        <f>CONCATENATE("54820149323")</f>
        <v>54820149323</v>
      </c>
      <c r="K3232" s="3" t="s">
        <v>33</v>
      </c>
      <c r="L3232" s="3"/>
      <c r="M3232" s="3" t="s">
        <v>131</v>
      </c>
      <c r="N3232" s="3" t="str">
        <f>CONCATENATE("TRVLCU98L29L500C")</f>
        <v>TRVLCU98L29L500C</v>
      </c>
      <c r="O3232" s="3" t="s">
        <v>3354</v>
      </c>
      <c r="P3232" s="3" t="s">
        <v>36</v>
      </c>
      <c r="Q3232" s="3"/>
      <c r="R3232" s="4">
        <v>45996</v>
      </c>
      <c r="S3232" s="3" t="s">
        <v>37</v>
      </c>
      <c r="T3232" s="3" t="s">
        <v>38</v>
      </c>
      <c r="U3232" s="3" t="s">
        <v>39</v>
      </c>
      <c r="V3232" s="3">
        <v>185.26</v>
      </c>
      <c r="W3232" s="3">
        <v>78.739999999999995</v>
      </c>
      <c r="X3232" s="3">
        <v>74.569999999999993</v>
      </c>
      <c r="Y3232" s="3">
        <v>31.95</v>
      </c>
    </row>
    <row r="3233" spans="1:25" ht="72.75" x14ac:dyDescent="0.25">
      <c r="A3233" s="3" t="s">
        <v>26</v>
      </c>
      <c r="B3233" s="3" t="s">
        <v>27</v>
      </c>
      <c r="C3233" s="3" t="s">
        <v>28</v>
      </c>
      <c r="D3233" s="3" t="s">
        <v>50</v>
      </c>
      <c r="E3233" s="3" t="s">
        <v>60</v>
      </c>
      <c r="F3233" s="3" t="s">
        <v>52</v>
      </c>
      <c r="G3233" s="3" t="s">
        <v>60</v>
      </c>
      <c r="H3233" s="3" t="s">
        <v>45</v>
      </c>
      <c r="I3233" s="3">
        <v>2025</v>
      </c>
      <c r="J3233" s="3" t="str">
        <f>CONCATENATE("54820193446")</f>
        <v>54820193446</v>
      </c>
      <c r="K3233" s="3" t="s">
        <v>33</v>
      </c>
      <c r="L3233" s="3"/>
      <c r="M3233" s="3" t="s">
        <v>131</v>
      </c>
      <c r="N3233" s="3" t="str">
        <f>CONCATENATE("GLNNRC73D18D007H")</f>
        <v>GLNNRC73D18D007H</v>
      </c>
      <c r="O3233" s="3" t="s">
        <v>3355</v>
      </c>
      <c r="P3233" s="3" t="s">
        <v>36</v>
      </c>
      <c r="Q3233" s="3"/>
      <c r="R3233" s="4">
        <v>45996</v>
      </c>
      <c r="S3233" s="3" t="s">
        <v>37</v>
      </c>
      <c r="T3233" s="3" t="s">
        <v>38</v>
      </c>
      <c r="U3233" s="3" t="s">
        <v>39</v>
      </c>
      <c r="V3233" s="3">
        <v>69.45</v>
      </c>
      <c r="W3233" s="3">
        <v>29.52</v>
      </c>
      <c r="X3233" s="3">
        <v>27.95</v>
      </c>
      <c r="Y3233" s="3">
        <v>11.98</v>
      </c>
    </row>
    <row r="3234" spans="1:25" ht="36.75" x14ac:dyDescent="0.25">
      <c r="A3234" s="3" t="s">
        <v>26</v>
      </c>
      <c r="B3234" s="3" t="s">
        <v>27</v>
      </c>
      <c r="C3234" s="3" t="s">
        <v>28</v>
      </c>
      <c r="D3234" s="3" t="s">
        <v>91</v>
      </c>
      <c r="E3234" s="3" t="s">
        <v>92</v>
      </c>
      <c r="F3234" s="3" t="s">
        <v>93</v>
      </c>
      <c r="G3234" s="3" t="s">
        <v>92</v>
      </c>
      <c r="H3234" s="3" t="s">
        <v>48</v>
      </c>
      <c r="I3234" s="3">
        <v>2025</v>
      </c>
      <c r="J3234" s="3" t="str">
        <f>CONCATENATE("54820160601")</f>
        <v>54820160601</v>
      </c>
      <c r="K3234" s="3" t="s">
        <v>33</v>
      </c>
      <c r="L3234" s="3"/>
      <c r="M3234" s="3" t="s">
        <v>131</v>
      </c>
      <c r="N3234" s="3" t="str">
        <f>CONCATENATE("02840440420")</f>
        <v>02840440420</v>
      </c>
      <c r="O3234" s="3" t="s">
        <v>3356</v>
      </c>
      <c r="P3234" s="3" t="s">
        <v>36</v>
      </c>
      <c r="Q3234" s="3"/>
      <c r="R3234" s="4">
        <v>45996</v>
      </c>
      <c r="S3234" s="3" t="s">
        <v>37</v>
      </c>
      <c r="T3234" s="3" t="s">
        <v>38</v>
      </c>
      <c r="U3234" s="3" t="s">
        <v>39</v>
      </c>
      <c r="V3234" s="5">
        <v>1123.58</v>
      </c>
      <c r="W3234" s="3">
        <v>477.52</v>
      </c>
      <c r="X3234" s="3">
        <v>452.24</v>
      </c>
      <c r="Y3234" s="3">
        <v>193.82</v>
      </c>
    </row>
    <row r="3235" spans="1:25" ht="60.75" x14ac:dyDescent="0.25">
      <c r="A3235" s="3" t="s">
        <v>26</v>
      </c>
      <c r="B3235" s="3" t="s">
        <v>27</v>
      </c>
      <c r="C3235" s="3" t="s">
        <v>28</v>
      </c>
      <c r="D3235" s="3" t="s">
        <v>464</v>
      </c>
      <c r="E3235" s="3" t="s">
        <v>465</v>
      </c>
      <c r="F3235" s="3" t="s">
        <v>466</v>
      </c>
      <c r="G3235" s="3" t="s">
        <v>465</v>
      </c>
      <c r="H3235" s="3" t="s">
        <v>96</v>
      </c>
      <c r="I3235" s="3">
        <v>2025</v>
      </c>
      <c r="J3235" s="3" t="str">
        <f>CONCATENATE("54820192661")</f>
        <v>54820192661</v>
      </c>
      <c r="K3235" s="3" t="s">
        <v>33</v>
      </c>
      <c r="L3235" s="3"/>
      <c r="M3235" s="3" t="s">
        <v>131</v>
      </c>
      <c r="N3235" s="3" t="str">
        <f>CONCATENATE("RSNGPP41R62A462P")</f>
        <v>RSNGPP41R62A462P</v>
      </c>
      <c r="O3235" s="3" t="s">
        <v>3357</v>
      </c>
      <c r="P3235" s="3" t="s">
        <v>36</v>
      </c>
      <c r="Q3235" s="3"/>
      <c r="R3235" s="4">
        <v>45996</v>
      </c>
      <c r="S3235" s="3" t="s">
        <v>37</v>
      </c>
      <c r="T3235" s="3" t="s">
        <v>38</v>
      </c>
      <c r="U3235" s="3" t="s">
        <v>39</v>
      </c>
      <c r="V3235" s="3">
        <v>73.3</v>
      </c>
      <c r="W3235" s="3">
        <v>31.15</v>
      </c>
      <c r="X3235" s="3">
        <v>29.5</v>
      </c>
      <c r="Y3235" s="3">
        <v>12.65</v>
      </c>
    </row>
    <row r="3236" spans="1:25" ht="60.75" x14ac:dyDescent="0.25">
      <c r="A3236" s="3" t="s">
        <v>26</v>
      </c>
      <c r="B3236" s="3" t="s">
        <v>27</v>
      </c>
      <c r="C3236" s="3" t="s">
        <v>28</v>
      </c>
      <c r="D3236" s="3" t="s">
        <v>50</v>
      </c>
      <c r="E3236" s="3" t="s">
        <v>60</v>
      </c>
      <c r="F3236" s="3" t="s">
        <v>52</v>
      </c>
      <c r="G3236" s="3" t="s">
        <v>60</v>
      </c>
      <c r="H3236" s="3" t="s">
        <v>45</v>
      </c>
      <c r="I3236" s="3">
        <v>2025</v>
      </c>
      <c r="J3236" s="3" t="str">
        <f>CONCATENATE("54820105168")</f>
        <v>54820105168</v>
      </c>
      <c r="K3236" s="3" t="s">
        <v>33</v>
      </c>
      <c r="L3236" s="3"/>
      <c r="M3236" s="3" t="s">
        <v>131</v>
      </c>
      <c r="N3236" s="3" t="str">
        <f>CONCATENATE("BCCMTT83C21G453E")</f>
        <v>BCCMTT83C21G453E</v>
      </c>
      <c r="O3236" s="3" t="s">
        <v>3358</v>
      </c>
      <c r="P3236" s="3" t="s">
        <v>36</v>
      </c>
      <c r="Q3236" s="3"/>
      <c r="R3236" s="4">
        <v>45996</v>
      </c>
      <c r="S3236" s="3" t="s">
        <v>37</v>
      </c>
      <c r="T3236" s="3" t="s">
        <v>38</v>
      </c>
      <c r="U3236" s="3" t="s">
        <v>39</v>
      </c>
      <c r="V3236" s="3">
        <v>52.12</v>
      </c>
      <c r="W3236" s="3">
        <v>22.15</v>
      </c>
      <c r="X3236" s="3">
        <v>20.98</v>
      </c>
      <c r="Y3236" s="3">
        <v>8.99</v>
      </c>
    </row>
    <row r="3237" spans="1:25" ht="60.75" x14ac:dyDescent="0.25">
      <c r="A3237" s="3" t="s">
        <v>26</v>
      </c>
      <c r="B3237" s="3" t="s">
        <v>27</v>
      </c>
      <c r="C3237" s="3" t="s">
        <v>28</v>
      </c>
      <c r="D3237" s="3" t="s">
        <v>91</v>
      </c>
      <c r="E3237" s="3" t="s">
        <v>92</v>
      </c>
      <c r="F3237" s="3" t="s">
        <v>93</v>
      </c>
      <c r="G3237" s="3" t="s">
        <v>92</v>
      </c>
      <c r="H3237" s="3" t="s">
        <v>32</v>
      </c>
      <c r="I3237" s="3">
        <v>2025</v>
      </c>
      <c r="J3237" s="3" t="str">
        <f>CONCATENATE("54820136999")</f>
        <v>54820136999</v>
      </c>
      <c r="K3237" s="3" t="s">
        <v>33</v>
      </c>
      <c r="L3237" s="3"/>
      <c r="M3237" s="3" t="s">
        <v>131</v>
      </c>
      <c r="N3237" s="3" t="str">
        <f>CONCATENATE("BLNMRA64C43H440D")</f>
        <v>BLNMRA64C43H440D</v>
      </c>
      <c r="O3237" s="3" t="s">
        <v>3359</v>
      </c>
      <c r="P3237" s="3" t="s">
        <v>36</v>
      </c>
      <c r="Q3237" s="3"/>
      <c r="R3237" s="4">
        <v>45996</v>
      </c>
      <c r="S3237" s="3" t="s">
        <v>37</v>
      </c>
      <c r="T3237" s="3" t="s">
        <v>38</v>
      </c>
      <c r="U3237" s="3" t="s">
        <v>39</v>
      </c>
      <c r="V3237" s="5">
        <v>1054.69</v>
      </c>
      <c r="W3237" s="3">
        <v>448.24</v>
      </c>
      <c r="X3237" s="3">
        <v>424.51</v>
      </c>
      <c r="Y3237" s="3">
        <v>181.94</v>
      </c>
    </row>
    <row r="3238" spans="1:25" ht="60.75" x14ac:dyDescent="0.25">
      <c r="A3238" s="3" t="s">
        <v>26</v>
      </c>
      <c r="B3238" s="3" t="s">
        <v>27</v>
      </c>
      <c r="C3238" s="3" t="s">
        <v>28</v>
      </c>
      <c r="D3238" s="3" t="s">
        <v>50</v>
      </c>
      <c r="E3238" s="3" t="s">
        <v>147</v>
      </c>
      <c r="F3238" s="3" t="s">
        <v>52</v>
      </c>
      <c r="G3238" s="3" t="s">
        <v>147</v>
      </c>
      <c r="H3238" s="3" t="s">
        <v>45</v>
      </c>
      <c r="I3238" s="3">
        <v>2025</v>
      </c>
      <c r="J3238" s="3" t="str">
        <f>CONCATENATE("54820161310")</f>
        <v>54820161310</v>
      </c>
      <c r="K3238" s="3" t="s">
        <v>33</v>
      </c>
      <c r="L3238" s="3"/>
      <c r="M3238" s="3" t="s">
        <v>131</v>
      </c>
      <c r="N3238" s="3" t="str">
        <f>CONCATENATE("PNDVSC59D06L500X")</f>
        <v>PNDVSC59D06L500X</v>
      </c>
      <c r="O3238" s="3" t="s">
        <v>3360</v>
      </c>
      <c r="P3238" s="3" t="s">
        <v>36</v>
      </c>
      <c r="Q3238" s="3"/>
      <c r="R3238" s="4">
        <v>45996</v>
      </c>
      <c r="S3238" s="3" t="s">
        <v>37</v>
      </c>
      <c r="T3238" s="3" t="s">
        <v>38</v>
      </c>
      <c r="U3238" s="3" t="s">
        <v>39</v>
      </c>
      <c r="V3238" s="3">
        <v>356.56</v>
      </c>
      <c r="W3238" s="3">
        <v>151.54</v>
      </c>
      <c r="X3238" s="3">
        <v>143.52000000000001</v>
      </c>
      <c r="Y3238" s="3">
        <v>61.5</v>
      </c>
    </row>
    <row r="3239" spans="1:25" ht="60.75" x14ac:dyDescent="0.25">
      <c r="A3239" s="3" t="s">
        <v>26</v>
      </c>
      <c r="B3239" s="3" t="s">
        <v>27</v>
      </c>
      <c r="C3239" s="3" t="s">
        <v>28</v>
      </c>
      <c r="D3239" s="3" t="s">
        <v>50</v>
      </c>
      <c r="E3239" s="3" t="s">
        <v>60</v>
      </c>
      <c r="F3239" s="3" t="s">
        <v>52</v>
      </c>
      <c r="G3239" s="3" t="s">
        <v>60</v>
      </c>
      <c r="H3239" s="3" t="s">
        <v>45</v>
      </c>
      <c r="I3239" s="3">
        <v>2025</v>
      </c>
      <c r="J3239" s="3" t="str">
        <f>CONCATENATE("54820137666")</f>
        <v>54820137666</v>
      </c>
      <c r="K3239" s="3" t="s">
        <v>33</v>
      </c>
      <c r="L3239" s="3"/>
      <c r="M3239" s="3" t="s">
        <v>131</v>
      </c>
      <c r="N3239" s="3" t="str">
        <f>CONCATENATE("RPLDRN58H61G453S")</f>
        <v>RPLDRN58H61G453S</v>
      </c>
      <c r="O3239" s="3" t="s">
        <v>3361</v>
      </c>
      <c r="P3239" s="3" t="s">
        <v>36</v>
      </c>
      <c r="Q3239" s="3"/>
      <c r="R3239" s="4">
        <v>45996</v>
      </c>
      <c r="S3239" s="3" t="s">
        <v>37</v>
      </c>
      <c r="T3239" s="3" t="s">
        <v>38</v>
      </c>
      <c r="U3239" s="3" t="s">
        <v>39</v>
      </c>
      <c r="V3239" s="3">
        <v>594.9</v>
      </c>
      <c r="W3239" s="3">
        <v>252.83</v>
      </c>
      <c r="X3239" s="3">
        <v>239.45</v>
      </c>
      <c r="Y3239" s="3">
        <v>102.62</v>
      </c>
    </row>
    <row r="3240" spans="1:25" ht="60.75" x14ac:dyDescent="0.25">
      <c r="A3240" s="3" t="s">
        <v>26</v>
      </c>
      <c r="B3240" s="3" t="s">
        <v>27</v>
      </c>
      <c r="C3240" s="3" t="s">
        <v>28</v>
      </c>
      <c r="D3240" s="3" t="s">
        <v>29</v>
      </c>
      <c r="E3240" s="3" t="s">
        <v>136</v>
      </c>
      <c r="F3240" s="3" t="s">
        <v>31</v>
      </c>
      <c r="G3240" s="3" t="s">
        <v>136</v>
      </c>
      <c r="H3240" s="3" t="s">
        <v>48</v>
      </c>
      <c r="I3240" s="3">
        <v>2025</v>
      </c>
      <c r="J3240" s="3" t="str">
        <f>CONCATENATE("54820151519")</f>
        <v>54820151519</v>
      </c>
      <c r="K3240" s="3" t="s">
        <v>33</v>
      </c>
      <c r="L3240" s="3"/>
      <c r="M3240" s="3" t="s">
        <v>131</v>
      </c>
      <c r="N3240" s="3" t="str">
        <f>CONCATENATE("TTVTRS52R45I461V")</f>
        <v>TTVTRS52R45I461V</v>
      </c>
      <c r="O3240" s="3" t="s">
        <v>3362</v>
      </c>
      <c r="P3240" s="3" t="s">
        <v>36</v>
      </c>
      <c r="Q3240" s="3"/>
      <c r="R3240" s="4">
        <v>45996</v>
      </c>
      <c r="S3240" s="3" t="s">
        <v>37</v>
      </c>
      <c r="T3240" s="3" t="s">
        <v>38</v>
      </c>
      <c r="U3240" s="3" t="s">
        <v>39</v>
      </c>
      <c r="V3240" s="3">
        <v>476.2</v>
      </c>
      <c r="W3240" s="3">
        <v>202.39</v>
      </c>
      <c r="X3240" s="3">
        <v>191.67</v>
      </c>
      <c r="Y3240" s="3">
        <v>82.14</v>
      </c>
    </row>
    <row r="3241" spans="1:25" ht="60.75" x14ac:dyDescent="0.25">
      <c r="A3241" s="3" t="s">
        <v>26</v>
      </c>
      <c r="B3241" s="3" t="s">
        <v>27</v>
      </c>
      <c r="C3241" s="3" t="s">
        <v>28</v>
      </c>
      <c r="D3241" s="3" t="s">
        <v>50</v>
      </c>
      <c r="E3241" s="3" t="s">
        <v>252</v>
      </c>
      <c r="F3241" s="3" t="s">
        <v>52</v>
      </c>
      <c r="G3241" s="3" t="s">
        <v>252</v>
      </c>
      <c r="H3241" s="3" t="s">
        <v>45</v>
      </c>
      <c r="I3241" s="3">
        <v>2025</v>
      </c>
      <c r="J3241" s="3" t="str">
        <f>CONCATENATE("54820162292")</f>
        <v>54820162292</v>
      </c>
      <c r="K3241" s="3" t="s">
        <v>33</v>
      </c>
      <c r="L3241" s="3"/>
      <c r="M3241" s="3" t="s">
        <v>131</v>
      </c>
      <c r="N3241" s="3" t="str">
        <f>CONCATENATE("CPRPRZ66C63D749E")</f>
        <v>CPRPRZ66C63D749E</v>
      </c>
      <c r="O3241" s="3" t="s">
        <v>3363</v>
      </c>
      <c r="P3241" s="3" t="s">
        <v>36</v>
      </c>
      <c r="Q3241" s="3"/>
      <c r="R3241" s="4">
        <v>45996</v>
      </c>
      <c r="S3241" s="3" t="s">
        <v>37</v>
      </c>
      <c r="T3241" s="3" t="s">
        <v>38</v>
      </c>
      <c r="U3241" s="3" t="s">
        <v>39</v>
      </c>
      <c r="V3241" s="3">
        <v>153.26</v>
      </c>
      <c r="W3241" s="3">
        <v>65.14</v>
      </c>
      <c r="X3241" s="3">
        <v>61.69</v>
      </c>
      <c r="Y3241" s="3">
        <v>26.43</v>
      </c>
    </row>
    <row r="3242" spans="1:25" ht="72.75" x14ac:dyDescent="0.25">
      <c r="A3242" s="3" t="s">
        <v>26</v>
      </c>
      <c r="B3242" s="3" t="s">
        <v>27</v>
      </c>
      <c r="C3242" s="3" t="s">
        <v>28</v>
      </c>
      <c r="D3242" s="3" t="s">
        <v>50</v>
      </c>
      <c r="E3242" s="3" t="s">
        <v>51</v>
      </c>
      <c r="F3242" s="3" t="s">
        <v>52</v>
      </c>
      <c r="G3242" s="3" t="s">
        <v>51</v>
      </c>
      <c r="H3242" s="3" t="s">
        <v>48</v>
      </c>
      <c r="I3242" s="3">
        <v>2025</v>
      </c>
      <c r="J3242" s="3" t="str">
        <f>CONCATENATE("54820197728")</f>
        <v>54820197728</v>
      </c>
      <c r="K3242" s="3" t="s">
        <v>33</v>
      </c>
      <c r="L3242" s="3"/>
      <c r="M3242" s="3" t="s">
        <v>131</v>
      </c>
      <c r="N3242" s="3" t="str">
        <f>CONCATENATE("STLMSM63D22A462T")</f>
        <v>STLMSM63D22A462T</v>
      </c>
      <c r="O3242" s="3" t="s">
        <v>3364</v>
      </c>
      <c r="P3242" s="3" t="s">
        <v>36</v>
      </c>
      <c r="Q3242" s="3"/>
      <c r="R3242" s="4">
        <v>45996</v>
      </c>
      <c r="S3242" s="3" t="s">
        <v>37</v>
      </c>
      <c r="T3242" s="3" t="s">
        <v>38</v>
      </c>
      <c r="U3242" s="3" t="s">
        <v>39</v>
      </c>
      <c r="V3242" s="3">
        <v>228.88</v>
      </c>
      <c r="W3242" s="3">
        <v>97.27</v>
      </c>
      <c r="X3242" s="3">
        <v>92.12</v>
      </c>
      <c r="Y3242" s="3">
        <v>39.49</v>
      </c>
    </row>
    <row r="3243" spans="1:25" ht="60.75" x14ac:dyDescent="0.25">
      <c r="A3243" s="3" t="s">
        <v>26</v>
      </c>
      <c r="B3243" s="3" t="s">
        <v>27</v>
      </c>
      <c r="C3243" s="3" t="s">
        <v>28</v>
      </c>
      <c r="D3243" s="3" t="s">
        <v>29</v>
      </c>
      <c r="E3243" s="3" t="s">
        <v>47</v>
      </c>
      <c r="F3243" s="3" t="s">
        <v>31</v>
      </c>
      <c r="G3243" s="3" t="s">
        <v>47</v>
      </c>
      <c r="H3243" s="3" t="s">
        <v>48</v>
      </c>
      <c r="I3243" s="3">
        <v>2025</v>
      </c>
      <c r="J3243" s="3" t="str">
        <f>CONCATENATE("54820190392")</f>
        <v>54820190392</v>
      </c>
      <c r="K3243" s="3" t="s">
        <v>33</v>
      </c>
      <c r="L3243" s="3"/>
      <c r="M3243" s="3" t="s">
        <v>131</v>
      </c>
      <c r="N3243" s="3" t="str">
        <f>CONCATENATE("CSLFNC61H05I608M")</f>
        <v>CSLFNC61H05I608M</v>
      </c>
      <c r="O3243" s="3" t="s">
        <v>3365</v>
      </c>
      <c r="P3243" s="3" t="s">
        <v>36</v>
      </c>
      <c r="Q3243" s="3"/>
      <c r="R3243" s="4">
        <v>45996</v>
      </c>
      <c r="S3243" s="3" t="s">
        <v>37</v>
      </c>
      <c r="T3243" s="3" t="s">
        <v>38</v>
      </c>
      <c r="U3243" s="3" t="s">
        <v>39</v>
      </c>
      <c r="V3243" s="3">
        <v>847.08</v>
      </c>
      <c r="W3243" s="3">
        <v>360.01</v>
      </c>
      <c r="X3243" s="3">
        <v>340.95</v>
      </c>
      <c r="Y3243" s="3">
        <v>146.12</v>
      </c>
    </row>
    <row r="3244" spans="1:25" ht="60.75" x14ac:dyDescent="0.25">
      <c r="A3244" s="3" t="s">
        <v>26</v>
      </c>
      <c r="B3244" s="3" t="s">
        <v>27</v>
      </c>
      <c r="C3244" s="3" t="s">
        <v>28</v>
      </c>
      <c r="D3244" s="3" t="s">
        <v>29</v>
      </c>
      <c r="E3244" s="3" t="s">
        <v>228</v>
      </c>
      <c r="F3244" s="3" t="s">
        <v>31</v>
      </c>
      <c r="G3244" s="3" t="s">
        <v>228</v>
      </c>
      <c r="H3244" s="3" t="s">
        <v>45</v>
      </c>
      <c r="I3244" s="3">
        <v>2025</v>
      </c>
      <c r="J3244" s="3" t="str">
        <f>CONCATENATE("54820151899")</f>
        <v>54820151899</v>
      </c>
      <c r="K3244" s="3" t="s">
        <v>33</v>
      </c>
      <c r="L3244" s="3"/>
      <c r="M3244" s="3" t="s">
        <v>131</v>
      </c>
      <c r="N3244" s="3" t="str">
        <f>CONCATENATE("FLVRNN78H06C745V")</f>
        <v>FLVRNN78H06C745V</v>
      </c>
      <c r="O3244" s="3" t="s">
        <v>3366</v>
      </c>
      <c r="P3244" s="3" t="s">
        <v>36</v>
      </c>
      <c r="Q3244" s="3"/>
      <c r="R3244" s="4">
        <v>45996</v>
      </c>
      <c r="S3244" s="3" t="s">
        <v>37</v>
      </c>
      <c r="T3244" s="3" t="s">
        <v>38</v>
      </c>
      <c r="U3244" s="3" t="s">
        <v>39</v>
      </c>
      <c r="V3244" s="3">
        <v>663.95</v>
      </c>
      <c r="W3244" s="3">
        <v>282.18</v>
      </c>
      <c r="X3244" s="3">
        <v>267.24</v>
      </c>
      <c r="Y3244" s="3">
        <v>114.53</v>
      </c>
    </row>
    <row r="3245" spans="1:25" ht="60.75" x14ac:dyDescent="0.25">
      <c r="A3245" s="3" t="s">
        <v>26</v>
      </c>
      <c r="B3245" s="3" t="s">
        <v>27</v>
      </c>
      <c r="C3245" s="3" t="s">
        <v>28</v>
      </c>
      <c r="D3245" s="3" t="s">
        <v>29</v>
      </c>
      <c r="E3245" s="3" t="s">
        <v>208</v>
      </c>
      <c r="F3245" s="3" t="s">
        <v>31</v>
      </c>
      <c r="G3245" s="3" t="s">
        <v>208</v>
      </c>
      <c r="H3245" s="3" t="s">
        <v>45</v>
      </c>
      <c r="I3245" s="3">
        <v>2025</v>
      </c>
      <c r="J3245" s="3" t="str">
        <f>CONCATENATE("54820152079")</f>
        <v>54820152079</v>
      </c>
      <c r="K3245" s="3" t="s">
        <v>33</v>
      </c>
      <c r="L3245" s="3"/>
      <c r="M3245" s="3" t="s">
        <v>131</v>
      </c>
      <c r="N3245" s="3" t="str">
        <f>CONCATENATE("VNTNTN74H08F135Z")</f>
        <v>VNTNTN74H08F135Z</v>
      </c>
      <c r="O3245" s="3" t="s">
        <v>3367</v>
      </c>
      <c r="P3245" s="3" t="s">
        <v>36</v>
      </c>
      <c r="Q3245" s="3"/>
      <c r="R3245" s="4">
        <v>45996</v>
      </c>
      <c r="S3245" s="3" t="s">
        <v>37</v>
      </c>
      <c r="T3245" s="3" t="s">
        <v>38</v>
      </c>
      <c r="U3245" s="3" t="s">
        <v>39</v>
      </c>
      <c r="V3245" s="3">
        <v>637.05999999999995</v>
      </c>
      <c r="W3245" s="3">
        <v>270.75</v>
      </c>
      <c r="X3245" s="3">
        <v>256.42</v>
      </c>
      <c r="Y3245" s="3">
        <v>109.89</v>
      </c>
    </row>
    <row r="3246" spans="1:25" ht="60.75" x14ac:dyDescent="0.25">
      <c r="A3246" s="3" t="s">
        <v>26</v>
      </c>
      <c r="B3246" s="3" t="s">
        <v>27</v>
      </c>
      <c r="C3246" s="3" t="s">
        <v>28</v>
      </c>
      <c r="D3246" s="3" t="s">
        <v>50</v>
      </c>
      <c r="E3246" s="3" t="s">
        <v>252</v>
      </c>
      <c r="F3246" s="3" t="s">
        <v>52</v>
      </c>
      <c r="G3246" s="3" t="s">
        <v>252</v>
      </c>
      <c r="H3246" s="3" t="s">
        <v>45</v>
      </c>
      <c r="I3246" s="3">
        <v>2025</v>
      </c>
      <c r="J3246" s="3" t="str">
        <f>CONCATENATE("54820184734")</f>
        <v>54820184734</v>
      </c>
      <c r="K3246" s="3" t="s">
        <v>33</v>
      </c>
      <c r="L3246" s="3"/>
      <c r="M3246" s="3" t="s">
        <v>131</v>
      </c>
      <c r="N3246" s="3" t="str">
        <f>CONCATENATE("GRGGST78H20D749S")</f>
        <v>GRGGST78H20D749S</v>
      </c>
      <c r="O3246" s="3" t="s">
        <v>3368</v>
      </c>
      <c r="P3246" s="3" t="s">
        <v>36</v>
      </c>
      <c r="Q3246" s="3"/>
      <c r="R3246" s="4">
        <v>45996</v>
      </c>
      <c r="S3246" s="3" t="s">
        <v>37</v>
      </c>
      <c r="T3246" s="3" t="s">
        <v>38</v>
      </c>
      <c r="U3246" s="3" t="s">
        <v>39</v>
      </c>
      <c r="V3246" s="3">
        <v>831.11</v>
      </c>
      <c r="W3246" s="3">
        <v>353.22</v>
      </c>
      <c r="X3246" s="3">
        <v>334.52</v>
      </c>
      <c r="Y3246" s="3">
        <v>143.37</v>
      </c>
    </row>
    <row r="3247" spans="1:25" ht="60.75" x14ac:dyDescent="0.25">
      <c r="A3247" s="3" t="s">
        <v>26</v>
      </c>
      <c r="B3247" s="3" t="s">
        <v>27</v>
      </c>
      <c r="C3247" s="3" t="s">
        <v>28</v>
      </c>
      <c r="D3247" s="3" t="s">
        <v>40</v>
      </c>
      <c r="E3247" s="3" t="s">
        <v>44</v>
      </c>
      <c r="F3247" s="3" t="s">
        <v>42</v>
      </c>
      <c r="G3247" s="3" t="s">
        <v>44</v>
      </c>
      <c r="H3247" s="3" t="s">
        <v>32</v>
      </c>
      <c r="I3247" s="3">
        <v>2025</v>
      </c>
      <c r="J3247" s="3" t="str">
        <f>CONCATENATE("54820215215")</f>
        <v>54820215215</v>
      </c>
      <c r="K3247" s="3" t="s">
        <v>33</v>
      </c>
      <c r="L3247" s="3"/>
      <c r="M3247" s="3" t="s">
        <v>131</v>
      </c>
      <c r="N3247" s="3" t="str">
        <f>CONCATENATE("BRTGDU85T19B474U")</f>
        <v>BRTGDU85T19B474U</v>
      </c>
      <c r="O3247" s="3" t="s">
        <v>3369</v>
      </c>
      <c r="P3247" s="3" t="s">
        <v>36</v>
      </c>
      <c r="Q3247" s="3"/>
      <c r="R3247" s="4">
        <v>45996</v>
      </c>
      <c r="S3247" s="3" t="s">
        <v>37</v>
      </c>
      <c r="T3247" s="3" t="s">
        <v>38</v>
      </c>
      <c r="U3247" s="3" t="s">
        <v>39</v>
      </c>
      <c r="V3247" s="5">
        <v>1013.85</v>
      </c>
      <c r="W3247" s="3">
        <v>430.89</v>
      </c>
      <c r="X3247" s="3">
        <v>408.07</v>
      </c>
      <c r="Y3247" s="3">
        <v>174.89</v>
      </c>
    </row>
    <row r="3248" spans="1:25" ht="60.75" x14ac:dyDescent="0.25">
      <c r="A3248" s="3" t="s">
        <v>26</v>
      </c>
      <c r="B3248" s="3" t="s">
        <v>27</v>
      </c>
      <c r="C3248" s="3" t="s">
        <v>28</v>
      </c>
      <c r="D3248" s="3" t="s">
        <v>50</v>
      </c>
      <c r="E3248" s="3" t="s">
        <v>60</v>
      </c>
      <c r="F3248" s="3" t="s">
        <v>52</v>
      </c>
      <c r="G3248" s="3" t="s">
        <v>60</v>
      </c>
      <c r="H3248" s="3" t="s">
        <v>45</v>
      </c>
      <c r="I3248" s="3">
        <v>2025</v>
      </c>
      <c r="J3248" s="3" t="str">
        <f>CONCATENATE("54820192794")</f>
        <v>54820192794</v>
      </c>
      <c r="K3248" s="3" t="s">
        <v>33</v>
      </c>
      <c r="L3248" s="3"/>
      <c r="M3248" s="3" t="s">
        <v>131</v>
      </c>
      <c r="N3248" s="3" t="str">
        <f>CONCATENATE("CSCMRA61M31G453I")</f>
        <v>CSCMRA61M31G453I</v>
      </c>
      <c r="O3248" s="3" t="s">
        <v>3370</v>
      </c>
      <c r="P3248" s="3" t="s">
        <v>36</v>
      </c>
      <c r="Q3248" s="3"/>
      <c r="R3248" s="4">
        <v>45996</v>
      </c>
      <c r="S3248" s="3" t="s">
        <v>37</v>
      </c>
      <c r="T3248" s="3" t="s">
        <v>38</v>
      </c>
      <c r="U3248" s="3" t="s">
        <v>39</v>
      </c>
      <c r="V3248" s="3">
        <v>54.72</v>
      </c>
      <c r="W3248" s="3">
        <v>23.26</v>
      </c>
      <c r="X3248" s="3">
        <v>22.02</v>
      </c>
      <c r="Y3248" s="3">
        <v>9.44</v>
      </c>
    </row>
    <row r="3249" spans="1:25" ht="60.75" x14ac:dyDescent="0.25">
      <c r="A3249" s="3" t="s">
        <v>26</v>
      </c>
      <c r="B3249" s="3" t="s">
        <v>27</v>
      </c>
      <c r="C3249" s="3" t="s">
        <v>28</v>
      </c>
      <c r="D3249" s="3" t="s">
        <v>50</v>
      </c>
      <c r="E3249" s="3" t="s">
        <v>147</v>
      </c>
      <c r="F3249" s="3" t="s">
        <v>52</v>
      </c>
      <c r="G3249" s="3" t="s">
        <v>147</v>
      </c>
      <c r="H3249" s="3" t="s">
        <v>45</v>
      </c>
      <c r="I3249" s="3">
        <v>2025</v>
      </c>
      <c r="J3249" s="3" t="str">
        <f>CONCATENATE("54820191804")</f>
        <v>54820191804</v>
      </c>
      <c r="K3249" s="3" t="s">
        <v>33</v>
      </c>
      <c r="L3249" s="3"/>
      <c r="M3249" s="3" t="s">
        <v>131</v>
      </c>
      <c r="N3249" s="3" t="str">
        <f>CONCATENATE("LMNLEI77R23L500A")</f>
        <v>LMNLEI77R23L500A</v>
      </c>
      <c r="O3249" s="3" t="s">
        <v>3371</v>
      </c>
      <c r="P3249" s="3" t="s">
        <v>36</v>
      </c>
      <c r="Q3249" s="3"/>
      <c r="R3249" s="4">
        <v>45996</v>
      </c>
      <c r="S3249" s="3" t="s">
        <v>37</v>
      </c>
      <c r="T3249" s="3" t="s">
        <v>38</v>
      </c>
      <c r="U3249" s="3" t="s">
        <v>39</v>
      </c>
      <c r="V3249" s="3">
        <v>48.35</v>
      </c>
      <c r="W3249" s="3">
        <v>20.55</v>
      </c>
      <c r="X3249" s="3">
        <v>19.46</v>
      </c>
      <c r="Y3249" s="3">
        <v>8.34</v>
      </c>
    </row>
    <row r="3250" spans="1:25" ht="60.75" x14ac:dyDescent="0.25">
      <c r="A3250" s="3" t="s">
        <v>26</v>
      </c>
      <c r="B3250" s="3" t="s">
        <v>27</v>
      </c>
      <c r="C3250" s="3" t="s">
        <v>28</v>
      </c>
      <c r="D3250" s="3" t="s">
        <v>312</v>
      </c>
      <c r="E3250" s="3" t="s">
        <v>313</v>
      </c>
      <c r="F3250" s="3" t="s">
        <v>314</v>
      </c>
      <c r="G3250" s="3" t="s">
        <v>313</v>
      </c>
      <c r="H3250" s="3" t="s">
        <v>96</v>
      </c>
      <c r="I3250" s="3">
        <v>2025</v>
      </c>
      <c r="J3250" s="3" t="str">
        <f>CONCATENATE("54820241393")</f>
        <v>54820241393</v>
      </c>
      <c r="K3250" s="3" t="s">
        <v>33</v>
      </c>
      <c r="L3250" s="3"/>
      <c r="M3250" s="3" t="s">
        <v>131</v>
      </c>
      <c r="N3250" s="3" t="str">
        <f>CONCATENATE("ZRLCLL68S45A462D")</f>
        <v>ZRLCLL68S45A462D</v>
      </c>
      <c r="O3250" s="3" t="s">
        <v>3372</v>
      </c>
      <c r="P3250" s="3" t="s">
        <v>36</v>
      </c>
      <c r="Q3250" s="3"/>
      <c r="R3250" s="4">
        <v>45996</v>
      </c>
      <c r="S3250" s="3" t="s">
        <v>37</v>
      </c>
      <c r="T3250" s="3" t="s">
        <v>38</v>
      </c>
      <c r="U3250" s="3" t="s">
        <v>39</v>
      </c>
      <c r="V3250" s="3">
        <v>58.84</v>
      </c>
      <c r="W3250" s="3">
        <v>25.01</v>
      </c>
      <c r="X3250" s="3">
        <v>23.68</v>
      </c>
      <c r="Y3250" s="3">
        <v>10.15</v>
      </c>
    </row>
    <row r="3251" spans="1:25" ht="60.75" x14ac:dyDescent="0.25">
      <c r="A3251" s="3" t="s">
        <v>26</v>
      </c>
      <c r="B3251" s="3" t="s">
        <v>27</v>
      </c>
      <c r="C3251" s="3" t="s">
        <v>28</v>
      </c>
      <c r="D3251" s="3" t="s">
        <v>683</v>
      </c>
      <c r="E3251" s="3" t="s">
        <v>684</v>
      </c>
      <c r="F3251" s="3" t="s">
        <v>685</v>
      </c>
      <c r="G3251" s="3" t="s">
        <v>684</v>
      </c>
      <c r="H3251" s="3" t="s">
        <v>45</v>
      </c>
      <c r="I3251" s="3">
        <v>2025</v>
      </c>
      <c r="J3251" s="3" t="str">
        <f>CONCATENATE("54820120787")</f>
        <v>54820120787</v>
      </c>
      <c r="K3251" s="3" t="s">
        <v>33</v>
      </c>
      <c r="L3251" s="3"/>
      <c r="M3251" s="3" t="s">
        <v>131</v>
      </c>
      <c r="N3251" s="3" t="str">
        <f>CONCATENATE("SNTMRC76C14I459M")</f>
        <v>SNTMRC76C14I459M</v>
      </c>
      <c r="O3251" s="3" t="s">
        <v>3373</v>
      </c>
      <c r="P3251" s="3" t="s">
        <v>36</v>
      </c>
      <c r="Q3251" s="3"/>
      <c r="R3251" s="4">
        <v>45996</v>
      </c>
      <c r="S3251" s="3" t="s">
        <v>37</v>
      </c>
      <c r="T3251" s="3" t="s">
        <v>38</v>
      </c>
      <c r="U3251" s="3" t="s">
        <v>39</v>
      </c>
      <c r="V3251" s="3">
        <v>67.150000000000006</v>
      </c>
      <c r="W3251" s="3">
        <v>28.54</v>
      </c>
      <c r="X3251" s="3">
        <v>27.03</v>
      </c>
      <c r="Y3251" s="3">
        <v>11.58</v>
      </c>
    </row>
    <row r="3252" spans="1:25" ht="72.75" x14ac:dyDescent="0.25">
      <c r="A3252" s="3" t="s">
        <v>26</v>
      </c>
      <c r="B3252" s="3" t="s">
        <v>27</v>
      </c>
      <c r="C3252" s="3" t="s">
        <v>28</v>
      </c>
      <c r="D3252" s="3" t="s">
        <v>29</v>
      </c>
      <c r="E3252" s="3" t="s">
        <v>56</v>
      </c>
      <c r="F3252" s="3" t="s">
        <v>31</v>
      </c>
      <c r="G3252" s="3" t="s">
        <v>56</v>
      </c>
      <c r="H3252" s="3" t="s">
        <v>32</v>
      </c>
      <c r="I3252" s="3">
        <v>2025</v>
      </c>
      <c r="J3252" s="3" t="str">
        <f>CONCATENATE("54820090980")</f>
        <v>54820090980</v>
      </c>
      <c r="K3252" s="3" t="s">
        <v>33</v>
      </c>
      <c r="L3252" s="3"/>
      <c r="M3252" s="3" t="s">
        <v>131</v>
      </c>
      <c r="N3252" s="3" t="str">
        <f>CONCATENATE("STRMRN72S47Z129Q")</f>
        <v>STRMRN72S47Z129Q</v>
      </c>
      <c r="O3252" s="3" t="s">
        <v>3374</v>
      </c>
      <c r="P3252" s="3" t="s">
        <v>36</v>
      </c>
      <c r="Q3252" s="3"/>
      <c r="R3252" s="4">
        <v>45996</v>
      </c>
      <c r="S3252" s="3" t="s">
        <v>37</v>
      </c>
      <c r="T3252" s="3" t="s">
        <v>38</v>
      </c>
      <c r="U3252" s="3" t="s">
        <v>39</v>
      </c>
      <c r="V3252" s="3">
        <v>154.12</v>
      </c>
      <c r="W3252" s="3">
        <v>65.5</v>
      </c>
      <c r="X3252" s="3">
        <v>62.03</v>
      </c>
      <c r="Y3252" s="3">
        <v>26.59</v>
      </c>
    </row>
    <row r="3253" spans="1:25" ht="60.75" x14ac:dyDescent="0.25">
      <c r="A3253" s="3" t="s">
        <v>26</v>
      </c>
      <c r="B3253" s="3" t="s">
        <v>27</v>
      </c>
      <c r="C3253" s="3" t="s">
        <v>28</v>
      </c>
      <c r="D3253" s="3" t="s">
        <v>50</v>
      </c>
      <c r="E3253" s="3" t="s">
        <v>60</v>
      </c>
      <c r="F3253" s="3" t="s">
        <v>52</v>
      </c>
      <c r="G3253" s="3" t="s">
        <v>60</v>
      </c>
      <c r="H3253" s="3" t="s">
        <v>45</v>
      </c>
      <c r="I3253" s="3">
        <v>2025</v>
      </c>
      <c r="J3253" s="3" t="str">
        <f>CONCATENATE("54820261433")</f>
        <v>54820261433</v>
      </c>
      <c r="K3253" s="3" t="s">
        <v>33</v>
      </c>
      <c r="L3253" s="3"/>
      <c r="M3253" s="3" t="s">
        <v>131</v>
      </c>
      <c r="N3253" s="3" t="str">
        <f>CONCATENATE("RSTVCN52C07D488Z")</f>
        <v>RSTVCN52C07D488Z</v>
      </c>
      <c r="O3253" s="3" t="s">
        <v>3375</v>
      </c>
      <c r="P3253" s="3" t="s">
        <v>36</v>
      </c>
      <c r="Q3253" s="3"/>
      <c r="R3253" s="4">
        <v>45996</v>
      </c>
      <c r="S3253" s="3" t="s">
        <v>37</v>
      </c>
      <c r="T3253" s="3" t="s">
        <v>38</v>
      </c>
      <c r="U3253" s="3" t="s">
        <v>39</v>
      </c>
      <c r="V3253" s="3">
        <v>71.599999999999994</v>
      </c>
      <c r="W3253" s="3">
        <v>30.43</v>
      </c>
      <c r="X3253" s="3">
        <v>28.82</v>
      </c>
      <c r="Y3253" s="3">
        <v>12.35</v>
      </c>
    </row>
    <row r="3254" spans="1:25" ht="60.75" x14ac:dyDescent="0.25">
      <c r="A3254" s="3" t="s">
        <v>26</v>
      </c>
      <c r="B3254" s="3" t="s">
        <v>27</v>
      </c>
      <c r="C3254" s="3" t="s">
        <v>28</v>
      </c>
      <c r="D3254" s="3" t="s">
        <v>50</v>
      </c>
      <c r="E3254" s="3" t="s">
        <v>60</v>
      </c>
      <c r="F3254" s="3" t="s">
        <v>52</v>
      </c>
      <c r="G3254" s="3" t="s">
        <v>60</v>
      </c>
      <c r="H3254" s="3" t="s">
        <v>45</v>
      </c>
      <c r="I3254" s="3">
        <v>2025</v>
      </c>
      <c r="J3254" s="3" t="str">
        <f>CONCATENATE("54820227269")</f>
        <v>54820227269</v>
      </c>
      <c r="K3254" s="3" t="s">
        <v>33</v>
      </c>
      <c r="L3254" s="3"/>
      <c r="M3254" s="3" t="s">
        <v>131</v>
      </c>
      <c r="N3254" s="3" t="str">
        <f>CONCATENATE("GDCFBL66H60G479X")</f>
        <v>GDCFBL66H60G479X</v>
      </c>
      <c r="O3254" s="3" t="s">
        <v>3376</v>
      </c>
      <c r="P3254" s="3" t="s">
        <v>36</v>
      </c>
      <c r="Q3254" s="3"/>
      <c r="R3254" s="4">
        <v>45996</v>
      </c>
      <c r="S3254" s="3" t="s">
        <v>37</v>
      </c>
      <c r="T3254" s="3" t="s">
        <v>38</v>
      </c>
      <c r="U3254" s="3" t="s">
        <v>39</v>
      </c>
      <c r="V3254" s="3">
        <v>298.47000000000003</v>
      </c>
      <c r="W3254" s="3">
        <v>126.85</v>
      </c>
      <c r="X3254" s="3">
        <v>120.13</v>
      </c>
      <c r="Y3254" s="3">
        <v>51.49</v>
      </c>
    </row>
    <row r="3255" spans="1:25" ht="60.75" x14ac:dyDescent="0.25">
      <c r="A3255" s="3" t="s">
        <v>26</v>
      </c>
      <c r="B3255" s="3" t="s">
        <v>27</v>
      </c>
      <c r="C3255" s="3" t="s">
        <v>28</v>
      </c>
      <c r="D3255" s="3" t="s">
        <v>104</v>
      </c>
      <c r="E3255" s="3" t="s">
        <v>141</v>
      </c>
      <c r="F3255" s="3" t="s">
        <v>104</v>
      </c>
      <c r="G3255" s="3" t="s">
        <v>141</v>
      </c>
      <c r="H3255" s="3" t="s">
        <v>96</v>
      </c>
      <c r="I3255" s="3">
        <v>2025</v>
      </c>
      <c r="J3255" s="3" t="str">
        <f>CONCATENATE("54820142229")</f>
        <v>54820142229</v>
      </c>
      <c r="K3255" s="3" t="s">
        <v>33</v>
      </c>
      <c r="L3255" s="3"/>
      <c r="M3255" s="3" t="s">
        <v>131</v>
      </c>
      <c r="N3255" s="3" t="str">
        <f>CONCATENATE("CMLLSS95L19A462E")</f>
        <v>CMLLSS95L19A462E</v>
      </c>
      <c r="O3255" s="3" t="s">
        <v>3377</v>
      </c>
      <c r="P3255" s="3" t="s">
        <v>36</v>
      </c>
      <c r="Q3255" s="3"/>
      <c r="R3255" s="4">
        <v>45996</v>
      </c>
      <c r="S3255" s="3" t="s">
        <v>37</v>
      </c>
      <c r="T3255" s="3" t="s">
        <v>38</v>
      </c>
      <c r="U3255" s="3" t="s">
        <v>39</v>
      </c>
      <c r="V3255" s="3">
        <v>63.52</v>
      </c>
      <c r="W3255" s="3">
        <v>27</v>
      </c>
      <c r="X3255" s="3">
        <v>25.57</v>
      </c>
      <c r="Y3255" s="3">
        <v>10.95</v>
      </c>
    </row>
    <row r="3256" spans="1:25" ht="72.75" x14ac:dyDescent="0.25">
      <c r="A3256" s="3" t="s">
        <v>26</v>
      </c>
      <c r="B3256" s="3" t="s">
        <v>27</v>
      </c>
      <c r="C3256" s="3" t="s">
        <v>28</v>
      </c>
      <c r="D3256" s="3" t="s">
        <v>29</v>
      </c>
      <c r="E3256" s="3" t="s">
        <v>56</v>
      </c>
      <c r="F3256" s="3" t="s">
        <v>31</v>
      </c>
      <c r="G3256" s="3" t="s">
        <v>56</v>
      </c>
      <c r="H3256" s="3" t="s">
        <v>32</v>
      </c>
      <c r="I3256" s="3">
        <v>2025</v>
      </c>
      <c r="J3256" s="3" t="str">
        <f>CONCATENATE("54820181094")</f>
        <v>54820181094</v>
      </c>
      <c r="K3256" s="3" t="s">
        <v>33</v>
      </c>
      <c r="L3256" s="3"/>
      <c r="M3256" s="3" t="s">
        <v>131</v>
      </c>
      <c r="N3256" s="3" t="str">
        <f>CONCATENATE("RCTGCR61M28B474D")</f>
        <v>RCTGCR61M28B474D</v>
      </c>
      <c r="O3256" s="3" t="s">
        <v>3378</v>
      </c>
      <c r="P3256" s="3" t="s">
        <v>36</v>
      </c>
      <c r="Q3256" s="3"/>
      <c r="R3256" s="4">
        <v>45996</v>
      </c>
      <c r="S3256" s="3" t="s">
        <v>37</v>
      </c>
      <c r="T3256" s="3" t="s">
        <v>38</v>
      </c>
      <c r="U3256" s="3" t="s">
        <v>39</v>
      </c>
      <c r="V3256" s="3">
        <v>553.12</v>
      </c>
      <c r="W3256" s="3">
        <v>235.08</v>
      </c>
      <c r="X3256" s="3">
        <v>222.63</v>
      </c>
      <c r="Y3256" s="3">
        <v>95.41</v>
      </c>
    </row>
    <row r="3257" spans="1:25" ht="60.75" x14ac:dyDescent="0.25">
      <c r="A3257" s="3" t="s">
        <v>26</v>
      </c>
      <c r="B3257" s="3" t="s">
        <v>27</v>
      </c>
      <c r="C3257" s="3" t="s">
        <v>28</v>
      </c>
      <c r="D3257" s="3" t="s">
        <v>29</v>
      </c>
      <c r="E3257" s="3" t="s">
        <v>56</v>
      </c>
      <c r="F3257" s="3" t="s">
        <v>31</v>
      </c>
      <c r="G3257" s="3" t="s">
        <v>56</v>
      </c>
      <c r="H3257" s="3" t="s">
        <v>32</v>
      </c>
      <c r="I3257" s="3">
        <v>2025</v>
      </c>
      <c r="J3257" s="3" t="str">
        <f>CONCATENATE("54820091830")</f>
        <v>54820091830</v>
      </c>
      <c r="K3257" s="3" t="s">
        <v>33</v>
      </c>
      <c r="L3257" s="3"/>
      <c r="M3257" s="3" t="s">
        <v>131</v>
      </c>
      <c r="N3257" s="3" t="str">
        <f>CONCATENATE("MRARNZ46D18F051V")</f>
        <v>MRARNZ46D18F051V</v>
      </c>
      <c r="O3257" s="3" t="s">
        <v>3379</v>
      </c>
      <c r="P3257" s="3" t="s">
        <v>36</v>
      </c>
      <c r="Q3257" s="3"/>
      <c r="R3257" s="4">
        <v>45996</v>
      </c>
      <c r="S3257" s="3" t="s">
        <v>37</v>
      </c>
      <c r="T3257" s="3" t="s">
        <v>38</v>
      </c>
      <c r="U3257" s="3" t="s">
        <v>39</v>
      </c>
      <c r="V3257" s="3">
        <v>62.94</v>
      </c>
      <c r="W3257" s="3">
        <v>26.75</v>
      </c>
      <c r="X3257" s="3">
        <v>25.33</v>
      </c>
      <c r="Y3257" s="3">
        <v>10.86</v>
      </c>
    </row>
    <row r="3258" spans="1:25" ht="60.75" x14ac:dyDescent="0.25">
      <c r="A3258" s="3" t="s">
        <v>26</v>
      </c>
      <c r="B3258" s="3" t="s">
        <v>27</v>
      </c>
      <c r="C3258" s="3" t="s">
        <v>28</v>
      </c>
      <c r="D3258" s="3" t="s">
        <v>50</v>
      </c>
      <c r="E3258" s="3" t="s">
        <v>60</v>
      </c>
      <c r="F3258" s="3" t="s">
        <v>52</v>
      </c>
      <c r="G3258" s="3" t="s">
        <v>60</v>
      </c>
      <c r="H3258" s="3" t="s">
        <v>45</v>
      </c>
      <c r="I3258" s="3">
        <v>2025</v>
      </c>
      <c r="J3258" s="3" t="str">
        <f>CONCATENATE("54820112990")</f>
        <v>54820112990</v>
      </c>
      <c r="K3258" s="3" t="s">
        <v>33</v>
      </c>
      <c r="L3258" s="3"/>
      <c r="M3258" s="3" t="s">
        <v>131</v>
      </c>
      <c r="N3258" s="3" t="str">
        <f>CONCATENATE("CSVCST98E24E256O")</f>
        <v>CSVCST98E24E256O</v>
      </c>
      <c r="O3258" s="3" t="s">
        <v>3380</v>
      </c>
      <c r="P3258" s="3" t="s">
        <v>36</v>
      </c>
      <c r="Q3258" s="3"/>
      <c r="R3258" s="4">
        <v>45996</v>
      </c>
      <c r="S3258" s="3" t="s">
        <v>37</v>
      </c>
      <c r="T3258" s="3" t="s">
        <v>38</v>
      </c>
      <c r="U3258" s="3" t="s">
        <v>39</v>
      </c>
      <c r="V3258" s="3">
        <v>415.47</v>
      </c>
      <c r="W3258" s="3">
        <v>176.57</v>
      </c>
      <c r="X3258" s="3">
        <v>167.23</v>
      </c>
      <c r="Y3258" s="3">
        <v>71.67</v>
      </c>
    </row>
    <row r="3259" spans="1:25" ht="72.75" x14ac:dyDescent="0.25">
      <c r="A3259" s="3" t="s">
        <v>26</v>
      </c>
      <c r="B3259" s="3" t="s">
        <v>27</v>
      </c>
      <c r="C3259" s="3" t="s">
        <v>28</v>
      </c>
      <c r="D3259" s="3" t="s">
        <v>29</v>
      </c>
      <c r="E3259" s="3" t="s">
        <v>47</v>
      </c>
      <c r="F3259" s="3" t="s">
        <v>31</v>
      </c>
      <c r="G3259" s="3" t="s">
        <v>47</v>
      </c>
      <c r="H3259" s="3" t="s">
        <v>48</v>
      </c>
      <c r="I3259" s="3">
        <v>2025</v>
      </c>
      <c r="J3259" s="3" t="str">
        <f>CONCATENATE("54820211610")</f>
        <v>54820211610</v>
      </c>
      <c r="K3259" s="3" t="s">
        <v>33</v>
      </c>
      <c r="L3259" s="3"/>
      <c r="M3259" s="3" t="s">
        <v>131</v>
      </c>
      <c r="N3259" s="3" t="str">
        <f>CONCATENATE("MRNMRA45R16I653S")</f>
        <v>MRNMRA45R16I653S</v>
      </c>
      <c r="O3259" s="3" t="s">
        <v>3381</v>
      </c>
      <c r="P3259" s="3" t="s">
        <v>36</v>
      </c>
      <c r="Q3259" s="3"/>
      <c r="R3259" s="4">
        <v>45996</v>
      </c>
      <c r="S3259" s="3" t="s">
        <v>37</v>
      </c>
      <c r="T3259" s="3" t="s">
        <v>38</v>
      </c>
      <c r="U3259" s="3" t="s">
        <v>39</v>
      </c>
      <c r="V3259" s="3">
        <v>204.04</v>
      </c>
      <c r="W3259" s="3">
        <v>86.72</v>
      </c>
      <c r="X3259" s="3">
        <v>82.13</v>
      </c>
      <c r="Y3259" s="3">
        <v>35.19</v>
      </c>
    </row>
    <row r="3260" spans="1:25" ht="72.75" x14ac:dyDescent="0.25">
      <c r="A3260" s="3" t="s">
        <v>26</v>
      </c>
      <c r="B3260" s="3" t="s">
        <v>27</v>
      </c>
      <c r="C3260" s="3" t="s">
        <v>28</v>
      </c>
      <c r="D3260" s="3" t="s">
        <v>50</v>
      </c>
      <c r="E3260" s="3" t="s">
        <v>60</v>
      </c>
      <c r="F3260" s="3" t="s">
        <v>52</v>
      </c>
      <c r="G3260" s="3" t="s">
        <v>60</v>
      </c>
      <c r="H3260" s="3" t="s">
        <v>45</v>
      </c>
      <c r="I3260" s="3">
        <v>2025</v>
      </c>
      <c r="J3260" s="3" t="str">
        <f>CONCATENATE("54820266150")</f>
        <v>54820266150</v>
      </c>
      <c r="K3260" s="3" t="s">
        <v>33</v>
      </c>
      <c r="L3260" s="3"/>
      <c r="M3260" s="3" t="s">
        <v>131</v>
      </c>
      <c r="N3260" s="3" t="str">
        <f>CONCATENATE("CSTNTN50H12B352B")</f>
        <v>CSTNTN50H12B352B</v>
      </c>
      <c r="O3260" s="3" t="s">
        <v>3382</v>
      </c>
      <c r="P3260" s="3" t="s">
        <v>36</v>
      </c>
      <c r="Q3260" s="3"/>
      <c r="R3260" s="4">
        <v>45996</v>
      </c>
      <c r="S3260" s="3" t="s">
        <v>37</v>
      </c>
      <c r="T3260" s="3" t="s">
        <v>38</v>
      </c>
      <c r="U3260" s="3" t="s">
        <v>39</v>
      </c>
      <c r="V3260" s="5">
        <v>1272.54</v>
      </c>
      <c r="W3260" s="3">
        <v>540.83000000000004</v>
      </c>
      <c r="X3260" s="3">
        <v>512.20000000000005</v>
      </c>
      <c r="Y3260" s="3">
        <v>219.51</v>
      </c>
    </row>
    <row r="3261" spans="1:25" ht="60.75" x14ac:dyDescent="0.25">
      <c r="A3261" s="3" t="s">
        <v>26</v>
      </c>
      <c r="B3261" s="3" t="s">
        <v>27</v>
      </c>
      <c r="C3261" s="3" t="s">
        <v>28</v>
      </c>
      <c r="D3261" s="3" t="s">
        <v>50</v>
      </c>
      <c r="E3261" s="3" t="s">
        <v>60</v>
      </c>
      <c r="F3261" s="3" t="s">
        <v>52</v>
      </c>
      <c r="G3261" s="3" t="s">
        <v>60</v>
      </c>
      <c r="H3261" s="3" t="s">
        <v>45</v>
      </c>
      <c r="I3261" s="3">
        <v>2025</v>
      </c>
      <c r="J3261" s="3" t="str">
        <f>CONCATENATE("54820172499")</f>
        <v>54820172499</v>
      </c>
      <c r="K3261" s="3" t="s">
        <v>33</v>
      </c>
      <c r="L3261" s="3"/>
      <c r="M3261" s="3" t="s">
        <v>131</v>
      </c>
      <c r="N3261" s="3" t="str">
        <f>CONCATENATE("TRNSVT48T69D530U")</f>
        <v>TRNSVT48T69D530U</v>
      </c>
      <c r="O3261" s="3" t="s">
        <v>3383</v>
      </c>
      <c r="P3261" s="3" t="s">
        <v>36</v>
      </c>
      <c r="Q3261" s="3"/>
      <c r="R3261" s="4">
        <v>45996</v>
      </c>
      <c r="S3261" s="3" t="s">
        <v>37</v>
      </c>
      <c r="T3261" s="3" t="s">
        <v>38</v>
      </c>
      <c r="U3261" s="3" t="s">
        <v>39</v>
      </c>
      <c r="V3261" s="3">
        <v>215.13</v>
      </c>
      <c r="W3261" s="3">
        <v>91.43</v>
      </c>
      <c r="X3261" s="3">
        <v>86.59</v>
      </c>
      <c r="Y3261" s="3">
        <v>37.11</v>
      </c>
    </row>
    <row r="3262" spans="1:25" ht="36.75" x14ac:dyDescent="0.25">
      <c r="A3262" s="3" t="s">
        <v>26</v>
      </c>
      <c r="B3262" s="3" t="s">
        <v>27</v>
      </c>
      <c r="C3262" s="3" t="s">
        <v>28</v>
      </c>
      <c r="D3262" s="3" t="s">
        <v>29</v>
      </c>
      <c r="E3262" s="3" t="s">
        <v>80</v>
      </c>
      <c r="F3262" s="3" t="s">
        <v>31</v>
      </c>
      <c r="G3262" s="3" t="s">
        <v>80</v>
      </c>
      <c r="H3262" s="3" t="s">
        <v>45</v>
      </c>
      <c r="I3262" s="3">
        <v>2025</v>
      </c>
      <c r="J3262" s="3" t="str">
        <f>CONCATENATE("54820173570")</f>
        <v>54820173570</v>
      </c>
      <c r="K3262" s="3" t="s">
        <v>33</v>
      </c>
      <c r="L3262" s="3"/>
      <c r="M3262" s="3" t="s">
        <v>131</v>
      </c>
      <c r="N3262" s="3" t="str">
        <f>CONCATENATE("02468540410")</f>
        <v>02468540410</v>
      </c>
      <c r="O3262" s="3" t="s">
        <v>3384</v>
      </c>
      <c r="P3262" s="3" t="s">
        <v>36</v>
      </c>
      <c r="Q3262" s="3"/>
      <c r="R3262" s="4">
        <v>45996</v>
      </c>
      <c r="S3262" s="3" t="s">
        <v>37</v>
      </c>
      <c r="T3262" s="3" t="s">
        <v>38</v>
      </c>
      <c r="U3262" s="3" t="s">
        <v>39</v>
      </c>
      <c r="V3262" s="5">
        <v>1035.82</v>
      </c>
      <c r="W3262" s="3">
        <v>440.22</v>
      </c>
      <c r="X3262" s="3">
        <v>416.92</v>
      </c>
      <c r="Y3262" s="3">
        <v>178.68</v>
      </c>
    </row>
    <row r="3263" spans="1:25" ht="60.75" x14ac:dyDescent="0.25">
      <c r="A3263" s="3" t="s">
        <v>26</v>
      </c>
      <c r="B3263" s="3" t="s">
        <v>27</v>
      </c>
      <c r="C3263" s="3" t="s">
        <v>28</v>
      </c>
      <c r="D3263" s="3" t="s">
        <v>29</v>
      </c>
      <c r="E3263" s="3" t="s">
        <v>136</v>
      </c>
      <c r="F3263" s="3" t="s">
        <v>31</v>
      </c>
      <c r="G3263" s="3" t="s">
        <v>136</v>
      </c>
      <c r="H3263" s="3" t="s">
        <v>48</v>
      </c>
      <c r="I3263" s="3">
        <v>2025</v>
      </c>
      <c r="J3263" s="3" t="str">
        <f>CONCATENATE("54820234638")</f>
        <v>54820234638</v>
      </c>
      <c r="K3263" s="3" t="s">
        <v>33</v>
      </c>
      <c r="L3263" s="3"/>
      <c r="M3263" s="3" t="s">
        <v>131</v>
      </c>
      <c r="N3263" s="3" t="str">
        <f>CONCATENATE("TTTNGL51A29I461R")</f>
        <v>TTTNGL51A29I461R</v>
      </c>
      <c r="O3263" s="3" t="s">
        <v>3385</v>
      </c>
      <c r="P3263" s="3" t="s">
        <v>36</v>
      </c>
      <c r="Q3263" s="3"/>
      <c r="R3263" s="4">
        <v>45996</v>
      </c>
      <c r="S3263" s="3" t="s">
        <v>37</v>
      </c>
      <c r="T3263" s="3" t="s">
        <v>38</v>
      </c>
      <c r="U3263" s="3" t="s">
        <v>39</v>
      </c>
      <c r="V3263" s="3">
        <v>509.5</v>
      </c>
      <c r="W3263" s="3">
        <v>216.54</v>
      </c>
      <c r="X3263" s="3">
        <v>205.07</v>
      </c>
      <c r="Y3263" s="3">
        <v>87.89</v>
      </c>
    </row>
    <row r="3264" spans="1:25" ht="72.75" x14ac:dyDescent="0.25">
      <c r="A3264" s="3" t="s">
        <v>26</v>
      </c>
      <c r="B3264" s="3" t="s">
        <v>27</v>
      </c>
      <c r="C3264" s="3" t="s">
        <v>28</v>
      </c>
      <c r="D3264" s="3" t="s">
        <v>50</v>
      </c>
      <c r="E3264" s="3" t="s">
        <v>60</v>
      </c>
      <c r="F3264" s="3" t="s">
        <v>52</v>
      </c>
      <c r="G3264" s="3" t="s">
        <v>60</v>
      </c>
      <c r="H3264" s="3" t="s">
        <v>45</v>
      </c>
      <c r="I3264" s="3">
        <v>2025</v>
      </c>
      <c r="J3264" s="3" t="str">
        <f>CONCATENATE("54820192711")</f>
        <v>54820192711</v>
      </c>
      <c r="K3264" s="3" t="s">
        <v>33</v>
      </c>
      <c r="L3264" s="3"/>
      <c r="M3264" s="3" t="s">
        <v>131</v>
      </c>
      <c r="N3264" s="3" t="str">
        <f>CONCATENATE("TGLRLB64B59G453O")</f>
        <v>TGLRLB64B59G453O</v>
      </c>
      <c r="O3264" s="3" t="s">
        <v>3386</v>
      </c>
      <c r="P3264" s="3" t="s">
        <v>36</v>
      </c>
      <c r="Q3264" s="3"/>
      <c r="R3264" s="4">
        <v>45996</v>
      </c>
      <c r="S3264" s="3" t="s">
        <v>37</v>
      </c>
      <c r="T3264" s="3" t="s">
        <v>38</v>
      </c>
      <c r="U3264" s="3" t="s">
        <v>39</v>
      </c>
      <c r="V3264" s="3">
        <v>197.03</v>
      </c>
      <c r="W3264" s="3">
        <v>83.74</v>
      </c>
      <c r="X3264" s="3">
        <v>79.3</v>
      </c>
      <c r="Y3264" s="3">
        <v>33.99</v>
      </c>
    </row>
    <row r="3265" spans="1:25" ht="60.75" x14ac:dyDescent="0.25">
      <c r="A3265" s="3" t="s">
        <v>26</v>
      </c>
      <c r="B3265" s="3" t="s">
        <v>27</v>
      </c>
      <c r="C3265" s="3" t="s">
        <v>28</v>
      </c>
      <c r="D3265" s="3" t="s">
        <v>50</v>
      </c>
      <c r="E3265" s="3" t="s">
        <v>51</v>
      </c>
      <c r="F3265" s="3" t="s">
        <v>52</v>
      </c>
      <c r="G3265" s="3" t="s">
        <v>51</v>
      </c>
      <c r="H3265" s="3" t="s">
        <v>48</v>
      </c>
      <c r="I3265" s="3">
        <v>2025</v>
      </c>
      <c r="J3265" s="3" t="str">
        <f>CONCATENATE("54820163324")</f>
        <v>54820163324</v>
      </c>
      <c r="K3265" s="3" t="s">
        <v>33</v>
      </c>
      <c r="L3265" s="3"/>
      <c r="M3265" s="3" t="s">
        <v>131</v>
      </c>
      <c r="N3265" s="3" t="str">
        <f>CONCATENATE("GHLTNA83P44L500Y")</f>
        <v>GHLTNA83P44L500Y</v>
      </c>
      <c r="O3265" s="3" t="s">
        <v>3387</v>
      </c>
      <c r="P3265" s="3" t="s">
        <v>36</v>
      </c>
      <c r="Q3265" s="3"/>
      <c r="R3265" s="4">
        <v>45996</v>
      </c>
      <c r="S3265" s="3" t="s">
        <v>37</v>
      </c>
      <c r="T3265" s="3" t="s">
        <v>38</v>
      </c>
      <c r="U3265" s="3" t="s">
        <v>39</v>
      </c>
      <c r="V3265" s="3">
        <v>108.98</v>
      </c>
      <c r="W3265" s="3">
        <v>46.32</v>
      </c>
      <c r="X3265" s="3">
        <v>43.86</v>
      </c>
      <c r="Y3265" s="3">
        <v>18.8</v>
      </c>
    </row>
    <row r="3266" spans="1:25" ht="36.75" x14ac:dyDescent="0.25">
      <c r="A3266" s="3" t="s">
        <v>26</v>
      </c>
      <c r="B3266" s="3" t="s">
        <v>27</v>
      </c>
      <c r="C3266" s="3" t="s">
        <v>28</v>
      </c>
      <c r="D3266" s="3" t="s">
        <v>91</v>
      </c>
      <c r="E3266" s="3" t="s">
        <v>151</v>
      </c>
      <c r="F3266" s="3" t="s">
        <v>93</v>
      </c>
      <c r="G3266" s="3" t="s">
        <v>151</v>
      </c>
      <c r="H3266" s="3" t="s">
        <v>45</v>
      </c>
      <c r="I3266" s="3">
        <v>2025</v>
      </c>
      <c r="J3266" s="3" t="str">
        <f>CONCATENATE("54820258116")</f>
        <v>54820258116</v>
      </c>
      <c r="K3266" s="3" t="s">
        <v>33</v>
      </c>
      <c r="L3266" s="3"/>
      <c r="M3266" s="3" t="s">
        <v>131</v>
      </c>
      <c r="N3266" s="3" t="str">
        <f>CONCATENATE("82002150413")</f>
        <v>82002150413</v>
      </c>
      <c r="O3266" s="3" t="s">
        <v>3388</v>
      </c>
      <c r="P3266" s="3" t="s">
        <v>36</v>
      </c>
      <c r="Q3266" s="3"/>
      <c r="R3266" s="4">
        <v>45996</v>
      </c>
      <c r="S3266" s="3" t="s">
        <v>37</v>
      </c>
      <c r="T3266" s="3" t="s">
        <v>38</v>
      </c>
      <c r="U3266" s="3" t="s">
        <v>39</v>
      </c>
      <c r="V3266" s="5">
        <v>1059.17</v>
      </c>
      <c r="W3266" s="3">
        <v>450.15</v>
      </c>
      <c r="X3266" s="3">
        <v>426.32</v>
      </c>
      <c r="Y3266" s="3">
        <v>182.7</v>
      </c>
    </row>
    <row r="3267" spans="1:25" ht="60.75" x14ac:dyDescent="0.25">
      <c r="A3267" s="3" t="s">
        <v>26</v>
      </c>
      <c r="B3267" s="3" t="s">
        <v>27</v>
      </c>
      <c r="C3267" s="3" t="s">
        <v>28</v>
      </c>
      <c r="D3267" s="3" t="s">
        <v>104</v>
      </c>
      <c r="E3267" s="3" t="s">
        <v>268</v>
      </c>
      <c r="F3267" s="3" t="s">
        <v>104</v>
      </c>
      <c r="G3267" s="3" t="s">
        <v>268</v>
      </c>
      <c r="H3267" s="3" t="s">
        <v>32</v>
      </c>
      <c r="I3267" s="3">
        <v>2025</v>
      </c>
      <c r="J3267" s="3" t="str">
        <f>CONCATENATE("54820291232")</f>
        <v>54820291232</v>
      </c>
      <c r="K3267" s="3" t="s">
        <v>33</v>
      </c>
      <c r="L3267" s="3"/>
      <c r="M3267" s="3" t="s">
        <v>131</v>
      </c>
      <c r="N3267" s="3" t="str">
        <f>CONCATENATE("MGGYRU93D09I156P")</f>
        <v>MGGYRU93D09I156P</v>
      </c>
      <c r="O3267" s="3" t="s">
        <v>3389</v>
      </c>
      <c r="P3267" s="3" t="s">
        <v>36</v>
      </c>
      <c r="Q3267" s="3"/>
      <c r="R3267" s="4">
        <v>45996</v>
      </c>
      <c r="S3267" s="3" t="s">
        <v>37</v>
      </c>
      <c r="T3267" s="3" t="s">
        <v>38</v>
      </c>
      <c r="U3267" s="3" t="s">
        <v>39</v>
      </c>
      <c r="V3267" s="3">
        <v>229.07</v>
      </c>
      <c r="W3267" s="3">
        <v>97.35</v>
      </c>
      <c r="X3267" s="3">
        <v>92.2</v>
      </c>
      <c r="Y3267" s="3">
        <v>39.520000000000003</v>
      </c>
    </row>
    <row r="3268" spans="1:25" ht="60.75" x14ac:dyDescent="0.25">
      <c r="A3268" s="3" t="s">
        <v>26</v>
      </c>
      <c r="B3268" s="3" t="s">
        <v>27</v>
      </c>
      <c r="C3268" s="3" t="s">
        <v>28</v>
      </c>
      <c r="D3268" s="3" t="s">
        <v>104</v>
      </c>
      <c r="E3268" s="3" t="s">
        <v>141</v>
      </c>
      <c r="F3268" s="3" t="s">
        <v>104</v>
      </c>
      <c r="G3268" s="3" t="s">
        <v>141</v>
      </c>
      <c r="H3268" s="3" t="s">
        <v>96</v>
      </c>
      <c r="I3268" s="3">
        <v>2025</v>
      </c>
      <c r="J3268" s="3" t="str">
        <f>CONCATENATE("54820282074")</f>
        <v>54820282074</v>
      </c>
      <c r="K3268" s="3" t="s">
        <v>33</v>
      </c>
      <c r="L3268" s="3"/>
      <c r="M3268" s="3" t="s">
        <v>131</v>
      </c>
      <c r="N3268" s="3" t="str">
        <f>CONCATENATE("VLNGRL62H06C935Y")</f>
        <v>VLNGRL62H06C935Y</v>
      </c>
      <c r="O3268" s="3" t="s">
        <v>3390</v>
      </c>
      <c r="P3268" s="3" t="s">
        <v>36</v>
      </c>
      <c r="Q3268" s="3"/>
      <c r="R3268" s="4">
        <v>45996</v>
      </c>
      <c r="S3268" s="3" t="s">
        <v>37</v>
      </c>
      <c r="T3268" s="3" t="s">
        <v>38</v>
      </c>
      <c r="U3268" s="3" t="s">
        <v>39</v>
      </c>
      <c r="V3268" s="3">
        <v>267.10000000000002</v>
      </c>
      <c r="W3268" s="3">
        <v>113.52</v>
      </c>
      <c r="X3268" s="3">
        <v>107.51</v>
      </c>
      <c r="Y3268" s="3">
        <v>46.07</v>
      </c>
    </row>
    <row r="3269" spans="1:25" ht="60.75" x14ac:dyDescent="0.25">
      <c r="A3269" s="3" t="s">
        <v>26</v>
      </c>
      <c r="B3269" s="3" t="s">
        <v>27</v>
      </c>
      <c r="C3269" s="3" t="s">
        <v>28</v>
      </c>
      <c r="D3269" s="3" t="s">
        <v>29</v>
      </c>
      <c r="E3269" s="3" t="s">
        <v>72</v>
      </c>
      <c r="F3269" s="3" t="s">
        <v>31</v>
      </c>
      <c r="G3269" s="3" t="s">
        <v>72</v>
      </c>
      <c r="H3269" s="3" t="s">
        <v>45</v>
      </c>
      <c r="I3269" s="3">
        <v>2025</v>
      </c>
      <c r="J3269" s="3" t="str">
        <f>CONCATENATE("54820265947")</f>
        <v>54820265947</v>
      </c>
      <c r="K3269" s="3" t="s">
        <v>33</v>
      </c>
      <c r="L3269" s="3"/>
      <c r="M3269" s="3" t="s">
        <v>131</v>
      </c>
      <c r="N3269" s="3" t="str">
        <f>CONCATENATE("SLGGNN47D60I594Q")</f>
        <v>SLGGNN47D60I594Q</v>
      </c>
      <c r="O3269" s="3" t="s">
        <v>3391</v>
      </c>
      <c r="P3269" s="3" t="s">
        <v>36</v>
      </c>
      <c r="Q3269" s="3"/>
      <c r="R3269" s="4">
        <v>45996</v>
      </c>
      <c r="S3269" s="3" t="s">
        <v>37</v>
      </c>
      <c r="T3269" s="3" t="s">
        <v>38</v>
      </c>
      <c r="U3269" s="3" t="s">
        <v>39</v>
      </c>
      <c r="V3269" s="3">
        <v>135.63</v>
      </c>
      <c r="W3269" s="3">
        <v>57.64</v>
      </c>
      <c r="X3269" s="3">
        <v>54.59</v>
      </c>
      <c r="Y3269" s="3">
        <v>23.4</v>
      </c>
    </row>
    <row r="3270" spans="1:25" ht="60.75" x14ac:dyDescent="0.25">
      <c r="A3270" s="3" t="s">
        <v>26</v>
      </c>
      <c r="B3270" s="3" t="s">
        <v>27</v>
      </c>
      <c r="C3270" s="3" t="s">
        <v>28</v>
      </c>
      <c r="D3270" s="3" t="s">
        <v>50</v>
      </c>
      <c r="E3270" s="3" t="s">
        <v>252</v>
      </c>
      <c r="F3270" s="3" t="s">
        <v>52</v>
      </c>
      <c r="G3270" s="3" t="s">
        <v>252</v>
      </c>
      <c r="H3270" s="3" t="s">
        <v>45</v>
      </c>
      <c r="I3270" s="3">
        <v>2025</v>
      </c>
      <c r="J3270" s="3" t="str">
        <f>CONCATENATE("54820182431")</f>
        <v>54820182431</v>
      </c>
      <c r="K3270" s="3" t="s">
        <v>33</v>
      </c>
      <c r="L3270" s="3"/>
      <c r="M3270" s="3" t="s">
        <v>131</v>
      </c>
      <c r="N3270" s="3" t="str">
        <f>CONCATENATE("PRTFST63D07G453J")</f>
        <v>PRTFST63D07G453J</v>
      </c>
      <c r="O3270" s="3" t="s">
        <v>3392</v>
      </c>
      <c r="P3270" s="3" t="s">
        <v>36</v>
      </c>
      <c r="Q3270" s="3"/>
      <c r="R3270" s="4">
        <v>45996</v>
      </c>
      <c r="S3270" s="3" t="s">
        <v>37</v>
      </c>
      <c r="T3270" s="3" t="s">
        <v>38</v>
      </c>
      <c r="U3270" s="3" t="s">
        <v>39</v>
      </c>
      <c r="V3270" s="3">
        <v>90.51</v>
      </c>
      <c r="W3270" s="3">
        <v>38.47</v>
      </c>
      <c r="X3270" s="3">
        <v>36.43</v>
      </c>
      <c r="Y3270" s="3">
        <v>15.61</v>
      </c>
    </row>
    <row r="3271" spans="1:25" ht="60.75" x14ac:dyDescent="0.25">
      <c r="A3271" s="3" t="s">
        <v>26</v>
      </c>
      <c r="B3271" s="3" t="s">
        <v>27</v>
      </c>
      <c r="C3271" s="3" t="s">
        <v>28</v>
      </c>
      <c r="D3271" s="3" t="s">
        <v>50</v>
      </c>
      <c r="E3271" s="3" t="s">
        <v>173</v>
      </c>
      <c r="F3271" s="3" t="s">
        <v>52</v>
      </c>
      <c r="G3271" s="3" t="s">
        <v>173</v>
      </c>
      <c r="H3271" s="3" t="s">
        <v>45</v>
      </c>
      <c r="I3271" s="3">
        <v>2025</v>
      </c>
      <c r="J3271" s="3" t="str">
        <f>CONCATENATE("54820241260")</f>
        <v>54820241260</v>
      </c>
      <c r="K3271" s="3" t="s">
        <v>33</v>
      </c>
      <c r="L3271" s="3"/>
      <c r="M3271" s="3" t="s">
        <v>131</v>
      </c>
      <c r="N3271" s="3" t="str">
        <f>CONCATENATE("FLNNCL88S05I459M")</f>
        <v>FLNNCL88S05I459M</v>
      </c>
      <c r="O3271" s="3" t="s">
        <v>3393</v>
      </c>
      <c r="P3271" s="3" t="s">
        <v>36</v>
      </c>
      <c r="Q3271" s="3"/>
      <c r="R3271" s="4">
        <v>45996</v>
      </c>
      <c r="S3271" s="3" t="s">
        <v>37</v>
      </c>
      <c r="T3271" s="3" t="s">
        <v>38</v>
      </c>
      <c r="U3271" s="3" t="s">
        <v>39</v>
      </c>
      <c r="V3271" s="5">
        <v>1152.32</v>
      </c>
      <c r="W3271" s="3">
        <v>489.74</v>
      </c>
      <c r="X3271" s="3">
        <v>463.81</v>
      </c>
      <c r="Y3271" s="3">
        <v>198.77</v>
      </c>
    </row>
    <row r="3272" spans="1:25" ht="60.75" x14ac:dyDescent="0.25">
      <c r="A3272" s="3" t="s">
        <v>26</v>
      </c>
      <c r="B3272" s="3" t="s">
        <v>27</v>
      </c>
      <c r="C3272" s="3" t="s">
        <v>28</v>
      </c>
      <c r="D3272" s="3" t="s">
        <v>683</v>
      </c>
      <c r="E3272" s="3" t="s">
        <v>684</v>
      </c>
      <c r="F3272" s="3" t="s">
        <v>685</v>
      </c>
      <c r="G3272" s="3" t="s">
        <v>684</v>
      </c>
      <c r="H3272" s="3" t="s">
        <v>45</v>
      </c>
      <c r="I3272" s="3">
        <v>2025</v>
      </c>
      <c r="J3272" s="3" t="str">
        <f>CONCATENATE("54820366950")</f>
        <v>54820366950</v>
      </c>
      <c r="K3272" s="3" t="s">
        <v>33</v>
      </c>
      <c r="L3272" s="3"/>
      <c r="M3272" s="3" t="s">
        <v>131</v>
      </c>
      <c r="N3272" s="3" t="str">
        <f>CONCATENATE("SNTDVD00T11G479K")</f>
        <v>SNTDVD00T11G479K</v>
      </c>
      <c r="O3272" s="3" t="s">
        <v>3394</v>
      </c>
      <c r="P3272" s="3" t="s">
        <v>36</v>
      </c>
      <c r="Q3272" s="3"/>
      <c r="R3272" s="4">
        <v>45996</v>
      </c>
      <c r="S3272" s="3" t="s">
        <v>37</v>
      </c>
      <c r="T3272" s="3" t="s">
        <v>38</v>
      </c>
      <c r="U3272" s="3" t="s">
        <v>39</v>
      </c>
      <c r="V3272" s="3">
        <v>364.77</v>
      </c>
      <c r="W3272" s="3">
        <v>155.03</v>
      </c>
      <c r="X3272" s="3">
        <v>146.82</v>
      </c>
      <c r="Y3272" s="3">
        <v>62.92</v>
      </c>
    </row>
    <row r="3273" spans="1:25" ht="72.75" x14ac:dyDescent="0.25">
      <c r="A3273" s="3" t="s">
        <v>26</v>
      </c>
      <c r="B3273" s="3" t="s">
        <v>27</v>
      </c>
      <c r="C3273" s="3" t="s">
        <v>28</v>
      </c>
      <c r="D3273" s="3" t="s">
        <v>50</v>
      </c>
      <c r="E3273" s="3" t="s">
        <v>147</v>
      </c>
      <c r="F3273" s="3" t="s">
        <v>52</v>
      </c>
      <c r="G3273" s="3" t="s">
        <v>147</v>
      </c>
      <c r="H3273" s="3" t="s">
        <v>45</v>
      </c>
      <c r="I3273" s="3">
        <v>2025</v>
      </c>
      <c r="J3273" s="3" t="str">
        <f>CONCATENATE("54820204557")</f>
        <v>54820204557</v>
      </c>
      <c r="K3273" s="3" t="s">
        <v>33</v>
      </c>
      <c r="L3273" s="3"/>
      <c r="M3273" s="3" t="s">
        <v>131</v>
      </c>
      <c r="N3273" s="3" t="str">
        <f>CONCATENATE("SRFFBA78A30D488M")</f>
        <v>SRFFBA78A30D488M</v>
      </c>
      <c r="O3273" s="3" t="s">
        <v>3395</v>
      </c>
      <c r="P3273" s="3" t="s">
        <v>36</v>
      </c>
      <c r="Q3273" s="3"/>
      <c r="R3273" s="4">
        <v>45996</v>
      </c>
      <c r="S3273" s="3" t="s">
        <v>37</v>
      </c>
      <c r="T3273" s="3" t="s">
        <v>38</v>
      </c>
      <c r="U3273" s="3" t="s">
        <v>39</v>
      </c>
      <c r="V3273" s="3">
        <v>380.05</v>
      </c>
      <c r="W3273" s="3">
        <v>161.52000000000001</v>
      </c>
      <c r="X3273" s="3">
        <v>152.97</v>
      </c>
      <c r="Y3273" s="3">
        <v>65.56</v>
      </c>
    </row>
    <row r="3274" spans="1:25" ht="60.75" x14ac:dyDescent="0.25">
      <c r="A3274" s="3" t="s">
        <v>26</v>
      </c>
      <c r="B3274" s="3" t="s">
        <v>27</v>
      </c>
      <c r="C3274" s="3" t="s">
        <v>28</v>
      </c>
      <c r="D3274" s="3" t="s">
        <v>29</v>
      </c>
      <c r="E3274" s="3" t="s">
        <v>72</v>
      </c>
      <c r="F3274" s="3" t="s">
        <v>31</v>
      </c>
      <c r="G3274" s="3" t="s">
        <v>72</v>
      </c>
      <c r="H3274" s="3" t="s">
        <v>45</v>
      </c>
      <c r="I3274" s="3">
        <v>2025</v>
      </c>
      <c r="J3274" s="3" t="str">
        <f>CONCATENATE("54820177456")</f>
        <v>54820177456</v>
      </c>
      <c r="K3274" s="3" t="s">
        <v>33</v>
      </c>
      <c r="L3274" s="3"/>
      <c r="M3274" s="3" t="s">
        <v>131</v>
      </c>
      <c r="N3274" s="3" t="str">
        <f>CONCATENATE("NNBLSN50A15G479K")</f>
        <v>NNBLSN50A15G479K</v>
      </c>
      <c r="O3274" s="3" t="s">
        <v>3396</v>
      </c>
      <c r="P3274" s="3" t="s">
        <v>36</v>
      </c>
      <c r="Q3274" s="3"/>
      <c r="R3274" s="4">
        <v>45996</v>
      </c>
      <c r="S3274" s="3" t="s">
        <v>37</v>
      </c>
      <c r="T3274" s="3" t="s">
        <v>38</v>
      </c>
      <c r="U3274" s="3" t="s">
        <v>39</v>
      </c>
      <c r="V3274" s="3">
        <v>205.72</v>
      </c>
      <c r="W3274" s="3">
        <v>87.43</v>
      </c>
      <c r="X3274" s="3">
        <v>82.8</v>
      </c>
      <c r="Y3274" s="3">
        <v>35.49</v>
      </c>
    </row>
    <row r="3275" spans="1:25" ht="60.75" x14ac:dyDescent="0.25">
      <c r="A3275" s="3" t="s">
        <v>26</v>
      </c>
      <c r="B3275" s="3" t="s">
        <v>27</v>
      </c>
      <c r="C3275" s="3" t="s">
        <v>28</v>
      </c>
      <c r="D3275" s="3" t="s">
        <v>104</v>
      </c>
      <c r="E3275" s="3" t="s">
        <v>141</v>
      </c>
      <c r="F3275" s="3" t="s">
        <v>104</v>
      </c>
      <c r="G3275" s="3" t="s">
        <v>141</v>
      </c>
      <c r="H3275" s="3" t="s">
        <v>96</v>
      </c>
      <c r="I3275" s="3">
        <v>2025</v>
      </c>
      <c r="J3275" s="3" t="str">
        <f>CONCATENATE("54820283460")</f>
        <v>54820283460</v>
      </c>
      <c r="K3275" s="3" t="s">
        <v>33</v>
      </c>
      <c r="L3275" s="3"/>
      <c r="M3275" s="3" t="s">
        <v>131</v>
      </c>
      <c r="N3275" s="3" t="str">
        <f>CONCATENATE("CRTDNI72R24L597Z")</f>
        <v>CRTDNI72R24L597Z</v>
      </c>
      <c r="O3275" s="3" t="s">
        <v>3397</v>
      </c>
      <c r="P3275" s="3" t="s">
        <v>36</v>
      </c>
      <c r="Q3275" s="3"/>
      <c r="R3275" s="4">
        <v>45996</v>
      </c>
      <c r="S3275" s="3" t="s">
        <v>37</v>
      </c>
      <c r="T3275" s="3" t="s">
        <v>38</v>
      </c>
      <c r="U3275" s="3" t="s">
        <v>39</v>
      </c>
      <c r="V3275" s="5">
        <v>1056.4000000000001</v>
      </c>
      <c r="W3275" s="3">
        <v>448.97</v>
      </c>
      <c r="X3275" s="3">
        <v>425.2</v>
      </c>
      <c r="Y3275" s="3">
        <v>182.23</v>
      </c>
    </row>
    <row r="3276" spans="1:25" ht="60.75" x14ac:dyDescent="0.25">
      <c r="A3276" s="3" t="s">
        <v>26</v>
      </c>
      <c r="B3276" s="3" t="s">
        <v>27</v>
      </c>
      <c r="C3276" s="3" t="s">
        <v>28</v>
      </c>
      <c r="D3276" s="3" t="s">
        <v>50</v>
      </c>
      <c r="E3276" s="3" t="s">
        <v>51</v>
      </c>
      <c r="F3276" s="3" t="s">
        <v>52</v>
      </c>
      <c r="G3276" s="3" t="s">
        <v>51</v>
      </c>
      <c r="H3276" s="3" t="s">
        <v>48</v>
      </c>
      <c r="I3276" s="3">
        <v>2025</v>
      </c>
      <c r="J3276" s="3" t="str">
        <f>CONCATENATE("54820182613")</f>
        <v>54820182613</v>
      </c>
      <c r="K3276" s="3" t="s">
        <v>33</v>
      </c>
      <c r="L3276" s="3"/>
      <c r="M3276" s="3" t="s">
        <v>131</v>
      </c>
      <c r="N3276" s="3" t="str">
        <f>CONCATENATE("SBBFNN49P09A366R")</f>
        <v>SBBFNN49P09A366R</v>
      </c>
      <c r="O3276" s="3" t="s">
        <v>3398</v>
      </c>
      <c r="P3276" s="3" t="s">
        <v>36</v>
      </c>
      <c r="Q3276" s="3"/>
      <c r="R3276" s="4">
        <v>45996</v>
      </c>
      <c r="S3276" s="3" t="s">
        <v>37</v>
      </c>
      <c r="T3276" s="3" t="s">
        <v>38</v>
      </c>
      <c r="U3276" s="3" t="s">
        <v>39</v>
      </c>
      <c r="V3276" s="3">
        <v>171.94</v>
      </c>
      <c r="W3276" s="3">
        <v>73.069999999999993</v>
      </c>
      <c r="X3276" s="3">
        <v>69.209999999999994</v>
      </c>
      <c r="Y3276" s="3">
        <v>29.66</v>
      </c>
    </row>
    <row r="3277" spans="1:25" ht="60.75" x14ac:dyDescent="0.25">
      <c r="A3277" s="3" t="s">
        <v>26</v>
      </c>
      <c r="B3277" s="3" t="s">
        <v>27</v>
      </c>
      <c r="C3277" s="3" t="s">
        <v>28</v>
      </c>
      <c r="D3277" s="3" t="s">
        <v>29</v>
      </c>
      <c r="E3277" s="3" t="s">
        <v>47</v>
      </c>
      <c r="F3277" s="3" t="s">
        <v>31</v>
      </c>
      <c r="G3277" s="3" t="s">
        <v>47</v>
      </c>
      <c r="H3277" s="3" t="s">
        <v>48</v>
      </c>
      <c r="I3277" s="3">
        <v>2025</v>
      </c>
      <c r="J3277" s="3" t="str">
        <f>CONCATENATE("54820186614")</f>
        <v>54820186614</v>
      </c>
      <c r="K3277" s="3" t="s">
        <v>33</v>
      </c>
      <c r="L3277" s="3"/>
      <c r="M3277" s="3" t="s">
        <v>131</v>
      </c>
      <c r="N3277" s="3" t="str">
        <f>CONCATENATE("RGLGRG71H30I653I")</f>
        <v>RGLGRG71H30I653I</v>
      </c>
      <c r="O3277" s="3" t="s">
        <v>3399</v>
      </c>
      <c r="P3277" s="3" t="s">
        <v>36</v>
      </c>
      <c r="Q3277" s="3"/>
      <c r="R3277" s="4">
        <v>45996</v>
      </c>
      <c r="S3277" s="3" t="s">
        <v>37</v>
      </c>
      <c r="T3277" s="3" t="s">
        <v>38</v>
      </c>
      <c r="U3277" s="3" t="s">
        <v>39</v>
      </c>
      <c r="V3277" s="3">
        <v>402.7</v>
      </c>
      <c r="W3277" s="3">
        <v>171.15</v>
      </c>
      <c r="X3277" s="3">
        <v>162.09</v>
      </c>
      <c r="Y3277" s="3">
        <v>69.459999999999994</v>
      </c>
    </row>
    <row r="3278" spans="1:25" ht="72.75" x14ac:dyDescent="0.25">
      <c r="A3278" s="3" t="s">
        <v>26</v>
      </c>
      <c r="B3278" s="3" t="s">
        <v>27</v>
      </c>
      <c r="C3278" s="3" t="s">
        <v>28</v>
      </c>
      <c r="D3278" s="3" t="s">
        <v>29</v>
      </c>
      <c r="E3278" s="3" t="s">
        <v>119</v>
      </c>
      <c r="F3278" s="3" t="s">
        <v>31</v>
      </c>
      <c r="G3278" s="3" t="s">
        <v>119</v>
      </c>
      <c r="H3278" s="3" t="s">
        <v>96</v>
      </c>
      <c r="I3278" s="3">
        <v>2025</v>
      </c>
      <c r="J3278" s="3" t="str">
        <f>CONCATENATE("54820134838")</f>
        <v>54820134838</v>
      </c>
      <c r="K3278" s="3" t="s">
        <v>33</v>
      </c>
      <c r="L3278" s="3"/>
      <c r="M3278" s="3" t="s">
        <v>131</v>
      </c>
      <c r="N3278" s="3" t="str">
        <f>CONCATENATE("TRBMRC69B19H588Q")</f>
        <v>TRBMRC69B19H588Q</v>
      </c>
      <c r="O3278" s="3" t="s">
        <v>3400</v>
      </c>
      <c r="P3278" s="3" t="s">
        <v>36</v>
      </c>
      <c r="Q3278" s="3"/>
      <c r="R3278" s="4">
        <v>45996</v>
      </c>
      <c r="S3278" s="3" t="s">
        <v>37</v>
      </c>
      <c r="T3278" s="3" t="s">
        <v>38</v>
      </c>
      <c r="U3278" s="3" t="s">
        <v>39</v>
      </c>
      <c r="V3278" s="3">
        <v>223.88</v>
      </c>
      <c r="W3278" s="3">
        <v>95.15</v>
      </c>
      <c r="X3278" s="3">
        <v>90.11</v>
      </c>
      <c r="Y3278" s="3">
        <v>38.619999999999997</v>
      </c>
    </row>
    <row r="3279" spans="1:25" ht="60.75" x14ac:dyDescent="0.25">
      <c r="A3279" s="3" t="s">
        <v>26</v>
      </c>
      <c r="B3279" s="3" t="s">
        <v>27</v>
      </c>
      <c r="C3279" s="3" t="s">
        <v>28</v>
      </c>
      <c r="D3279" s="3" t="s">
        <v>29</v>
      </c>
      <c r="E3279" s="3" t="s">
        <v>233</v>
      </c>
      <c r="F3279" s="3" t="s">
        <v>31</v>
      </c>
      <c r="G3279" s="3" t="s">
        <v>233</v>
      </c>
      <c r="H3279" s="3" t="s">
        <v>96</v>
      </c>
      <c r="I3279" s="3">
        <v>2025</v>
      </c>
      <c r="J3279" s="3" t="str">
        <f>CONCATENATE("54820061957")</f>
        <v>54820061957</v>
      </c>
      <c r="K3279" s="3" t="s">
        <v>33</v>
      </c>
      <c r="L3279" s="3"/>
      <c r="M3279" s="3" t="s">
        <v>131</v>
      </c>
      <c r="N3279" s="3" t="str">
        <f>CONCATENATE("MSSSST71D14A462W")</f>
        <v>MSSSST71D14A462W</v>
      </c>
      <c r="O3279" s="3" t="s">
        <v>3401</v>
      </c>
      <c r="P3279" s="3" t="s">
        <v>36</v>
      </c>
      <c r="Q3279" s="3"/>
      <c r="R3279" s="4">
        <v>45996</v>
      </c>
      <c r="S3279" s="3" t="s">
        <v>37</v>
      </c>
      <c r="T3279" s="3" t="s">
        <v>38</v>
      </c>
      <c r="U3279" s="3" t="s">
        <v>39</v>
      </c>
      <c r="V3279" s="3">
        <v>125.73</v>
      </c>
      <c r="W3279" s="3">
        <v>53.44</v>
      </c>
      <c r="X3279" s="3">
        <v>50.61</v>
      </c>
      <c r="Y3279" s="3">
        <v>21.68</v>
      </c>
    </row>
    <row r="3280" spans="1:25" ht="60.75" x14ac:dyDescent="0.25">
      <c r="A3280" s="3" t="s">
        <v>26</v>
      </c>
      <c r="B3280" s="3" t="s">
        <v>27</v>
      </c>
      <c r="C3280" s="3" t="s">
        <v>28</v>
      </c>
      <c r="D3280" s="3" t="s">
        <v>29</v>
      </c>
      <c r="E3280" s="3" t="s">
        <v>208</v>
      </c>
      <c r="F3280" s="3" t="s">
        <v>31</v>
      </c>
      <c r="G3280" s="3" t="s">
        <v>208</v>
      </c>
      <c r="H3280" s="3" t="s">
        <v>45</v>
      </c>
      <c r="I3280" s="3">
        <v>2025</v>
      </c>
      <c r="J3280" s="3" t="str">
        <f>CONCATENATE("54820046776")</f>
        <v>54820046776</v>
      </c>
      <c r="K3280" s="3" t="s">
        <v>33</v>
      </c>
      <c r="L3280" s="3"/>
      <c r="M3280" s="3" t="s">
        <v>131</v>
      </c>
      <c r="N3280" s="3" t="str">
        <f>CONCATENATE("GBLGRL36S26B026C")</f>
        <v>GBLGRL36S26B026C</v>
      </c>
      <c r="O3280" s="3" t="s">
        <v>3402</v>
      </c>
      <c r="P3280" s="3" t="s">
        <v>36</v>
      </c>
      <c r="Q3280" s="3"/>
      <c r="R3280" s="4">
        <v>45996</v>
      </c>
      <c r="S3280" s="3" t="s">
        <v>37</v>
      </c>
      <c r="T3280" s="3" t="s">
        <v>38</v>
      </c>
      <c r="U3280" s="3" t="s">
        <v>39</v>
      </c>
      <c r="V3280" s="3">
        <v>127.99</v>
      </c>
      <c r="W3280" s="3">
        <v>54.4</v>
      </c>
      <c r="X3280" s="3">
        <v>51.52</v>
      </c>
      <c r="Y3280" s="3">
        <v>22.07</v>
      </c>
    </row>
    <row r="3281" spans="1:25" ht="36.75" x14ac:dyDescent="0.25">
      <c r="A3281" s="3" t="s">
        <v>26</v>
      </c>
      <c r="B3281" s="3" t="s">
        <v>27</v>
      </c>
      <c r="C3281" s="3" t="s">
        <v>28</v>
      </c>
      <c r="D3281" s="3" t="s">
        <v>29</v>
      </c>
      <c r="E3281" s="3" t="s">
        <v>68</v>
      </c>
      <c r="F3281" s="3" t="s">
        <v>31</v>
      </c>
      <c r="G3281" s="3" t="s">
        <v>68</v>
      </c>
      <c r="H3281" s="3" t="s">
        <v>32</v>
      </c>
      <c r="I3281" s="3">
        <v>2025</v>
      </c>
      <c r="J3281" s="3" t="str">
        <f>CONCATENATE("54820266796")</f>
        <v>54820266796</v>
      </c>
      <c r="K3281" s="3" t="s">
        <v>33</v>
      </c>
      <c r="L3281" s="3"/>
      <c r="M3281" s="3" t="s">
        <v>131</v>
      </c>
      <c r="N3281" s="3" t="str">
        <f>CONCATENATE("01907690430")</f>
        <v>01907690430</v>
      </c>
      <c r="O3281" s="3" t="s">
        <v>3403</v>
      </c>
      <c r="P3281" s="3" t="s">
        <v>36</v>
      </c>
      <c r="Q3281" s="3"/>
      <c r="R3281" s="4">
        <v>45996</v>
      </c>
      <c r="S3281" s="3" t="s">
        <v>37</v>
      </c>
      <c r="T3281" s="3" t="s">
        <v>38</v>
      </c>
      <c r="U3281" s="3" t="s">
        <v>39</v>
      </c>
      <c r="V3281" s="5">
        <v>1331.66</v>
      </c>
      <c r="W3281" s="3">
        <v>565.96</v>
      </c>
      <c r="X3281" s="3">
        <v>535.99</v>
      </c>
      <c r="Y3281" s="3">
        <v>229.71</v>
      </c>
    </row>
    <row r="3282" spans="1:25" ht="60.75" x14ac:dyDescent="0.25">
      <c r="A3282" s="3" t="s">
        <v>26</v>
      </c>
      <c r="B3282" s="3" t="s">
        <v>27</v>
      </c>
      <c r="C3282" s="3" t="s">
        <v>28</v>
      </c>
      <c r="D3282" s="3" t="s">
        <v>50</v>
      </c>
      <c r="E3282" s="3" t="s">
        <v>60</v>
      </c>
      <c r="F3282" s="3" t="s">
        <v>52</v>
      </c>
      <c r="G3282" s="3" t="s">
        <v>60</v>
      </c>
      <c r="H3282" s="3" t="s">
        <v>45</v>
      </c>
      <c r="I3282" s="3">
        <v>2025</v>
      </c>
      <c r="J3282" s="3" t="str">
        <f>CONCATENATE("54820239561")</f>
        <v>54820239561</v>
      </c>
      <c r="K3282" s="3" t="s">
        <v>33</v>
      </c>
      <c r="L3282" s="3"/>
      <c r="M3282" s="3" t="s">
        <v>131</v>
      </c>
      <c r="N3282" s="3" t="str">
        <f>CONCATENATE("LGRGPP82E22A662B")</f>
        <v>LGRGPP82E22A662B</v>
      </c>
      <c r="O3282" s="3" t="s">
        <v>3404</v>
      </c>
      <c r="P3282" s="3" t="s">
        <v>36</v>
      </c>
      <c r="Q3282" s="3"/>
      <c r="R3282" s="4">
        <v>45996</v>
      </c>
      <c r="S3282" s="3" t="s">
        <v>37</v>
      </c>
      <c r="T3282" s="3" t="s">
        <v>38</v>
      </c>
      <c r="U3282" s="3" t="s">
        <v>39</v>
      </c>
      <c r="V3282" s="3">
        <v>352.33</v>
      </c>
      <c r="W3282" s="3">
        <v>149.74</v>
      </c>
      <c r="X3282" s="3">
        <v>141.81</v>
      </c>
      <c r="Y3282" s="3">
        <v>60.78</v>
      </c>
    </row>
    <row r="3283" spans="1:25" ht="36.75" x14ac:dyDescent="0.25">
      <c r="A3283" s="3" t="s">
        <v>26</v>
      </c>
      <c r="B3283" s="3" t="s">
        <v>27</v>
      </c>
      <c r="C3283" s="3" t="s">
        <v>28</v>
      </c>
      <c r="D3283" s="3" t="s">
        <v>104</v>
      </c>
      <c r="E3283" s="3" t="s">
        <v>141</v>
      </c>
      <c r="F3283" s="3" t="s">
        <v>104</v>
      </c>
      <c r="G3283" s="3" t="s">
        <v>141</v>
      </c>
      <c r="H3283" s="3" t="s">
        <v>96</v>
      </c>
      <c r="I3283" s="3">
        <v>2025</v>
      </c>
      <c r="J3283" s="3" t="str">
        <f>CONCATENATE("54820283338")</f>
        <v>54820283338</v>
      </c>
      <c r="K3283" s="3" t="s">
        <v>33</v>
      </c>
      <c r="L3283" s="3"/>
      <c r="M3283" s="3" t="s">
        <v>131</v>
      </c>
      <c r="N3283" s="3" t="str">
        <f>CONCATENATE("02271970440")</f>
        <v>02271970440</v>
      </c>
      <c r="O3283" s="3" t="s">
        <v>3405</v>
      </c>
      <c r="P3283" s="3" t="s">
        <v>36</v>
      </c>
      <c r="Q3283" s="3"/>
      <c r="R3283" s="4">
        <v>45996</v>
      </c>
      <c r="S3283" s="3" t="s">
        <v>37</v>
      </c>
      <c r="T3283" s="3" t="s">
        <v>38</v>
      </c>
      <c r="U3283" s="3" t="s">
        <v>39</v>
      </c>
      <c r="V3283" s="3">
        <v>444.06</v>
      </c>
      <c r="W3283" s="3">
        <v>188.73</v>
      </c>
      <c r="X3283" s="3">
        <v>178.73</v>
      </c>
      <c r="Y3283" s="3">
        <v>76.599999999999994</v>
      </c>
    </row>
    <row r="3284" spans="1:25" ht="36.75" x14ac:dyDescent="0.25">
      <c r="A3284" s="3" t="s">
        <v>26</v>
      </c>
      <c r="B3284" s="3" t="s">
        <v>27</v>
      </c>
      <c r="C3284" s="3" t="s">
        <v>28</v>
      </c>
      <c r="D3284" s="3" t="s">
        <v>50</v>
      </c>
      <c r="E3284" s="3" t="s">
        <v>60</v>
      </c>
      <c r="F3284" s="3" t="s">
        <v>52</v>
      </c>
      <c r="G3284" s="3" t="s">
        <v>60</v>
      </c>
      <c r="H3284" s="3" t="s">
        <v>45</v>
      </c>
      <c r="I3284" s="3">
        <v>2025</v>
      </c>
      <c r="J3284" s="3" t="str">
        <f>CONCATENATE("54820213889")</f>
        <v>54820213889</v>
      </c>
      <c r="K3284" s="3" t="s">
        <v>33</v>
      </c>
      <c r="L3284" s="3"/>
      <c r="M3284" s="3" t="s">
        <v>131</v>
      </c>
      <c r="N3284" s="3" t="str">
        <f>CONCATENATE("02588690418")</f>
        <v>02588690418</v>
      </c>
      <c r="O3284" s="3" t="s">
        <v>3406</v>
      </c>
      <c r="P3284" s="3" t="s">
        <v>36</v>
      </c>
      <c r="Q3284" s="3"/>
      <c r="R3284" s="4">
        <v>45996</v>
      </c>
      <c r="S3284" s="3" t="s">
        <v>37</v>
      </c>
      <c r="T3284" s="3" t="s">
        <v>38</v>
      </c>
      <c r="U3284" s="3" t="s">
        <v>39</v>
      </c>
      <c r="V3284" s="3">
        <v>88.62</v>
      </c>
      <c r="W3284" s="3">
        <v>37.659999999999997</v>
      </c>
      <c r="X3284" s="3">
        <v>35.67</v>
      </c>
      <c r="Y3284" s="3">
        <v>15.29</v>
      </c>
    </row>
    <row r="3285" spans="1:25" ht="72.75" x14ac:dyDescent="0.25">
      <c r="A3285" s="3" t="s">
        <v>26</v>
      </c>
      <c r="B3285" s="3" t="s">
        <v>27</v>
      </c>
      <c r="C3285" s="3" t="s">
        <v>28</v>
      </c>
      <c r="D3285" s="3" t="s">
        <v>29</v>
      </c>
      <c r="E3285" s="3" t="s">
        <v>56</v>
      </c>
      <c r="F3285" s="3" t="s">
        <v>31</v>
      </c>
      <c r="G3285" s="3" t="s">
        <v>56</v>
      </c>
      <c r="H3285" s="3" t="s">
        <v>32</v>
      </c>
      <c r="I3285" s="3">
        <v>2025</v>
      </c>
      <c r="J3285" s="3" t="str">
        <f>CONCATENATE("54820122528")</f>
        <v>54820122528</v>
      </c>
      <c r="K3285" s="3" t="s">
        <v>33</v>
      </c>
      <c r="L3285" s="3"/>
      <c r="M3285" s="3" t="s">
        <v>131</v>
      </c>
      <c r="N3285" s="3" t="str">
        <f>CONCATENATE("PRCPCA44M19D429D")</f>
        <v>PRCPCA44M19D429D</v>
      </c>
      <c r="O3285" s="3" t="s">
        <v>3407</v>
      </c>
      <c r="P3285" s="3" t="s">
        <v>36</v>
      </c>
      <c r="Q3285" s="3"/>
      <c r="R3285" s="4">
        <v>45996</v>
      </c>
      <c r="S3285" s="3" t="s">
        <v>37</v>
      </c>
      <c r="T3285" s="3" t="s">
        <v>38</v>
      </c>
      <c r="U3285" s="3" t="s">
        <v>39</v>
      </c>
      <c r="V3285" s="3">
        <v>275.7</v>
      </c>
      <c r="W3285" s="3">
        <v>117.17</v>
      </c>
      <c r="X3285" s="3">
        <v>110.97</v>
      </c>
      <c r="Y3285" s="3">
        <v>47.56</v>
      </c>
    </row>
    <row r="3286" spans="1:25" ht="72.75" x14ac:dyDescent="0.25">
      <c r="A3286" s="3" t="s">
        <v>26</v>
      </c>
      <c r="B3286" s="3" t="s">
        <v>27</v>
      </c>
      <c r="C3286" s="3" t="s">
        <v>28</v>
      </c>
      <c r="D3286" s="3" t="s">
        <v>91</v>
      </c>
      <c r="E3286" s="3" t="s">
        <v>95</v>
      </c>
      <c r="F3286" s="3" t="s">
        <v>93</v>
      </c>
      <c r="G3286" s="3" t="s">
        <v>95</v>
      </c>
      <c r="H3286" s="3" t="s">
        <v>96</v>
      </c>
      <c r="I3286" s="3">
        <v>2025</v>
      </c>
      <c r="J3286" s="3" t="str">
        <f>CONCATENATE("54820206875")</f>
        <v>54820206875</v>
      </c>
      <c r="K3286" s="3" t="s">
        <v>33</v>
      </c>
      <c r="L3286" s="3"/>
      <c r="M3286" s="3" t="s">
        <v>131</v>
      </c>
      <c r="N3286" s="3" t="str">
        <f>CONCATENATE("CNDLGS63B44H588R")</f>
        <v>CNDLGS63B44H588R</v>
      </c>
      <c r="O3286" s="3" t="s">
        <v>3408</v>
      </c>
      <c r="P3286" s="3" t="s">
        <v>36</v>
      </c>
      <c r="Q3286" s="3"/>
      <c r="R3286" s="4">
        <v>45996</v>
      </c>
      <c r="S3286" s="3" t="s">
        <v>37</v>
      </c>
      <c r="T3286" s="3" t="s">
        <v>38</v>
      </c>
      <c r="U3286" s="3" t="s">
        <v>39</v>
      </c>
      <c r="V3286" s="3">
        <v>224.03</v>
      </c>
      <c r="W3286" s="3">
        <v>95.21</v>
      </c>
      <c r="X3286" s="3">
        <v>90.17</v>
      </c>
      <c r="Y3286" s="3">
        <v>38.65</v>
      </c>
    </row>
    <row r="3287" spans="1:25" ht="60.75" x14ac:dyDescent="0.25">
      <c r="A3287" s="3" t="s">
        <v>26</v>
      </c>
      <c r="B3287" s="3" t="s">
        <v>27</v>
      </c>
      <c r="C3287" s="3" t="s">
        <v>28</v>
      </c>
      <c r="D3287" s="3" t="s">
        <v>50</v>
      </c>
      <c r="E3287" s="3" t="s">
        <v>60</v>
      </c>
      <c r="F3287" s="3" t="s">
        <v>52</v>
      </c>
      <c r="G3287" s="3" t="s">
        <v>60</v>
      </c>
      <c r="H3287" s="3" t="s">
        <v>45</v>
      </c>
      <c r="I3287" s="3">
        <v>2025</v>
      </c>
      <c r="J3287" s="3" t="str">
        <f>CONCATENATE("54820209531")</f>
        <v>54820209531</v>
      </c>
      <c r="K3287" s="3" t="s">
        <v>33</v>
      </c>
      <c r="L3287" s="3"/>
      <c r="M3287" s="3" t="s">
        <v>131</v>
      </c>
      <c r="N3287" s="3" t="str">
        <f>CONCATENATE("BRNLML56P56C523N")</f>
        <v>BRNLML56P56C523N</v>
      </c>
      <c r="O3287" s="3" t="s">
        <v>3409</v>
      </c>
      <c r="P3287" s="3" t="s">
        <v>36</v>
      </c>
      <c r="Q3287" s="3"/>
      <c r="R3287" s="4">
        <v>45996</v>
      </c>
      <c r="S3287" s="3" t="s">
        <v>37</v>
      </c>
      <c r="T3287" s="3" t="s">
        <v>38</v>
      </c>
      <c r="U3287" s="3" t="s">
        <v>39</v>
      </c>
      <c r="V3287" s="3">
        <v>278.39</v>
      </c>
      <c r="W3287" s="3">
        <v>118.32</v>
      </c>
      <c r="X3287" s="3">
        <v>112.05</v>
      </c>
      <c r="Y3287" s="3">
        <v>48.02</v>
      </c>
    </row>
    <row r="3288" spans="1:25" ht="60.75" x14ac:dyDescent="0.25">
      <c r="A3288" s="3" t="s">
        <v>26</v>
      </c>
      <c r="B3288" s="3" t="s">
        <v>27</v>
      </c>
      <c r="C3288" s="3" t="s">
        <v>28</v>
      </c>
      <c r="D3288" s="3" t="s">
        <v>50</v>
      </c>
      <c r="E3288" s="3" t="s">
        <v>252</v>
      </c>
      <c r="F3288" s="3" t="s">
        <v>52</v>
      </c>
      <c r="G3288" s="3" t="s">
        <v>252</v>
      </c>
      <c r="H3288" s="3" t="s">
        <v>45</v>
      </c>
      <c r="I3288" s="3">
        <v>2025</v>
      </c>
      <c r="J3288" s="3" t="str">
        <f>CONCATENATE("54820169354")</f>
        <v>54820169354</v>
      </c>
      <c r="K3288" s="3" t="s">
        <v>33</v>
      </c>
      <c r="L3288" s="3"/>
      <c r="M3288" s="3" t="s">
        <v>131</v>
      </c>
      <c r="N3288" s="3" t="str">
        <f>CONCATENATE("VLNFPP75H25D749H")</f>
        <v>VLNFPP75H25D749H</v>
      </c>
      <c r="O3288" s="3" t="s">
        <v>3410</v>
      </c>
      <c r="P3288" s="3" t="s">
        <v>36</v>
      </c>
      <c r="Q3288" s="3"/>
      <c r="R3288" s="4">
        <v>45996</v>
      </c>
      <c r="S3288" s="3" t="s">
        <v>37</v>
      </c>
      <c r="T3288" s="3" t="s">
        <v>38</v>
      </c>
      <c r="U3288" s="3" t="s">
        <v>39</v>
      </c>
      <c r="V3288" s="3">
        <v>86.47</v>
      </c>
      <c r="W3288" s="3">
        <v>36.75</v>
      </c>
      <c r="X3288" s="3">
        <v>34.799999999999997</v>
      </c>
      <c r="Y3288" s="3">
        <v>14.92</v>
      </c>
    </row>
    <row r="3289" spans="1:25" ht="36.75" x14ac:dyDescent="0.25">
      <c r="A3289" s="3" t="s">
        <v>26</v>
      </c>
      <c r="B3289" s="3" t="s">
        <v>27</v>
      </c>
      <c r="C3289" s="3" t="s">
        <v>28</v>
      </c>
      <c r="D3289" s="3" t="s">
        <v>91</v>
      </c>
      <c r="E3289" s="3" t="s">
        <v>151</v>
      </c>
      <c r="F3289" s="3" t="s">
        <v>93</v>
      </c>
      <c r="G3289" s="3" t="s">
        <v>151</v>
      </c>
      <c r="H3289" s="3" t="s">
        <v>45</v>
      </c>
      <c r="I3289" s="3">
        <v>2025</v>
      </c>
      <c r="J3289" s="3" t="str">
        <f>CONCATENATE("54820206263")</f>
        <v>54820206263</v>
      </c>
      <c r="K3289" s="3" t="s">
        <v>33</v>
      </c>
      <c r="L3289" s="3"/>
      <c r="M3289" s="3" t="s">
        <v>131</v>
      </c>
      <c r="N3289" s="3" t="str">
        <f>CONCATENATE("02559760414")</f>
        <v>02559760414</v>
      </c>
      <c r="O3289" s="3" t="s">
        <v>3411</v>
      </c>
      <c r="P3289" s="3" t="s">
        <v>36</v>
      </c>
      <c r="Q3289" s="3"/>
      <c r="R3289" s="4">
        <v>45996</v>
      </c>
      <c r="S3289" s="3" t="s">
        <v>37</v>
      </c>
      <c r="T3289" s="3" t="s">
        <v>38</v>
      </c>
      <c r="U3289" s="3" t="s">
        <v>39</v>
      </c>
      <c r="V3289" s="3">
        <v>182.14</v>
      </c>
      <c r="W3289" s="3">
        <v>77.41</v>
      </c>
      <c r="X3289" s="3">
        <v>73.31</v>
      </c>
      <c r="Y3289" s="3">
        <v>31.42</v>
      </c>
    </row>
    <row r="3290" spans="1:25" ht="36.75" x14ac:dyDescent="0.25">
      <c r="A3290" s="3" t="s">
        <v>26</v>
      </c>
      <c r="B3290" s="3" t="s">
        <v>27</v>
      </c>
      <c r="C3290" s="3" t="s">
        <v>28</v>
      </c>
      <c r="D3290" s="3" t="s">
        <v>50</v>
      </c>
      <c r="E3290" s="3" t="s">
        <v>51</v>
      </c>
      <c r="F3290" s="3" t="s">
        <v>52</v>
      </c>
      <c r="G3290" s="3" t="s">
        <v>51</v>
      </c>
      <c r="H3290" s="3" t="s">
        <v>48</v>
      </c>
      <c r="I3290" s="3">
        <v>2025</v>
      </c>
      <c r="J3290" s="3" t="str">
        <f>CONCATENATE("54820180609")</f>
        <v>54820180609</v>
      </c>
      <c r="K3290" s="3" t="s">
        <v>33</v>
      </c>
      <c r="L3290" s="3"/>
      <c r="M3290" s="3" t="s">
        <v>131</v>
      </c>
      <c r="N3290" s="3" t="str">
        <f>CONCATENATE("02881660423")</f>
        <v>02881660423</v>
      </c>
      <c r="O3290" s="3" t="s">
        <v>3412</v>
      </c>
      <c r="P3290" s="3" t="s">
        <v>36</v>
      </c>
      <c r="Q3290" s="3"/>
      <c r="R3290" s="4">
        <v>45996</v>
      </c>
      <c r="S3290" s="3" t="s">
        <v>37</v>
      </c>
      <c r="T3290" s="3" t="s">
        <v>38</v>
      </c>
      <c r="U3290" s="3" t="s">
        <v>39</v>
      </c>
      <c r="V3290" s="3">
        <v>414.06</v>
      </c>
      <c r="W3290" s="3">
        <v>175.98</v>
      </c>
      <c r="X3290" s="3">
        <v>166.66</v>
      </c>
      <c r="Y3290" s="3">
        <v>71.42</v>
      </c>
    </row>
    <row r="3291" spans="1:25" ht="48.75" x14ac:dyDescent="0.25">
      <c r="A3291" s="3" t="s">
        <v>26</v>
      </c>
      <c r="B3291" s="3" t="s">
        <v>27</v>
      </c>
      <c r="C3291" s="3" t="s">
        <v>28</v>
      </c>
      <c r="D3291" s="3" t="s">
        <v>29</v>
      </c>
      <c r="E3291" s="3" t="s">
        <v>101</v>
      </c>
      <c r="F3291" s="3" t="s">
        <v>31</v>
      </c>
      <c r="G3291" s="3" t="s">
        <v>101</v>
      </c>
      <c r="H3291" s="3" t="s">
        <v>32</v>
      </c>
      <c r="I3291" s="3">
        <v>2025</v>
      </c>
      <c r="J3291" s="3" t="str">
        <f>CONCATENATE("54820219357")</f>
        <v>54820219357</v>
      </c>
      <c r="K3291" s="3" t="s">
        <v>33</v>
      </c>
      <c r="L3291" s="3"/>
      <c r="M3291" s="3" t="s">
        <v>131</v>
      </c>
      <c r="N3291" s="3" t="str">
        <f>CONCATENATE("RSLSLV87D58I156C")</f>
        <v>RSLSLV87D58I156C</v>
      </c>
      <c r="O3291" s="3" t="s">
        <v>3413</v>
      </c>
      <c r="P3291" s="3" t="s">
        <v>36</v>
      </c>
      <c r="Q3291" s="3"/>
      <c r="R3291" s="4">
        <v>45996</v>
      </c>
      <c r="S3291" s="3" t="s">
        <v>37</v>
      </c>
      <c r="T3291" s="3" t="s">
        <v>38</v>
      </c>
      <c r="U3291" s="3" t="s">
        <v>39</v>
      </c>
      <c r="V3291" s="3">
        <v>106.39</v>
      </c>
      <c r="W3291" s="3">
        <v>45.22</v>
      </c>
      <c r="X3291" s="3">
        <v>42.82</v>
      </c>
      <c r="Y3291" s="3">
        <v>18.350000000000001</v>
      </c>
    </row>
    <row r="3292" spans="1:25" ht="60.75" x14ac:dyDescent="0.25">
      <c r="A3292" s="3" t="s">
        <v>26</v>
      </c>
      <c r="B3292" s="3" t="s">
        <v>27</v>
      </c>
      <c r="C3292" s="3" t="s">
        <v>28</v>
      </c>
      <c r="D3292" s="3" t="s">
        <v>29</v>
      </c>
      <c r="E3292" s="3" t="s">
        <v>56</v>
      </c>
      <c r="F3292" s="3" t="s">
        <v>31</v>
      </c>
      <c r="G3292" s="3" t="s">
        <v>56</v>
      </c>
      <c r="H3292" s="3" t="s">
        <v>32</v>
      </c>
      <c r="I3292" s="3">
        <v>2025</v>
      </c>
      <c r="J3292" s="3" t="str">
        <f>CONCATENATE("54820255286")</f>
        <v>54820255286</v>
      </c>
      <c r="K3292" s="3" t="s">
        <v>33</v>
      </c>
      <c r="L3292" s="3"/>
      <c r="M3292" s="3" t="s">
        <v>131</v>
      </c>
      <c r="N3292" s="3" t="str">
        <f>CONCATENATE("NTSDTR78R26Z129B")</f>
        <v>NTSDTR78R26Z129B</v>
      </c>
      <c r="O3292" s="3" t="s">
        <v>3414</v>
      </c>
      <c r="P3292" s="3" t="s">
        <v>36</v>
      </c>
      <c r="Q3292" s="3"/>
      <c r="R3292" s="4">
        <v>45996</v>
      </c>
      <c r="S3292" s="3" t="s">
        <v>37</v>
      </c>
      <c r="T3292" s="3" t="s">
        <v>38</v>
      </c>
      <c r="U3292" s="3" t="s">
        <v>39</v>
      </c>
      <c r="V3292" s="5">
        <v>1194.8</v>
      </c>
      <c r="W3292" s="3">
        <v>507.79</v>
      </c>
      <c r="X3292" s="3">
        <v>480.91</v>
      </c>
      <c r="Y3292" s="3">
        <v>206.1</v>
      </c>
    </row>
    <row r="3293" spans="1:25" ht="60.75" x14ac:dyDescent="0.25">
      <c r="A3293" s="3" t="s">
        <v>26</v>
      </c>
      <c r="B3293" s="3" t="s">
        <v>27</v>
      </c>
      <c r="C3293" s="3" t="s">
        <v>28</v>
      </c>
      <c r="D3293" s="3" t="s">
        <v>29</v>
      </c>
      <c r="E3293" s="3" t="s">
        <v>228</v>
      </c>
      <c r="F3293" s="3" t="s">
        <v>31</v>
      </c>
      <c r="G3293" s="3" t="s">
        <v>228</v>
      </c>
      <c r="H3293" s="3" t="s">
        <v>45</v>
      </c>
      <c r="I3293" s="3">
        <v>2025</v>
      </c>
      <c r="J3293" s="3" t="str">
        <f>CONCATENATE("54820208285")</f>
        <v>54820208285</v>
      </c>
      <c r="K3293" s="3" t="s">
        <v>33</v>
      </c>
      <c r="L3293" s="3"/>
      <c r="M3293" s="3" t="s">
        <v>131</v>
      </c>
      <c r="N3293" s="3" t="str">
        <f>CONCATENATE("CNGGNN89D22I608A")</f>
        <v>CNGGNN89D22I608A</v>
      </c>
      <c r="O3293" s="3" t="s">
        <v>3415</v>
      </c>
      <c r="P3293" s="3" t="s">
        <v>36</v>
      </c>
      <c r="Q3293" s="3"/>
      <c r="R3293" s="4">
        <v>45996</v>
      </c>
      <c r="S3293" s="3" t="s">
        <v>37</v>
      </c>
      <c r="T3293" s="3" t="s">
        <v>38</v>
      </c>
      <c r="U3293" s="3" t="s">
        <v>39</v>
      </c>
      <c r="V3293" s="5">
        <v>1098.92</v>
      </c>
      <c r="W3293" s="3">
        <v>467.04</v>
      </c>
      <c r="X3293" s="3">
        <v>442.32</v>
      </c>
      <c r="Y3293" s="3">
        <v>189.56</v>
      </c>
    </row>
    <row r="3294" spans="1:25" ht="60.75" x14ac:dyDescent="0.25">
      <c r="A3294" s="3" t="s">
        <v>26</v>
      </c>
      <c r="B3294" s="3" t="s">
        <v>27</v>
      </c>
      <c r="C3294" s="3" t="s">
        <v>28</v>
      </c>
      <c r="D3294" s="3" t="s">
        <v>29</v>
      </c>
      <c r="E3294" s="3" t="s">
        <v>72</v>
      </c>
      <c r="F3294" s="3" t="s">
        <v>31</v>
      </c>
      <c r="G3294" s="3" t="s">
        <v>72</v>
      </c>
      <c r="H3294" s="3" t="s">
        <v>45</v>
      </c>
      <c r="I3294" s="3">
        <v>2025</v>
      </c>
      <c r="J3294" s="3" t="str">
        <f>CONCATENATE("54820030515")</f>
        <v>54820030515</v>
      </c>
      <c r="K3294" s="3" t="s">
        <v>33</v>
      </c>
      <c r="L3294" s="3"/>
      <c r="M3294" s="3" t="s">
        <v>131</v>
      </c>
      <c r="N3294" s="3" t="str">
        <f>CONCATENATE("BGCFRC93E28L500B")</f>
        <v>BGCFRC93E28L500B</v>
      </c>
      <c r="O3294" s="3" t="s">
        <v>3416</v>
      </c>
      <c r="P3294" s="3" t="s">
        <v>36</v>
      </c>
      <c r="Q3294" s="3"/>
      <c r="R3294" s="4">
        <v>45996</v>
      </c>
      <c r="S3294" s="3" t="s">
        <v>37</v>
      </c>
      <c r="T3294" s="3" t="s">
        <v>38</v>
      </c>
      <c r="U3294" s="3" t="s">
        <v>39</v>
      </c>
      <c r="V3294" s="3">
        <v>284.02</v>
      </c>
      <c r="W3294" s="3">
        <v>120.71</v>
      </c>
      <c r="X3294" s="3">
        <v>114.32</v>
      </c>
      <c r="Y3294" s="3">
        <v>48.99</v>
      </c>
    </row>
    <row r="3295" spans="1:25" ht="60.75" x14ac:dyDescent="0.25">
      <c r="A3295" s="3" t="s">
        <v>26</v>
      </c>
      <c r="B3295" s="3" t="s">
        <v>27</v>
      </c>
      <c r="C3295" s="3" t="s">
        <v>28</v>
      </c>
      <c r="D3295" s="3" t="s">
        <v>29</v>
      </c>
      <c r="E3295" s="3" t="s">
        <v>233</v>
      </c>
      <c r="F3295" s="3" t="s">
        <v>31</v>
      </c>
      <c r="G3295" s="3" t="s">
        <v>233</v>
      </c>
      <c r="H3295" s="3" t="s">
        <v>96</v>
      </c>
      <c r="I3295" s="3">
        <v>2025</v>
      </c>
      <c r="J3295" s="3" t="str">
        <f>CONCATENATE("54820027800")</f>
        <v>54820027800</v>
      </c>
      <c r="K3295" s="3" t="s">
        <v>33</v>
      </c>
      <c r="L3295" s="3"/>
      <c r="M3295" s="3" t="s">
        <v>131</v>
      </c>
      <c r="N3295" s="3" t="str">
        <f>CONCATENATE("CLNPLA48S51A044Z")</f>
        <v>CLNPLA48S51A044Z</v>
      </c>
      <c r="O3295" s="3" t="s">
        <v>3417</v>
      </c>
      <c r="P3295" s="3" t="s">
        <v>36</v>
      </c>
      <c r="Q3295" s="3"/>
      <c r="R3295" s="4">
        <v>45996</v>
      </c>
      <c r="S3295" s="3" t="s">
        <v>37</v>
      </c>
      <c r="T3295" s="3" t="s">
        <v>38</v>
      </c>
      <c r="U3295" s="3" t="s">
        <v>39</v>
      </c>
      <c r="V3295" s="3">
        <v>241.09</v>
      </c>
      <c r="W3295" s="3">
        <v>102.46</v>
      </c>
      <c r="X3295" s="3">
        <v>97.04</v>
      </c>
      <c r="Y3295" s="3">
        <v>41.59</v>
      </c>
    </row>
    <row r="3296" spans="1:25" ht="60.75" x14ac:dyDescent="0.25">
      <c r="A3296" s="3" t="s">
        <v>26</v>
      </c>
      <c r="B3296" s="3" t="s">
        <v>27</v>
      </c>
      <c r="C3296" s="3" t="s">
        <v>28</v>
      </c>
      <c r="D3296" s="3" t="s">
        <v>50</v>
      </c>
      <c r="E3296" s="3" t="s">
        <v>149</v>
      </c>
      <c r="F3296" s="3" t="s">
        <v>52</v>
      </c>
      <c r="G3296" s="3" t="s">
        <v>149</v>
      </c>
      <c r="H3296" s="3" t="s">
        <v>96</v>
      </c>
      <c r="I3296" s="3">
        <v>2025</v>
      </c>
      <c r="J3296" s="3" t="str">
        <f>CONCATENATE("54820024674")</f>
        <v>54820024674</v>
      </c>
      <c r="K3296" s="3" t="s">
        <v>33</v>
      </c>
      <c r="L3296" s="3"/>
      <c r="M3296" s="3" t="s">
        <v>131</v>
      </c>
      <c r="N3296" s="3" t="str">
        <f>CONCATENATE("LSNLNI62L15A462G")</f>
        <v>LSNLNI62L15A462G</v>
      </c>
      <c r="O3296" s="3" t="s">
        <v>3418</v>
      </c>
      <c r="P3296" s="3" t="s">
        <v>36</v>
      </c>
      <c r="Q3296" s="3"/>
      <c r="R3296" s="4">
        <v>45996</v>
      </c>
      <c r="S3296" s="3" t="s">
        <v>37</v>
      </c>
      <c r="T3296" s="3" t="s">
        <v>38</v>
      </c>
      <c r="U3296" s="3" t="s">
        <v>39</v>
      </c>
      <c r="V3296" s="3">
        <v>454.8</v>
      </c>
      <c r="W3296" s="3">
        <v>193.29</v>
      </c>
      <c r="X3296" s="3">
        <v>183.06</v>
      </c>
      <c r="Y3296" s="3">
        <v>78.45</v>
      </c>
    </row>
    <row r="3297" spans="1:25" ht="72.75" x14ac:dyDescent="0.25">
      <c r="A3297" s="3" t="s">
        <v>26</v>
      </c>
      <c r="B3297" s="3" t="s">
        <v>27</v>
      </c>
      <c r="C3297" s="3" t="s">
        <v>28</v>
      </c>
      <c r="D3297" s="3" t="s">
        <v>40</v>
      </c>
      <c r="E3297" s="3" t="s">
        <v>54</v>
      </c>
      <c r="F3297" s="3" t="s">
        <v>42</v>
      </c>
      <c r="G3297" s="3" t="s">
        <v>54</v>
      </c>
      <c r="H3297" s="3" t="s">
        <v>45</v>
      </c>
      <c r="I3297" s="3">
        <v>2025</v>
      </c>
      <c r="J3297" s="3" t="str">
        <f>CONCATENATE("54820067384")</f>
        <v>54820067384</v>
      </c>
      <c r="K3297" s="3" t="s">
        <v>33</v>
      </c>
      <c r="L3297" s="3"/>
      <c r="M3297" s="3" t="s">
        <v>131</v>
      </c>
      <c r="N3297" s="3" t="str">
        <f>CONCATENATE("CNTNMR52A44F478T")</f>
        <v>CNTNMR52A44F478T</v>
      </c>
      <c r="O3297" s="3" t="s">
        <v>3419</v>
      </c>
      <c r="P3297" s="3" t="s">
        <v>36</v>
      </c>
      <c r="Q3297" s="3"/>
      <c r="R3297" s="4">
        <v>45996</v>
      </c>
      <c r="S3297" s="3" t="s">
        <v>37</v>
      </c>
      <c r="T3297" s="3" t="s">
        <v>38</v>
      </c>
      <c r="U3297" s="3" t="s">
        <v>39</v>
      </c>
      <c r="V3297" s="3">
        <v>373.31</v>
      </c>
      <c r="W3297" s="3">
        <v>158.66</v>
      </c>
      <c r="X3297" s="3">
        <v>150.26</v>
      </c>
      <c r="Y3297" s="3">
        <v>64.39</v>
      </c>
    </row>
    <row r="3298" spans="1:25" ht="60.75" x14ac:dyDescent="0.25">
      <c r="A3298" s="3" t="s">
        <v>26</v>
      </c>
      <c r="B3298" s="3" t="s">
        <v>27</v>
      </c>
      <c r="C3298" s="3" t="s">
        <v>28</v>
      </c>
      <c r="D3298" s="3" t="s">
        <v>29</v>
      </c>
      <c r="E3298" s="3" t="s">
        <v>119</v>
      </c>
      <c r="F3298" s="3" t="s">
        <v>31</v>
      </c>
      <c r="G3298" s="3" t="s">
        <v>119</v>
      </c>
      <c r="H3298" s="3" t="s">
        <v>96</v>
      </c>
      <c r="I3298" s="3">
        <v>2025</v>
      </c>
      <c r="J3298" s="3" t="str">
        <f>CONCATENATE("54820023015")</f>
        <v>54820023015</v>
      </c>
      <c r="K3298" s="3" t="s">
        <v>33</v>
      </c>
      <c r="L3298" s="3"/>
      <c r="M3298" s="3" t="s">
        <v>131</v>
      </c>
      <c r="N3298" s="3" t="str">
        <f>CONCATENATE("MRTNGL44M25D691F")</f>
        <v>MRTNGL44M25D691F</v>
      </c>
      <c r="O3298" s="3" t="s">
        <v>3420</v>
      </c>
      <c r="P3298" s="3" t="s">
        <v>36</v>
      </c>
      <c r="Q3298" s="3"/>
      <c r="R3298" s="4">
        <v>45996</v>
      </c>
      <c r="S3298" s="3" t="s">
        <v>37</v>
      </c>
      <c r="T3298" s="3" t="s">
        <v>38</v>
      </c>
      <c r="U3298" s="3" t="s">
        <v>39</v>
      </c>
      <c r="V3298" s="3">
        <v>108.68</v>
      </c>
      <c r="W3298" s="3">
        <v>46.19</v>
      </c>
      <c r="X3298" s="3">
        <v>43.74</v>
      </c>
      <c r="Y3298" s="3">
        <v>18.75</v>
      </c>
    </row>
    <row r="3299" spans="1:25" ht="60.75" x14ac:dyDescent="0.25">
      <c r="A3299" s="3" t="s">
        <v>26</v>
      </c>
      <c r="B3299" s="3" t="s">
        <v>27</v>
      </c>
      <c r="C3299" s="3" t="s">
        <v>28</v>
      </c>
      <c r="D3299" s="3" t="s">
        <v>50</v>
      </c>
      <c r="E3299" s="3" t="s">
        <v>147</v>
      </c>
      <c r="F3299" s="3" t="s">
        <v>52</v>
      </c>
      <c r="G3299" s="3" t="s">
        <v>147</v>
      </c>
      <c r="H3299" s="3" t="s">
        <v>45</v>
      </c>
      <c r="I3299" s="3">
        <v>2025</v>
      </c>
      <c r="J3299" s="3" t="str">
        <f>CONCATENATE("54820174164")</f>
        <v>54820174164</v>
      </c>
      <c r="K3299" s="3" t="s">
        <v>33</v>
      </c>
      <c r="L3299" s="3"/>
      <c r="M3299" s="3" t="s">
        <v>131</v>
      </c>
      <c r="N3299" s="3" t="str">
        <f>CONCATENATE("TBNGCR36E29L078Q")</f>
        <v>TBNGCR36E29L078Q</v>
      </c>
      <c r="O3299" s="3" t="s">
        <v>3421</v>
      </c>
      <c r="P3299" s="3" t="s">
        <v>36</v>
      </c>
      <c r="Q3299" s="3"/>
      <c r="R3299" s="4">
        <v>45996</v>
      </c>
      <c r="S3299" s="3" t="s">
        <v>37</v>
      </c>
      <c r="T3299" s="3" t="s">
        <v>38</v>
      </c>
      <c r="U3299" s="3" t="s">
        <v>39</v>
      </c>
      <c r="V3299" s="3">
        <v>465.09</v>
      </c>
      <c r="W3299" s="3">
        <v>197.66</v>
      </c>
      <c r="X3299" s="3">
        <v>187.2</v>
      </c>
      <c r="Y3299" s="3">
        <v>80.23</v>
      </c>
    </row>
    <row r="3300" spans="1:25" ht="60.75" x14ac:dyDescent="0.25">
      <c r="A3300" s="3" t="s">
        <v>26</v>
      </c>
      <c r="B3300" s="3" t="s">
        <v>27</v>
      </c>
      <c r="C3300" s="3" t="s">
        <v>28</v>
      </c>
      <c r="D3300" s="3" t="s">
        <v>50</v>
      </c>
      <c r="E3300" s="3" t="s">
        <v>60</v>
      </c>
      <c r="F3300" s="3" t="s">
        <v>52</v>
      </c>
      <c r="G3300" s="3" t="s">
        <v>60</v>
      </c>
      <c r="H3300" s="3" t="s">
        <v>45</v>
      </c>
      <c r="I3300" s="3">
        <v>2025</v>
      </c>
      <c r="J3300" s="3" t="str">
        <f>CONCATENATE("54820168836")</f>
        <v>54820168836</v>
      </c>
      <c r="K3300" s="3" t="s">
        <v>33</v>
      </c>
      <c r="L3300" s="3"/>
      <c r="M3300" s="3" t="s">
        <v>131</v>
      </c>
      <c r="N3300" s="3" t="str">
        <f>CONCATENATE("SPSSFN62A26F347V")</f>
        <v>SPSSFN62A26F347V</v>
      </c>
      <c r="O3300" s="3" t="s">
        <v>3422</v>
      </c>
      <c r="P3300" s="3" t="s">
        <v>36</v>
      </c>
      <c r="Q3300" s="3"/>
      <c r="R3300" s="4">
        <v>45996</v>
      </c>
      <c r="S3300" s="3" t="s">
        <v>37</v>
      </c>
      <c r="T3300" s="3" t="s">
        <v>38</v>
      </c>
      <c r="U3300" s="3" t="s">
        <v>39</v>
      </c>
      <c r="V3300" s="3">
        <v>145.75</v>
      </c>
      <c r="W3300" s="3">
        <v>61.94</v>
      </c>
      <c r="X3300" s="3">
        <v>58.66</v>
      </c>
      <c r="Y3300" s="3">
        <v>25.15</v>
      </c>
    </row>
    <row r="3301" spans="1:25" ht="60.75" x14ac:dyDescent="0.25">
      <c r="A3301" s="3" t="s">
        <v>26</v>
      </c>
      <c r="B3301" s="3" t="s">
        <v>27</v>
      </c>
      <c r="C3301" s="3" t="s">
        <v>28</v>
      </c>
      <c r="D3301" s="3" t="s">
        <v>29</v>
      </c>
      <c r="E3301" s="3" t="s">
        <v>47</v>
      </c>
      <c r="F3301" s="3" t="s">
        <v>31</v>
      </c>
      <c r="G3301" s="3" t="s">
        <v>47</v>
      </c>
      <c r="H3301" s="3" t="s">
        <v>48</v>
      </c>
      <c r="I3301" s="3">
        <v>2025</v>
      </c>
      <c r="J3301" s="3" t="str">
        <f>CONCATENATE("54820139100")</f>
        <v>54820139100</v>
      </c>
      <c r="K3301" s="3" t="s">
        <v>33</v>
      </c>
      <c r="L3301" s="3"/>
      <c r="M3301" s="3" t="s">
        <v>131</v>
      </c>
      <c r="N3301" s="3" t="str">
        <f>CONCATENATE("BRZGNN56E03D451B")</f>
        <v>BRZGNN56E03D451B</v>
      </c>
      <c r="O3301" s="3" t="s">
        <v>3423</v>
      </c>
      <c r="P3301" s="3" t="s">
        <v>36</v>
      </c>
      <c r="Q3301" s="3"/>
      <c r="R3301" s="4">
        <v>45996</v>
      </c>
      <c r="S3301" s="3" t="s">
        <v>37</v>
      </c>
      <c r="T3301" s="3" t="s">
        <v>38</v>
      </c>
      <c r="U3301" s="3" t="s">
        <v>39</v>
      </c>
      <c r="V3301" s="3">
        <v>85.73</v>
      </c>
      <c r="W3301" s="3">
        <v>36.44</v>
      </c>
      <c r="X3301" s="3">
        <v>34.51</v>
      </c>
      <c r="Y3301" s="3">
        <v>14.78</v>
      </c>
    </row>
    <row r="3302" spans="1:25" ht="60.75" x14ac:dyDescent="0.25">
      <c r="A3302" s="3" t="s">
        <v>26</v>
      </c>
      <c r="B3302" s="3" t="s">
        <v>27</v>
      </c>
      <c r="C3302" s="3" t="s">
        <v>28</v>
      </c>
      <c r="D3302" s="3" t="s">
        <v>29</v>
      </c>
      <c r="E3302" s="3" t="s">
        <v>136</v>
      </c>
      <c r="F3302" s="3" t="s">
        <v>31</v>
      </c>
      <c r="G3302" s="3" t="s">
        <v>136</v>
      </c>
      <c r="H3302" s="3" t="s">
        <v>48</v>
      </c>
      <c r="I3302" s="3">
        <v>2025</v>
      </c>
      <c r="J3302" s="3" t="str">
        <f>CONCATENATE("54820160478")</f>
        <v>54820160478</v>
      </c>
      <c r="K3302" s="3" t="s">
        <v>33</v>
      </c>
      <c r="L3302" s="3"/>
      <c r="M3302" s="3" t="s">
        <v>131</v>
      </c>
      <c r="N3302" s="3" t="str">
        <f>CONCATENATE("CRSSST49A01D965P")</f>
        <v>CRSSST49A01D965P</v>
      </c>
      <c r="O3302" s="3" t="s">
        <v>3424</v>
      </c>
      <c r="P3302" s="3" t="s">
        <v>36</v>
      </c>
      <c r="Q3302" s="3"/>
      <c r="R3302" s="4">
        <v>45996</v>
      </c>
      <c r="S3302" s="3" t="s">
        <v>37</v>
      </c>
      <c r="T3302" s="3" t="s">
        <v>38</v>
      </c>
      <c r="U3302" s="3" t="s">
        <v>39</v>
      </c>
      <c r="V3302" s="3">
        <v>128.79</v>
      </c>
      <c r="W3302" s="3">
        <v>54.74</v>
      </c>
      <c r="X3302" s="3">
        <v>51.84</v>
      </c>
      <c r="Y3302" s="3">
        <v>22.21</v>
      </c>
    </row>
    <row r="3303" spans="1:25" ht="72.75" x14ac:dyDescent="0.25">
      <c r="A3303" s="3" t="s">
        <v>26</v>
      </c>
      <c r="B3303" s="3" t="s">
        <v>27</v>
      </c>
      <c r="C3303" s="3" t="s">
        <v>28</v>
      </c>
      <c r="D3303" s="3" t="s">
        <v>29</v>
      </c>
      <c r="E3303" s="3" t="s">
        <v>47</v>
      </c>
      <c r="F3303" s="3" t="s">
        <v>31</v>
      </c>
      <c r="G3303" s="3" t="s">
        <v>47</v>
      </c>
      <c r="H3303" s="3" t="s">
        <v>48</v>
      </c>
      <c r="I3303" s="3">
        <v>2025</v>
      </c>
      <c r="J3303" s="3" t="str">
        <f>CONCATENATE("54820194469")</f>
        <v>54820194469</v>
      </c>
      <c r="K3303" s="3" t="s">
        <v>33</v>
      </c>
      <c r="L3303" s="3"/>
      <c r="M3303" s="3" t="s">
        <v>131</v>
      </c>
      <c r="N3303" s="3" t="str">
        <f>CONCATENATE("FRRMSM61A26D451V")</f>
        <v>FRRMSM61A26D451V</v>
      </c>
      <c r="O3303" s="3" t="s">
        <v>3425</v>
      </c>
      <c r="P3303" s="3" t="s">
        <v>36</v>
      </c>
      <c r="Q3303" s="3"/>
      <c r="R3303" s="4">
        <v>45996</v>
      </c>
      <c r="S3303" s="3" t="s">
        <v>37</v>
      </c>
      <c r="T3303" s="3" t="s">
        <v>38</v>
      </c>
      <c r="U3303" s="3" t="s">
        <v>39</v>
      </c>
      <c r="V3303" s="3">
        <v>804.02</v>
      </c>
      <c r="W3303" s="3">
        <v>341.71</v>
      </c>
      <c r="X3303" s="3">
        <v>323.62</v>
      </c>
      <c r="Y3303" s="3">
        <v>138.69</v>
      </c>
    </row>
    <row r="3304" spans="1:25" ht="72.75" x14ac:dyDescent="0.25">
      <c r="A3304" s="3" t="s">
        <v>26</v>
      </c>
      <c r="B3304" s="3" t="s">
        <v>27</v>
      </c>
      <c r="C3304" s="3" t="s">
        <v>28</v>
      </c>
      <c r="D3304" s="3" t="s">
        <v>29</v>
      </c>
      <c r="E3304" s="3" t="s">
        <v>47</v>
      </c>
      <c r="F3304" s="3" t="s">
        <v>31</v>
      </c>
      <c r="G3304" s="3" t="s">
        <v>47</v>
      </c>
      <c r="H3304" s="3" t="s">
        <v>48</v>
      </c>
      <c r="I3304" s="3">
        <v>2025</v>
      </c>
      <c r="J3304" s="3" t="str">
        <f>CONCATENATE("54820203039")</f>
        <v>54820203039</v>
      </c>
      <c r="K3304" s="3" t="s">
        <v>33</v>
      </c>
      <c r="L3304" s="3"/>
      <c r="M3304" s="3" t="s">
        <v>131</v>
      </c>
      <c r="N3304" s="3" t="str">
        <f>CONCATENATE("MRNSFN86B21E882G")</f>
        <v>MRNSFN86B21E882G</v>
      </c>
      <c r="O3304" s="3" t="s">
        <v>3426</v>
      </c>
      <c r="P3304" s="3" t="s">
        <v>36</v>
      </c>
      <c r="Q3304" s="3"/>
      <c r="R3304" s="4">
        <v>45996</v>
      </c>
      <c r="S3304" s="3" t="s">
        <v>37</v>
      </c>
      <c r="T3304" s="3" t="s">
        <v>38</v>
      </c>
      <c r="U3304" s="3" t="s">
        <v>39</v>
      </c>
      <c r="V3304" s="3">
        <v>74.430000000000007</v>
      </c>
      <c r="W3304" s="3">
        <v>31.63</v>
      </c>
      <c r="X3304" s="3">
        <v>29.96</v>
      </c>
      <c r="Y3304" s="3">
        <v>12.84</v>
      </c>
    </row>
    <row r="3305" spans="1:25" ht="36.75" x14ac:dyDescent="0.25">
      <c r="A3305" s="3" t="s">
        <v>26</v>
      </c>
      <c r="B3305" s="3" t="s">
        <v>27</v>
      </c>
      <c r="C3305" s="3" t="s">
        <v>28</v>
      </c>
      <c r="D3305" s="3" t="s">
        <v>29</v>
      </c>
      <c r="E3305" s="3" t="s">
        <v>56</v>
      </c>
      <c r="F3305" s="3" t="s">
        <v>31</v>
      </c>
      <c r="G3305" s="3" t="s">
        <v>56</v>
      </c>
      <c r="H3305" s="3" t="s">
        <v>32</v>
      </c>
      <c r="I3305" s="3">
        <v>2025</v>
      </c>
      <c r="J3305" s="3" t="str">
        <f>CONCATENATE("54820268107")</f>
        <v>54820268107</v>
      </c>
      <c r="K3305" s="3" t="s">
        <v>33</v>
      </c>
      <c r="L3305" s="3"/>
      <c r="M3305" s="3" t="s">
        <v>131</v>
      </c>
      <c r="N3305" s="3" t="str">
        <f>CONCATENATE("01915750432")</f>
        <v>01915750432</v>
      </c>
      <c r="O3305" s="3" t="s">
        <v>3427</v>
      </c>
      <c r="P3305" s="3" t="s">
        <v>36</v>
      </c>
      <c r="Q3305" s="3"/>
      <c r="R3305" s="4">
        <v>45996</v>
      </c>
      <c r="S3305" s="3" t="s">
        <v>37</v>
      </c>
      <c r="T3305" s="3" t="s">
        <v>38</v>
      </c>
      <c r="U3305" s="3" t="s">
        <v>39</v>
      </c>
      <c r="V3305" s="5">
        <v>1183.23</v>
      </c>
      <c r="W3305" s="3">
        <v>502.87</v>
      </c>
      <c r="X3305" s="3">
        <v>476.25</v>
      </c>
      <c r="Y3305" s="3">
        <v>204.11</v>
      </c>
    </row>
    <row r="3306" spans="1:25" ht="72.75" x14ac:dyDescent="0.25">
      <c r="A3306" s="3" t="s">
        <v>26</v>
      </c>
      <c r="B3306" s="3" t="s">
        <v>27</v>
      </c>
      <c r="C3306" s="3" t="s">
        <v>28</v>
      </c>
      <c r="D3306" s="3" t="s">
        <v>29</v>
      </c>
      <c r="E3306" s="3" t="s">
        <v>136</v>
      </c>
      <c r="F3306" s="3" t="s">
        <v>31</v>
      </c>
      <c r="G3306" s="3" t="s">
        <v>136</v>
      </c>
      <c r="H3306" s="3" t="s">
        <v>48</v>
      </c>
      <c r="I3306" s="3">
        <v>2025</v>
      </c>
      <c r="J3306" s="3" t="str">
        <f>CONCATENATE("54820160619")</f>
        <v>54820160619</v>
      </c>
      <c r="K3306" s="3" t="s">
        <v>33</v>
      </c>
      <c r="L3306" s="3"/>
      <c r="M3306" s="3" t="s">
        <v>131</v>
      </c>
      <c r="N3306" s="3" t="str">
        <f>CONCATENATE("CCCMGR61A62A366I")</f>
        <v>CCCMGR61A62A366I</v>
      </c>
      <c r="O3306" s="3" t="s">
        <v>3428</v>
      </c>
      <c r="P3306" s="3" t="s">
        <v>36</v>
      </c>
      <c r="Q3306" s="3"/>
      <c r="R3306" s="4">
        <v>45996</v>
      </c>
      <c r="S3306" s="3" t="s">
        <v>37</v>
      </c>
      <c r="T3306" s="3" t="s">
        <v>38</v>
      </c>
      <c r="U3306" s="3" t="s">
        <v>39</v>
      </c>
      <c r="V3306" s="5">
        <v>4207.16</v>
      </c>
      <c r="W3306" s="5">
        <v>1788.04</v>
      </c>
      <c r="X3306" s="5">
        <v>1693.38</v>
      </c>
      <c r="Y3306" s="3">
        <v>725.74</v>
      </c>
    </row>
    <row r="3307" spans="1:25" ht="60.75" x14ac:dyDescent="0.25">
      <c r="A3307" s="3" t="s">
        <v>26</v>
      </c>
      <c r="B3307" s="3" t="s">
        <v>27</v>
      </c>
      <c r="C3307" s="3" t="s">
        <v>28</v>
      </c>
      <c r="D3307" s="3" t="s">
        <v>29</v>
      </c>
      <c r="E3307" s="3" t="s">
        <v>47</v>
      </c>
      <c r="F3307" s="3" t="s">
        <v>31</v>
      </c>
      <c r="G3307" s="3" t="s">
        <v>47</v>
      </c>
      <c r="H3307" s="3" t="s">
        <v>48</v>
      </c>
      <c r="I3307" s="3">
        <v>2025</v>
      </c>
      <c r="J3307" s="3" t="str">
        <f>CONCATENATE("54820100565")</f>
        <v>54820100565</v>
      </c>
      <c r="K3307" s="3" t="s">
        <v>33</v>
      </c>
      <c r="L3307" s="3"/>
      <c r="M3307" s="3" t="s">
        <v>131</v>
      </c>
      <c r="N3307" s="3" t="str">
        <f>CONCATENATE("PTTRRT66T29D451Z")</f>
        <v>PTTRRT66T29D451Z</v>
      </c>
      <c r="O3307" s="3" t="s">
        <v>2592</v>
      </c>
      <c r="P3307" s="3" t="s">
        <v>36</v>
      </c>
      <c r="Q3307" s="3"/>
      <c r="R3307" s="4">
        <v>45996</v>
      </c>
      <c r="S3307" s="3" t="s">
        <v>37</v>
      </c>
      <c r="T3307" s="3" t="s">
        <v>38</v>
      </c>
      <c r="U3307" s="3" t="s">
        <v>39</v>
      </c>
      <c r="V3307" s="3">
        <v>251.57</v>
      </c>
      <c r="W3307" s="3">
        <v>106.92</v>
      </c>
      <c r="X3307" s="3">
        <v>101.26</v>
      </c>
      <c r="Y3307" s="3">
        <v>43.39</v>
      </c>
    </row>
    <row r="3308" spans="1:25" ht="60.75" x14ac:dyDescent="0.25">
      <c r="A3308" s="3" t="s">
        <v>26</v>
      </c>
      <c r="B3308" s="3" t="s">
        <v>27</v>
      </c>
      <c r="C3308" s="3" t="s">
        <v>28</v>
      </c>
      <c r="D3308" s="3" t="s">
        <v>50</v>
      </c>
      <c r="E3308" s="3" t="s">
        <v>147</v>
      </c>
      <c r="F3308" s="3" t="s">
        <v>52</v>
      </c>
      <c r="G3308" s="3" t="s">
        <v>147</v>
      </c>
      <c r="H3308" s="3" t="s">
        <v>45</v>
      </c>
      <c r="I3308" s="3">
        <v>2025</v>
      </c>
      <c r="J3308" s="3" t="str">
        <f>CONCATENATE("54820159207")</f>
        <v>54820159207</v>
      </c>
      <c r="K3308" s="3" t="s">
        <v>33</v>
      </c>
      <c r="L3308" s="3"/>
      <c r="M3308" s="3" t="s">
        <v>131</v>
      </c>
      <c r="N3308" s="3" t="str">
        <f>CONCATENATE("PRDLCN46B17L500K")</f>
        <v>PRDLCN46B17L500K</v>
      </c>
      <c r="O3308" s="3" t="s">
        <v>3429</v>
      </c>
      <c r="P3308" s="3" t="s">
        <v>36</v>
      </c>
      <c r="Q3308" s="3"/>
      <c r="R3308" s="4">
        <v>45996</v>
      </c>
      <c r="S3308" s="3" t="s">
        <v>37</v>
      </c>
      <c r="T3308" s="3" t="s">
        <v>38</v>
      </c>
      <c r="U3308" s="3" t="s">
        <v>39</v>
      </c>
      <c r="V3308" s="3">
        <v>88.23</v>
      </c>
      <c r="W3308" s="3">
        <v>37.5</v>
      </c>
      <c r="X3308" s="3">
        <v>35.51</v>
      </c>
      <c r="Y3308" s="3">
        <v>15.22</v>
      </c>
    </row>
    <row r="3309" spans="1:25" ht="60.75" x14ac:dyDescent="0.25">
      <c r="A3309" s="3" t="s">
        <v>26</v>
      </c>
      <c r="B3309" s="3" t="s">
        <v>27</v>
      </c>
      <c r="C3309" s="3" t="s">
        <v>28</v>
      </c>
      <c r="D3309" s="3" t="s">
        <v>50</v>
      </c>
      <c r="E3309" s="3" t="s">
        <v>51</v>
      </c>
      <c r="F3309" s="3" t="s">
        <v>52</v>
      </c>
      <c r="G3309" s="3" t="s">
        <v>51</v>
      </c>
      <c r="H3309" s="3" t="s">
        <v>48</v>
      </c>
      <c r="I3309" s="3">
        <v>2025</v>
      </c>
      <c r="J3309" s="3" t="str">
        <f>CONCATENATE("54820121447")</f>
        <v>54820121447</v>
      </c>
      <c r="K3309" s="3" t="s">
        <v>33</v>
      </c>
      <c r="L3309" s="3"/>
      <c r="M3309" s="3" t="s">
        <v>131</v>
      </c>
      <c r="N3309" s="3" t="str">
        <f>CONCATENATE("BNCLCU92C03D451C")</f>
        <v>BNCLCU92C03D451C</v>
      </c>
      <c r="O3309" s="3" t="s">
        <v>3430</v>
      </c>
      <c r="P3309" s="3" t="s">
        <v>36</v>
      </c>
      <c r="Q3309" s="3"/>
      <c r="R3309" s="4">
        <v>45996</v>
      </c>
      <c r="S3309" s="3" t="s">
        <v>37</v>
      </c>
      <c r="T3309" s="3" t="s">
        <v>38</v>
      </c>
      <c r="U3309" s="3" t="s">
        <v>39</v>
      </c>
      <c r="V3309" s="3">
        <v>204.18</v>
      </c>
      <c r="W3309" s="3">
        <v>86.78</v>
      </c>
      <c r="X3309" s="3">
        <v>82.18</v>
      </c>
      <c r="Y3309" s="3">
        <v>35.22</v>
      </c>
    </row>
    <row r="3310" spans="1:25" ht="60.75" x14ac:dyDescent="0.25">
      <c r="A3310" s="3" t="s">
        <v>26</v>
      </c>
      <c r="B3310" s="3" t="s">
        <v>27</v>
      </c>
      <c r="C3310" s="3" t="s">
        <v>28</v>
      </c>
      <c r="D3310" s="3" t="s">
        <v>29</v>
      </c>
      <c r="E3310" s="3" t="s">
        <v>47</v>
      </c>
      <c r="F3310" s="3" t="s">
        <v>31</v>
      </c>
      <c r="G3310" s="3" t="s">
        <v>47</v>
      </c>
      <c r="H3310" s="3" t="s">
        <v>48</v>
      </c>
      <c r="I3310" s="3">
        <v>2025</v>
      </c>
      <c r="J3310" s="3" t="str">
        <f>CONCATENATE("54820199195")</f>
        <v>54820199195</v>
      </c>
      <c r="K3310" s="3" t="s">
        <v>33</v>
      </c>
      <c r="L3310" s="3"/>
      <c r="M3310" s="3" t="s">
        <v>131</v>
      </c>
      <c r="N3310" s="3" t="str">
        <f>CONCATENATE("LTNRME71A29D451L")</f>
        <v>LTNRME71A29D451L</v>
      </c>
      <c r="O3310" s="3" t="s">
        <v>3431</v>
      </c>
      <c r="P3310" s="3" t="s">
        <v>36</v>
      </c>
      <c r="Q3310" s="3"/>
      <c r="R3310" s="4">
        <v>45996</v>
      </c>
      <c r="S3310" s="3" t="s">
        <v>37</v>
      </c>
      <c r="T3310" s="3" t="s">
        <v>38</v>
      </c>
      <c r="U3310" s="3" t="s">
        <v>39</v>
      </c>
      <c r="V3310" s="3">
        <v>697.09</v>
      </c>
      <c r="W3310" s="3">
        <v>296.26</v>
      </c>
      <c r="X3310" s="3">
        <v>280.58</v>
      </c>
      <c r="Y3310" s="3">
        <v>120.25</v>
      </c>
    </row>
    <row r="3311" spans="1:25" ht="60.75" x14ac:dyDescent="0.25">
      <c r="A3311" s="3" t="s">
        <v>26</v>
      </c>
      <c r="B3311" s="3" t="s">
        <v>27</v>
      </c>
      <c r="C3311" s="3" t="s">
        <v>28</v>
      </c>
      <c r="D3311" s="3" t="s">
        <v>29</v>
      </c>
      <c r="E3311" s="3" t="s">
        <v>101</v>
      </c>
      <c r="F3311" s="3" t="s">
        <v>31</v>
      </c>
      <c r="G3311" s="3" t="s">
        <v>101</v>
      </c>
      <c r="H3311" s="3" t="s">
        <v>32</v>
      </c>
      <c r="I3311" s="3">
        <v>2025</v>
      </c>
      <c r="J3311" s="3" t="str">
        <f>CONCATENATE("54820133814")</f>
        <v>54820133814</v>
      </c>
      <c r="K3311" s="3" t="s">
        <v>33</v>
      </c>
      <c r="L3311" s="3"/>
      <c r="M3311" s="3" t="s">
        <v>131</v>
      </c>
      <c r="N3311" s="3" t="str">
        <f>CONCATENATE("MNTPLA49T29B398Z")</f>
        <v>MNTPLA49T29B398Z</v>
      </c>
      <c r="O3311" s="3" t="s">
        <v>3432</v>
      </c>
      <c r="P3311" s="3" t="s">
        <v>36</v>
      </c>
      <c r="Q3311" s="3"/>
      <c r="R3311" s="4">
        <v>45996</v>
      </c>
      <c r="S3311" s="3" t="s">
        <v>37</v>
      </c>
      <c r="T3311" s="3" t="s">
        <v>38</v>
      </c>
      <c r="U3311" s="3" t="s">
        <v>39</v>
      </c>
      <c r="V3311" s="3">
        <v>80.14</v>
      </c>
      <c r="W3311" s="3">
        <v>34.06</v>
      </c>
      <c r="X3311" s="3">
        <v>32.26</v>
      </c>
      <c r="Y3311" s="3">
        <v>13.82</v>
      </c>
    </row>
    <row r="3312" spans="1:25" ht="60.75" x14ac:dyDescent="0.25">
      <c r="A3312" s="3" t="s">
        <v>26</v>
      </c>
      <c r="B3312" s="3" t="s">
        <v>27</v>
      </c>
      <c r="C3312" s="3" t="s">
        <v>28</v>
      </c>
      <c r="D3312" s="3" t="s">
        <v>50</v>
      </c>
      <c r="E3312" s="3" t="s">
        <v>51</v>
      </c>
      <c r="F3312" s="3" t="s">
        <v>52</v>
      </c>
      <c r="G3312" s="3" t="s">
        <v>51</v>
      </c>
      <c r="H3312" s="3" t="s">
        <v>48</v>
      </c>
      <c r="I3312" s="3">
        <v>2025</v>
      </c>
      <c r="J3312" s="3" t="str">
        <f>CONCATENATE("54820083621")</f>
        <v>54820083621</v>
      </c>
      <c r="K3312" s="3" t="s">
        <v>33</v>
      </c>
      <c r="L3312" s="3"/>
      <c r="M3312" s="3" t="s">
        <v>131</v>
      </c>
      <c r="N3312" s="3" t="str">
        <f>CONCATENATE("PSSRTI49C42D451R")</f>
        <v>PSSRTI49C42D451R</v>
      </c>
      <c r="O3312" s="3" t="s">
        <v>3433</v>
      </c>
      <c r="P3312" s="3" t="s">
        <v>36</v>
      </c>
      <c r="Q3312" s="3"/>
      <c r="R3312" s="4">
        <v>45996</v>
      </c>
      <c r="S3312" s="3" t="s">
        <v>37</v>
      </c>
      <c r="T3312" s="3" t="s">
        <v>38</v>
      </c>
      <c r="U3312" s="3" t="s">
        <v>39</v>
      </c>
      <c r="V3312" s="3">
        <v>312.55</v>
      </c>
      <c r="W3312" s="3">
        <v>132.83000000000001</v>
      </c>
      <c r="X3312" s="3">
        <v>125.8</v>
      </c>
      <c r="Y3312" s="3">
        <v>53.92</v>
      </c>
    </row>
    <row r="3313" spans="1:25" ht="60.75" x14ac:dyDescent="0.25">
      <c r="A3313" s="3" t="s">
        <v>26</v>
      </c>
      <c r="B3313" s="3" t="s">
        <v>27</v>
      </c>
      <c r="C3313" s="3" t="s">
        <v>28</v>
      </c>
      <c r="D3313" s="3" t="s">
        <v>29</v>
      </c>
      <c r="E3313" s="3" t="s">
        <v>56</v>
      </c>
      <c r="F3313" s="3" t="s">
        <v>31</v>
      </c>
      <c r="G3313" s="3" t="s">
        <v>56</v>
      </c>
      <c r="H3313" s="3" t="s">
        <v>32</v>
      </c>
      <c r="I3313" s="3">
        <v>2025</v>
      </c>
      <c r="J3313" s="3" t="str">
        <f>CONCATENATE("54820286398")</f>
        <v>54820286398</v>
      </c>
      <c r="K3313" s="3" t="s">
        <v>33</v>
      </c>
      <c r="L3313" s="3"/>
      <c r="M3313" s="3" t="s">
        <v>131</v>
      </c>
      <c r="N3313" s="3" t="str">
        <f>CONCATENATE("GGLRNZ60L25I661U")</f>
        <v>GGLRNZ60L25I661U</v>
      </c>
      <c r="O3313" s="3" t="s">
        <v>3434</v>
      </c>
      <c r="P3313" s="3" t="s">
        <v>36</v>
      </c>
      <c r="Q3313" s="3"/>
      <c r="R3313" s="4">
        <v>45996</v>
      </c>
      <c r="S3313" s="3" t="s">
        <v>37</v>
      </c>
      <c r="T3313" s="3" t="s">
        <v>38</v>
      </c>
      <c r="U3313" s="3" t="s">
        <v>39</v>
      </c>
      <c r="V3313" s="3">
        <v>989.85</v>
      </c>
      <c r="W3313" s="3">
        <v>420.69</v>
      </c>
      <c r="X3313" s="3">
        <v>398.41</v>
      </c>
      <c r="Y3313" s="3">
        <v>170.75</v>
      </c>
    </row>
    <row r="3314" spans="1:25" ht="36.75" x14ac:dyDescent="0.25">
      <c r="A3314" s="3" t="s">
        <v>26</v>
      </c>
      <c r="B3314" s="3" t="s">
        <v>27</v>
      </c>
      <c r="C3314" s="3" t="s">
        <v>28</v>
      </c>
      <c r="D3314" s="3" t="s">
        <v>91</v>
      </c>
      <c r="E3314" s="3" t="s">
        <v>95</v>
      </c>
      <c r="F3314" s="3" t="s">
        <v>93</v>
      </c>
      <c r="G3314" s="3" t="s">
        <v>95</v>
      </c>
      <c r="H3314" s="3" t="s">
        <v>96</v>
      </c>
      <c r="I3314" s="3">
        <v>2025</v>
      </c>
      <c r="J3314" s="3" t="str">
        <f>CONCATENATE("54820088737")</f>
        <v>54820088737</v>
      </c>
      <c r="K3314" s="3" t="s">
        <v>33</v>
      </c>
      <c r="L3314" s="3"/>
      <c r="M3314" s="3" t="s">
        <v>131</v>
      </c>
      <c r="N3314" s="3" t="str">
        <f>CONCATENATE("02361460443")</f>
        <v>02361460443</v>
      </c>
      <c r="O3314" s="3" t="s">
        <v>3435</v>
      </c>
      <c r="P3314" s="3" t="s">
        <v>36</v>
      </c>
      <c r="Q3314" s="3"/>
      <c r="R3314" s="4">
        <v>45996</v>
      </c>
      <c r="S3314" s="3" t="s">
        <v>37</v>
      </c>
      <c r="T3314" s="3" t="s">
        <v>38</v>
      </c>
      <c r="U3314" s="3" t="s">
        <v>39</v>
      </c>
      <c r="V3314" s="3">
        <v>82.53</v>
      </c>
      <c r="W3314" s="3">
        <v>35.08</v>
      </c>
      <c r="X3314" s="3">
        <v>33.22</v>
      </c>
      <c r="Y3314" s="3">
        <v>14.23</v>
      </c>
    </row>
    <row r="3315" spans="1:25" ht="72.75" x14ac:dyDescent="0.25">
      <c r="A3315" s="3" t="s">
        <v>26</v>
      </c>
      <c r="B3315" s="3" t="s">
        <v>27</v>
      </c>
      <c r="C3315" s="3" t="s">
        <v>28</v>
      </c>
      <c r="D3315" s="3" t="s">
        <v>91</v>
      </c>
      <c r="E3315" s="3" t="s">
        <v>95</v>
      </c>
      <c r="F3315" s="3" t="s">
        <v>93</v>
      </c>
      <c r="G3315" s="3" t="s">
        <v>95</v>
      </c>
      <c r="H3315" s="3" t="s">
        <v>96</v>
      </c>
      <c r="I3315" s="3">
        <v>2025</v>
      </c>
      <c r="J3315" s="3" t="str">
        <f>CONCATENATE("54820114186")</f>
        <v>54820114186</v>
      </c>
      <c r="K3315" s="3" t="s">
        <v>33</v>
      </c>
      <c r="L3315" s="3"/>
      <c r="M3315" s="3" t="s">
        <v>131</v>
      </c>
      <c r="N3315" s="3" t="str">
        <f>CONCATENATE("PLOMGR61E64A462Z")</f>
        <v>PLOMGR61E64A462Z</v>
      </c>
      <c r="O3315" s="3" t="s">
        <v>3436</v>
      </c>
      <c r="P3315" s="3" t="s">
        <v>36</v>
      </c>
      <c r="Q3315" s="3"/>
      <c r="R3315" s="4">
        <v>45996</v>
      </c>
      <c r="S3315" s="3" t="s">
        <v>37</v>
      </c>
      <c r="T3315" s="3" t="s">
        <v>38</v>
      </c>
      <c r="U3315" s="3" t="s">
        <v>39</v>
      </c>
      <c r="V3315" s="3">
        <v>77.010000000000005</v>
      </c>
      <c r="W3315" s="3">
        <v>32.729999999999997</v>
      </c>
      <c r="X3315" s="3">
        <v>31</v>
      </c>
      <c r="Y3315" s="3">
        <v>13.28</v>
      </c>
    </row>
    <row r="3316" spans="1:25" ht="60.75" x14ac:dyDescent="0.25">
      <c r="A3316" s="3" t="s">
        <v>26</v>
      </c>
      <c r="B3316" s="3" t="s">
        <v>27</v>
      </c>
      <c r="C3316" s="3" t="s">
        <v>28</v>
      </c>
      <c r="D3316" s="3" t="s">
        <v>29</v>
      </c>
      <c r="E3316" s="3" t="s">
        <v>119</v>
      </c>
      <c r="F3316" s="3" t="s">
        <v>31</v>
      </c>
      <c r="G3316" s="3" t="s">
        <v>119</v>
      </c>
      <c r="H3316" s="3" t="s">
        <v>96</v>
      </c>
      <c r="I3316" s="3">
        <v>2025</v>
      </c>
      <c r="J3316" s="3" t="str">
        <f>CONCATENATE("54820147962")</f>
        <v>54820147962</v>
      </c>
      <c r="K3316" s="3" t="s">
        <v>33</v>
      </c>
      <c r="L3316" s="3"/>
      <c r="M3316" s="3" t="s">
        <v>131</v>
      </c>
      <c r="N3316" s="3" t="str">
        <f>CONCATENATE("CCCVCN51D05H588C")</f>
        <v>CCCVCN51D05H588C</v>
      </c>
      <c r="O3316" s="3" t="s">
        <v>3437</v>
      </c>
      <c r="P3316" s="3" t="s">
        <v>36</v>
      </c>
      <c r="Q3316" s="3"/>
      <c r="R3316" s="4">
        <v>45996</v>
      </c>
      <c r="S3316" s="3" t="s">
        <v>37</v>
      </c>
      <c r="T3316" s="3" t="s">
        <v>38</v>
      </c>
      <c r="U3316" s="3" t="s">
        <v>39</v>
      </c>
      <c r="V3316" s="3">
        <v>217.05</v>
      </c>
      <c r="W3316" s="3">
        <v>92.25</v>
      </c>
      <c r="X3316" s="3">
        <v>87.36</v>
      </c>
      <c r="Y3316" s="3">
        <v>37.44</v>
      </c>
    </row>
    <row r="3317" spans="1:25" ht="36.75" x14ac:dyDescent="0.25">
      <c r="A3317" s="3" t="s">
        <v>26</v>
      </c>
      <c r="B3317" s="3" t="s">
        <v>27</v>
      </c>
      <c r="C3317" s="3" t="s">
        <v>28</v>
      </c>
      <c r="D3317" s="3" t="s">
        <v>40</v>
      </c>
      <c r="E3317" s="3" t="s">
        <v>218</v>
      </c>
      <c r="F3317" s="3" t="s">
        <v>42</v>
      </c>
      <c r="G3317" s="3" t="s">
        <v>218</v>
      </c>
      <c r="H3317" s="3" t="s">
        <v>45</v>
      </c>
      <c r="I3317" s="3">
        <v>2025</v>
      </c>
      <c r="J3317" s="3" t="str">
        <f>CONCATENATE("54820026604")</f>
        <v>54820026604</v>
      </c>
      <c r="K3317" s="3" t="s">
        <v>33</v>
      </c>
      <c r="L3317" s="3"/>
      <c r="M3317" s="3" t="s">
        <v>131</v>
      </c>
      <c r="N3317" s="3" t="str">
        <f>CONCATENATE("02793420411")</f>
        <v>02793420411</v>
      </c>
      <c r="O3317" s="3" t="s">
        <v>3438</v>
      </c>
      <c r="P3317" s="3" t="s">
        <v>36</v>
      </c>
      <c r="Q3317" s="3"/>
      <c r="R3317" s="4">
        <v>45996</v>
      </c>
      <c r="S3317" s="3" t="s">
        <v>37</v>
      </c>
      <c r="T3317" s="3" t="s">
        <v>38</v>
      </c>
      <c r="U3317" s="3" t="s">
        <v>39</v>
      </c>
      <c r="V3317" s="3">
        <v>961.57</v>
      </c>
      <c r="W3317" s="3">
        <v>408.67</v>
      </c>
      <c r="X3317" s="3">
        <v>387.03</v>
      </c>
      <c r="Y3317" s="3">
        <v>165.87</v>
      </c>
    </row>
    <row r="3318" spans="1:25" ht="60.75" x14ac:dyDescent="0.25">
      <c r="A3318" s="3" t="s">
        <v>26</v>
      </c>
      <c r="B3318" s="3" t="s">
        <v>27</v>
      </c>
      <c r="C3318" s="3" t="s">
        <v>28</v>
      </c>
      <c r="D3318" s="3" t="s">
        <v>40</v>
      </c>
      <c r="E3318" s="3" t="s">
        <v>44</v>
      </c>
      <c r="F3318" s="3" t="s">
        <v>42</v>
      </c>
      <c r="G3318" s="3" t="s">
        <v>44</v>
      </c>
      <c r="H3318" s="3" t="s">
        <v>32</v>
      </c>
      <c r="I3318" s="3">
        <v>2025</v>
      </c>
      <c r="J3318" s="3" t="str">
        <f>CONCATENATE("54820019468")</f>
        <v>54820019468</v>
      </c>
      <c r="K3318" s="3" t="s">
        <v>33</v>
      </c>
      <c r="L3318" s="3"/>
      <c r="M3318" s="3" t="s">
        <v>131</v>
      </c>
      <c r="N3318" s="3" t="str">
        <f>CONCATENATE("PRNGCM89S03L191A")</f>
        <v>PRNGCM89S03L191A</v>
      </c>
      <c r="O3318" s="3" t="s">
        <v>3439</v>
      </c>
      <c r="P3318" s="3" t="s">
        <v>36</v>
      </c>
      <c r="Q3318" s="3"/>
      <c r="R3318" s="4">
        <v>45996</v>
      </c>
      <c r="S3318" s="3" t="s">
        <v>37</v>
      </c>
      <c r="T3318" s="3" t="s">
        <v>38</v>
      </c>
      <c r="U3318" s="3" t="s">
        <v>39</v>
      </c>
      <c r="V3318" s="3">
        <v>99.35</v>
      </c>
      <c r="W3318" s="3">
        <v>42.22</v>
      </c>
      <c r="X3318" s="3">
        <v>39.99</v>
      </c>
      <c r="Y3318" s="3">
        <v>17.14</v>
      </c>
    </row>
    <row r="3319" spans="1:25" ht="60.75" x14ac:dyDescent="0.25">
      <c r="A3319" s="3" t="s">
        <v>26</v>
      </c>
      <c r="B3319" s="3" t="s">
        <v>27</v>
      </c>
      <c r="C3319" s="3" t="s">
        <v>28</v>
      </c>
      <c r="D3319" s="3" t="s">
        <v>40</v>
      </c>
      <c r="E3319" s="3" t="s">
        <v>41</v>
      </c>
      <c r="F3319" s="3" t="s">
        <v>42</v>
      </c>
      <c r="G3319" s="3" t="s">
        <v>41</v>
      </c>
      <c r="H3319" s="3" t="s">
        <v>32</v>
      </c>
      <c r="I3319" s="3">
        <v>2025</v>
      </c>
      <c r="J3319" s="3" t="str">
        <f>CONCATENATE("54820036975")</f>
        <v>54820036975</v>
      </c>
      <c r="K3319" s="3" t="s">
        <v>33</v>
      </c>
      <c r="L3319" s="3"/>
      <c r="M3319" s="3" t="s">
        <v>131</v>
      </c>
      <c r="N3319" s="3" t="str">
        <f>CONCATENATE("FRRMRZ66H17F051U")</f>
        <v>FRRMRZ66H17F051U</v>
      </c>
      <c r="O3319" s="3" t="s">
        <v>3440</v>
      </c>
      <c r="P3319" s="3" t="s">
        <v>36</v>
      </c>
      <c r="Q3319" s="3"/>
      <c r="R3319" s="4">
        <v>45996</v>
      </c>
      <c r="S3319" s="3" t="s">
        <v>37</v>
      </c>
      <c r="T3319" s="3" t="s">
        <v>38</v>
      </c>
      <c r="U3319" s="3" t="s">
        <v>39</v>
      </c>
      <c r="V3319" s="3">
        <v>114.96</v>
      </c>
      <c r="W3319" s="3">
        <v>48.86</v>
      </c>
      <c r="X3319" s="3">
        <v>46.27</v>
      </c>
      <c r="Y3319" s="3">
        <v>19.829999999999998</v>
      </c>
    </row>
    <row r="3320" spans="1:25" ht="60.75" x14ac:dyDescent="0.25">
      <c r="A3320" s="3" t="s">
        <v>26</v>
      </c>
      <c r="B3320" s="3" t="s">
        <v>27</v>
      </c>
      <c r="C3320" s="3" t="s">
        <v>28</v>
      </c>
      <c r="D3320" s="3" t="s">
        <v>40</v>
      </c>
      <c r="E3320" s="3" t="s">
        <v>218</v>
      </c>
      <c r="F3320" s="3" t="s">
        <v>42</v>
      </c>
      <c r="G3320" s="3" t="s">
        <v>218</v>
      </c>
      <c r="H3320" s="3" t="s">
        <v>45</v>
      </c>
      <c r="I3320" s="3">
        <v>2025</v>
      </c>
      <c r="J3320" s="3" t="str">
        <f>CONCATENATE("54820030002")</f>
        <v>54820030002</v>
      </c>
      <c r="K3320" s="3" t="s">
        <v>33</v>
      </c>
      <c r="L3320" s="3"/>
      <c r="M3320" s="3" t="s">
        <v>131</v>
      </c>
      <c r="N3320" s="3" t="str">
        <f>CONCATENATE("BRCTZN61P58C830P")</f>
        <v>BRCTZN61P58C830P</v>
      </c>
      <c r="O3320" s="3" t="s">
        <v>3441</v>
      </c>
      <c r="P3320" s="3" t="s">
        <v>36</v>
      </c>
      <c r="Q3320" s="3"/>
      <c r="R3320" s="4">
        <v>45996</v>
      </c>
      <c r="S3320" s="3" t="s">
        <v>37</v>
      </c>
      <c r="T3320" s="3" t="s">
        <v>38</v>
      </c>
      <c r="U3320" s="3" t="s">
        <v>39</v>
      </c>
      <c r="V3320" s="3">
        <v>770.54</v>
      </c>
      <c r="W3320" s="3">
        <v>327.48</v>
      </c>
      <c r="X3320" s="3">
        <v>310.14</v>
      </c>
      <c r="Y3320" s="3">
        <v>132.91999999999999</v>
      </c>
    </row>
    <row r="3321" spans="1:25" ht="72.75" x14ac:dyDescent="0.25">
      <c r="A3321" s="3" t="s">
        <v>26</v>
      </c>
      <c r="B3321" s="3" t="s">
        <v>27</v>
      </c>
      <c r="C3321" s="3" t="s">
        <v>28</v>
      </c>
      <c r="D3321" s="3" t="s">
        <v>29</v>
      </c>
      <c r="E3321" s="3" t="s">
        <v>47</v>
      </c>
      <c r="F3321" s="3" t="s">
        <v>31</v>
      </c>
      <c r="G3321" s="3" t="s">
        <v>47</v>
      </c>
      <c r="H3321" s="3" t="s">
        <v>48</v>
      </c>
      <c r="I3321" s="3">
        <v>2025</v>
      </c>
      <c r="J3321" s="3" t="str">
        <f>CONCATENATE("54820031208")</f>
        <v>54820031208</v>
      </c>
      <c r="K3321" s="3" t="s">
        <v>33</v>
      </c>
      <c r="L3321" s="3"/>
      <c r="M3321" s="3" t="s">
        <v>131</v>
      </c>
      <c r="N3321" s="3" t="str">
        <f>CONCATENATE("PCCGNN65M12D965G")</f>
        <v>PCCGNN65M12D965G</v>
      </c>
      <c r="O3321" s="3" t="s">
        <v>3442</v>
      </c>
      <c r="P3321" s="3" t="s">
        <v>36</v>
      </c>
      <c r="Q3321" s="3"/>
      <c r="R3321" s="4">
        <v>45996</v>
      </c>
      <c r="S3321" s="3" t="s">
        <v>37</v>
      </c>
      <c r="T3321" s="3" t="s">
        <v>38</v>
      </c>
      <c r="U3321" s="3" t="s">
        <v>39</v>
      </c>
      <c r="V3321" s="3">
        <v>75.48</v>
      </c>
      <c r="W3321" s="3">
        <v>32.08</v>
      </c>
      <c r="X3321" s="3">
        <v>30.38</v>
      </c>
      <c r="Y3321" s="3">
        <v>13.02</v>
      </c>
    </row>
    <row r="3322" spans="1:25" ht="60.75" x14ac:dyDescent="0.25">
      <c r="A3322" s="3" t="s">
        <v>26</v>
      </c>
      <c r="B3322" s="3" t="s">
        <v>27</v>
      </c>
      <c r="C3322" s="3" t="s">
        <v>28</v>
      </c>
      <c r="D3322" s="3" t="s">
        <v>29</v>
      </c>
      <c r="E3322" s="3" t="s">
        <v>80</v>
      </c>
      <c r="F3322" s="3" t="s">
        <v>31</v>
      </c>
      <c r="G3322" s="3" t="s">
        <v>80</v>
      </c>
      <c r="H3322" s="3" t="s">
        <v>45</v>
      </c>
      <c r="I3322" s="3">
        <v>2025</v>
      </c>
      <c r="J3322" s="3" t="str">
        <f>CONCATENATE("54820033576")</f>
        <v>54820033576</v>
      </c>
      <c r="K3322" s="3" t="s">
        <v>33</v>
      </c>
      <c r="L3322" s="3"/>
      <c r="M3322" s="3" t="s">
        <v>131</v>
      </c>
      <c r="N3322" s="3" t="str">
        <f>CONCATENATE("BRTRRT57T26D749P")</f>
        <v>BRTRRT57T26D749P</v>
      </c>
      <c r="O3322" s="3" t="s">
        <v>3443</v>
      </c>
      <c r="P3322" s="3" t="s">
        <v>36</v>
      </c>
      <c r="Q3322" s="3"/>
      <c r="R3322" s="4">
        <v>45996</v>
      </c>
      <c r="S3322" s="3" t="s">
        <v>37</v>
      </c>
      <c r="T3322" s="3" t="s">
        <v>38</v>
      </c>
      <c r="U3322" s="3" t="s">
        <v>39</v>
      </c>
      <c r="V3322" s="3">
        <v>58.79</v>
      </c>
      <c r="W3322" s="3">
        <v>24.99</v>
      </c>
      <c r="X3322" s="3">
        <v>23.66</v>
      </c>
      <c r="Y3322" s="3">
        <v>10.14</v>
      </c>
    </row>
    <row r="3323" spans="1:25" ht="60.75" x14ac:dyDescent="0.25">
      <c r="A3323" s="3" t="s">
        <v>26</v>
      </c>
      <c r="B3323" s="3" t="s">
        <v>27</v>
      </c>
      <c r="C3323" s="3" t="s">
        <v>28</v>
      </c>
      <c r="D3323" s="3" t="s">
        <v>40</v>
      </c>
      <c r="E3323" s="3" t="s">
        <v>287</v>
      </c>
      <c r="F3323" s="3" t="s">
        <v>42</v>
      </c>
      <c r="G3323" s="3" t="s">
        <v>287</v>
      </c>
      <c r="H3323" s="3" t="s">
        <v>32</v>
      </c>
      <c r="I3323" s="3">
        <v>2025</v>
      </c>
      <c r="J3323" s="3" t="str">
        <f>CONCATENATE("54820018783")</f>
        <v>54820018783</v>
      </c>
      <c r="K3323" s="3" t="s">
        <v>33</v>
      </c>
      <c r="L3323" s="3"/>
      <c r="M3323" s="3" t="s">
        <v>131</v>
      </c>
      <c r="N3323" s="3" t="str">
        <f>CONCATENATE("ZFFLDA49S44G637N")</f>
        <v>ZFFLDA49S44G637N</v>
      </c>
      <c r="O3323" s="3" t="s">
        <v>3444</v>
      </c>
      <c r="P3323" s="3" t="s">
        <v>36</v>
      </c>
      <c r="Q3323" s="3"/>
      <c r="R3323" s="4">
        <v>45996</v>
      </c>
      <c r="S3323" s="3" t="s">
        <v>37</v>
      </c>
      <c r="T3323" s="3" t="s">
        <v>38</v>
      </c>
      <c r="U3323" s="3" t="s">
        <v>39</v>
      </c>
      <c r="V3323" s="3">
        <v>430.21</v>
      </c>
      <c r="W3323" s="3">
        <v>182.84</v>
      </c>
      <c r="X3323" s="3">
        <v>173.16</v>
      </c>
      <c r="Y3323" s="3">
        <v>74.209999999999994</v>
      </c>
    </row>
    <row r="3324" spans="1:25" ht="60.75" x14ac:dyDescent="0.25">
      <c r="A3324" s="3" t="s">
        <v>26</v>
      </c>
      <c r="B3324" s="3" t="s">
        <v>27</v>
      </c>
      <c r="C3324" s="3" t="s">
        <v>28</v>
      </c>
      <c r="D3324" s="3" t="s">
        <v>104</v>
      </c>
      <c r="E3324" s="3" t="s">
        <v>268</v>
      </c>
      <c r="F3324" s="3" t="s">
        <v>104</v>
      </c>
      <c r="G3324" s="3" t="s">
        <v>268</v>
      </c>
      <c r="H3324" s="3" t="s">
        <v>32</v>
      </c>
      <c r="I3324" s="3">
        <v>2025</v>
      </c>
      <c r="J3324" s="3" t="str">
        <f>CONCATENATE("54820012984")</f>
        <v>54820012984</v>
      </c>
      <c r="K3324" s="3" t="s">
        <v>33</v>
      </c>
      <c r="L3324" s="3"/>
      <c r="M3324" s="3" t="s">
        <v>131</v>
      </c>
      <c r="N3324" s="3" t="str">
        <f>CONCATENATE("MRNNGL60E06H876Z")</f>
        <v>MRNNGL60E06H876Z</v>
      </c>
      <c r="O3324" s="3" t="s">
        <v>3445</v>
      </c>
      <c r="P3324" s="3" t="s">
        <v>36</v>
      </c>
      <c r="Q3324" s="3"/>
      <c r="R3324" s="4">
        <v>45996</v>
      </c>
      <c r="S3324" s="3" t="s">
        <v>37</v>
      </c>
      <c r="T3324" s="3" t="s">
        <v>38</v>
      </c>
      <c r="U3324" s="3" t="s">
        <v>39</v>
      </c>
      <c r="V3324" s="3">
        <v>131.08000000000001</v>
      </c>
      <c r="W3324" s="3">
        <v>55.71</v>
      </c>
      <c r="X3324" s="3">
        <v>52.76</v>
      </c>
      <c r="Y3324" s="3">
        <v>22.61</v>
      </c>
    </row>
    <row r="3325" spans="1:25" ht="72.75" x14ac:dyDescent="0.25">
      <c r="A3325" s="3" t="s">
        <v>26</v>
      </c>
      <c r="B3325" s="3" t="s">
        <v>27</v>
      </c>
      <c r="C3325" s="3" t="s">
        <v>28</v>
      </c>
      <c r="D3325" s="3" t="s">
        <v>29</v>
      </c>
      <c r="E3325" s="3" t="s">
        <v>186</v>
      </c>
      <c r="F3325" s="3" t="s">
        <v>31</v>
      </c>
      <c r="G3325" s="3" t="s">
        <v>186</v>
      </c>
      <c r="H3325" s="3" t="s">
        <v>45</v>
      </c>
      <c r="I3325" s="3">
        <v>2025</v>
      </c>
      <c r="J3325" s="3" t="str">
        <f>CONCATENATE("54820032453")</f>
        <v>54820032453</v>
      </c>
      <c r="K3325" s="3" t="s">
        <v>33</v>
      </c>
      <c r="L3325" s="3"/>
      <c r="M3325" s="3" t="s">
        <v>131</v>
      </c>
      <c r="N3325" s="3" t="str">
        <f>CONCATENATE("MGNMRC97T30H294M")</f>
        <v>MGNMRC97T30H294M</v>
      </c>
      <c r="O3325" s="3" t="s">
        <v>3446</v>
      </c>
      <c r="P3325" s="3" t="s">
        <v>36</v>
      </c>
      <c r="Q3325" s="3"/>
      <c r="R3325" s="4">
        <v>45996</v>
      </c>
      <c r="S3325" s="3" t="s">
        <v>37</v>
      </c>
      <c r="T3325" s="3" t="s">
        <v>38</v>
      </c>
      <c r="U3325" s="3" t="s">
        <v>39</v>
      </c>
      <c r="V3325" s="3">
        <v>78.12</v>
      </c>
      <c r="W3325" s="3">
        <v>33.200000000000003</v>
      </c>
      <c r="X3325" s="3">
        <v>31.44</v>
      </c>
      <c r="Y3325" s="3">
        <v>13.48</v>
      </c>
    </row>
    <row r="3326" spans="1:25" ht="60.75" x14ac:dyDescent="0.25">
      <c r="A3326" s="3" t="s">
        <v>26</v>
      </c>
      <c r="B3326" s="3" t="s">
        <v>27</v>
      </c>
      <c r="C3326" s="3" t="s">
        <v>28</v>
      </c>
      <c r="D3326" s="3" t="s">
        <v>29</v>
      </c>
      <c r="E3326" s="3" t="s">
        <v>80</v>
      </c>
      <c r="F3326" s="3" t="s">
        <v>31</v>
      </c>
      <c r="G3326" s="3" t="s">
        <v>80</v>
      </c>
      <c r="H3326" s="3" t="s">
        <v>45</v>
      </c>
      <c r="I3326" s="3">
        <v>2025</v>
      </c>
      <c r="J3326" s="3" t="str">
        <f>CONCATENATE("54820040944")</f>
        <v>54820040944</v>
      </c>
      <c r="K3326" s="3" t="s">
        <v>33</v>
      </c>
      <c r="L3326" s="3"/>
      <c r="M3326" s="3" t="s">
        <v>131</v>
      </c>
      <c r="N3326" s="3" t="str">
        <f>CONCATENATE("LMNBLD68E03A124Q")</f>
        <v>LMNBLD68E03A124Q</v>
      </c>
      <c r="O3326" s="3" t="s">
        <v>3447</v>
      </c>
      <c r="P3326" s="3" t="s">
        <v>36</v>
      </c>
      <c r="Q3326" s="3"/>
      <c r="R3326" s="4">
        <v>45996</v>
      </c>
      <c r="S3326" s="3" t="s">
        <v>37</v>
      </c>
      <c r="T3326" s="3" t="s">
        <v>38</v>
      </c>
      <c r="U3326" s="3" t="s">
        <v>39</v>
      </c>
      <c r="V3326" s="3">
        <v>65.66</v>
      </c>
      <c r="W3326" s="3">
        <v>27.91</v>
      </c>
      <c r="X3326" s="3">
        <v>26.43</v>
      </c>
      <c r="Y3326" s="3">
        <v>11.32</v>
      </c>
    </row>
    <row r="3327" spans="1:25" ht="72.75" x14ac:dyDescent="0.25">
      <c r="A3327" s="3" t="s">
        <v>26</v>
      </c>
      <c r="B3327" s="3" t="s">
        <v>27</v>
      </c>
      <c r="C3327" s="3" t="s">
        <v>28</v>
      </c>
      <c r="D3327" s="3" t="s">
        <v>29</v>
      </c>
      <c r="E3327" s="3" t="s">
        <v>186</v>
      </c>
      <c r="F3327" s="3" t="s">
        <v>31</v>
      </c>
      <c r="G3327" s="3" t="s">
        <v>186</v>
      </c>
      <c r="H3327" s="3" t="s">
        <v>45</v>
      </c>
      <c r="I3327" s="3">
        <v>2025</v>
      </c>
      <c r="J3327" s="3" t="str">
        <f>CONCATENATE("54820052550")</f>
        <v>54820052550</v>
      </c>
      <c r="K3327" s="3" t="s">
        <v>33</v>
      </c>
      <c r="L3327" s="3"/>
      <c r="M3327" s="3" t="s">
        <v>131</v>
      </c>
      <c r="N3327" s="3" t="str">
        <f>CONCATENATE("DMNRRT61M22I459L")</f>
        <v>DMNRRT61M22I459L</v>
      </c>
      <c r="O3327" s="3" t="s">
        <v>3448</v>
      </c>
      <c r="P3327" s="3" t="s">
        <v>36</v>
      </c>
      <c r="Q3327" s="3"/>
      <c r="R3327" s="4">
        <v>45996</v>
      </c>
      <c r="S3327" s="3" t="s">
        <v>37</v>
      </c>
      <c r="T3327" s="3" t="s">
        <v>38</v>
      </c>
      <c r="U3327" s="3" t="s">
        <v>39</v>
      </c>
      <c r="V3327" s="3">
        <v>509.1</v>
      </c>
      <c r="W3327" s="3">
        <v>216.37</v>
      </c>
      <c r="X3327" s="3">
        <v>204.91</v>
      </c>
      <c r="Y3327" s="3">
        <v>87.82</v>
      </c>
    </row>
    <row r="3328" spans="1:25" ht="60.75" x14ac:dyDescent="0.25">
      <c r="A3328" s="3" t="s">
        <v>26</v>
      </c>
      <c r="B3328" s="3" t="s">
        <v>27</v>
      </c>
      <c r="C3328" s="3" t="s">
        <v>28</v>
      </c>
      <c r="D3328" s="3" t="s">
        <v>40</v>
      </c>
      <c r="E3328" s="3" t="s">
        <v>287</v>
      </c>
      <c r="F3328" s="3" t="s">
        <v>42</v>
      </c>
      <c r="G3328" s="3" t="s">
        <v>287</v>
      </c>
      <c r="H3328" s="3" t="s">
        <v>32</v>
      </c>
      <c r="I3328" s="3">
        <v>2025</v>
      </c>
      <c r="J3328" s="3" t="str">
        <f>CONCATENATE("54820015607")</f>
        <v>54820015607</v>
      </c>
      <c r="K3328" s="3" t="s">
        <v>33</v>
      </c>
      <c r="L3328" s="3"/>
      <c r="M3328" s="3" t="s">
        <v>131</v>
      </c>
      <c r="N3328" s="3" t="str">
        <f>CONCATENATE("CHDRRT64C01B474J")</f>
        <v>CHDRRT64C01B474J</v>
      </c>
      <c r="O3328" s="3" t="s">
        <v>3449</v>
      </c>
      <c r="P3328" s="3" t="s">
        <v>36</v>
      </c>
      <c r="Q3328" s="3"/>
      <c r="R3328" s="4">
        <v>45996</v>
      </c>
      <c r="S3328" s="3" t="s">
        <v>37</v>
      </c>
      <c r="T3328" s="3" t="s">
        <v>38</v>
      </c>
      <c r="U3328" s="3" t="s">
        <v>39</v>
      </c>
      <c r="V3328" s="3">
        <v>50.08</v>
      </c>
      <c r="W3328" s="3">
        <v>21.28</v>
      </c>
      <c r="X3328" s="3">
        <v>20.16</v>
      </c>
      <c r="Y3328" s="3">
        <v>8.64</v>
      </c>
    </row>
    <row r="3329" spans="1:25" ht="60.75" x14ac:dyDescent="0.25">
      <c r="A3329" s="3" t="s">
        <v>26</v>
      </c>
      <c r="B3329" s="3" t="s">
        <v>27</v>
      </c>
      <c r="C3329" s="3" t="s">
        <v>28</v>
      </c>
      <c r="D3329" s="3" t="s">
        <v>29</v>
      </c>
      <c r="E3329" s="3" t="s">
        <v>186</v>
      </c>
      <c r="F3329" s="3" t="s">
        <v>31</v>
      </c>
      <c r="G3329" s="3" t="s">
        <v>186</v>
      </c>
      <c r="H3329" s="3" t="s">
        <v>45</v>
      </c>
      <c r="I3329" s="3">
        <v>2025</v>
      </c>
      <c r="J3329" s="3" t="str">
        <f>CONCATENATE("54820032677")</f>
        <v>54820032677</v>
      </c>
      <c r="K3329" s="3" t="s">
        <v>33</v>
      </c>
      <c r="L3329" s="3"/>
      <c r="M3329" s="3" t="s">
        <v>131</v>
      </c>
      <c r="N3329" s="3" t="str">
        <f>CONCATENATE("PRZLRA60T43B352Q")</f>
        <v>PRZLRA60T43B352Q</v>
      </c>
      <c r="O3329" s="3" t="s">
        <v>3450</v>
      </c>
      <c r="P3329" s="3" t="s">
        <v>36</v>
      </c>
      <c r="Q3329" s="3"/>
      <c r="R3329" s="4">
        <v>45996</v>
      </c>
      <c r="S3329" s="3" t="s">
        <v>37</v>
      </c>
      <c r="T3329" s="3" t="s">
        <v>38</v>
      </c>
      <c r="U3329" s="3" t="s">
        <v>39</v>
      </c>
      <c r="V3329" s="3">
        <v>520.36</v>
      </c>
      <c r="W3329" s="3">
        <v>221.15</v>
      </c>
      <c r="X3329" s="3">
        <v>209.44</v>
      </c>
      <c r="Y3329" s="3">
        <v>89.77</v>
      </c>
    </row>
    <row r="3330" spans="1:25" ht="60.75" x14ac:dyDescent="0.25">
      <c r="A3330" s="3" t="s">
        <v>26</v>
      </c>
      <c r="B3330" s="3" t="s">
        <v>27</v>
      </c>
      <c r="C3330" s="3" t="s">
        <v>28</v>
      </c>
      <c r="D3330" s="3" t="s">
        <v>50</v>
      </c>
      <c r="E3330" s="3" t="s">
        <v>60</v>
      </c>
      <c r="F3330" s="3" t="s">
        <v>52</v>
      </c>
      <c r="G3330" s="3" t="s">
        <v>60</v>
      </c>
      <c r="H3330" s="3" t="s">
        <v>45</v>
      </c>
      <c r="I3330" s="3">
        <v>2025</v>
      </c>
      <c r="J3330" s="3" t="str">
        <f>CONCATENATE("54820027735")</f>
        <v>54820027735</v>
      </c>
      <c r="K3330" s="3" t="s">
        <v>33</v>
      </c>
      <c r="L3330" s="3"/>
      <c r="M3330" s="3" t="s">
        <v>131</v>
      </c>
      <c r="N3330" s="3" t="str">
        <f>CONCATENATE("PRTDRA66T07B352L")</f>
        <v>PRTDRA66T07B352L</v>
      </c>
      <c r="O3330" s="3" t="s">
        <v>3451</v>
      </c>
      <c r="P3330" s="3" t="s">
        <v>36</v>
      </c>
      <c r="Q3330" s="3"/>
      <c r="R3330" s="4">
        <v>45996</v>
      </c>
      <c r="S3330" s="3" t="s">
        <v>37</v>
      </c>
      <c r="T3330" s="3" t="s">
        <v>38</v>
      </c>
      <c r="U3330" s="3" t="s">
        <v>39</v>
      </c>
      <c r="V3330" s="3">
        <v>682.77</v>
      </c>
      <c r="W3330" s="3">
        <v>290.18</v>
      </c>
      <c r="X3330" s="3">
        <v>274.81</v>
      </c>
      <c r="Y3330" s="3">
        <v>117.78</v>
      </c>
    </row>
    <row r="3331" spans="1:25" ht="60.75" x14ac:dyDescent="0.25">
      <c r="A3331" s="3" t="s">
        <v>26</v>
      </c>
      <c r="B3331" s="3" t="s">
        <v>27</v>
      </c>
      <c r="C3331" s="3" t="s">
        <v>28</v>
      </c>
      <c r="D3331" s="3" t="s">
        <v>29</v>
      </c>
      <c r="E3331" s="3" t="s">
        <v>119</v>
      </c>
      <c r="F3331" s="3" t="s">
        <v>31</v>
      </c>
      <c r="G3331" s="3" t="s">
        <v>119</v>
      </c>
      <c r="H3331" s="3" t="s">
        <v>96</v>
      </c>
      <c r="I3331" s="3">
        <v>2025</v>
      </c>
      <c r="J3331" s="3" t="str">
        <f>CONCATENATE("54820013719")</f>
        <v>54820013719</v>
      </c>
      <c r="K3331" s="3" t="s">
        <v>33</v>
      </c>
      <c r="L3331" s="3"/>
      <c r="M3331" s="3" t="s">
        <v>131</v>
      </c>
      <c r="N3331" s="3" t="str">
        <f>CONCATENATE("MZUGNI33S59D542K")</f>
        <v>MZUGNI33S59D542K</v>
      </c>
      <c r="O3331" s="3" t="s">
        <v>3452</v>
      </c>
      <c r="P3331" s="3" t="s">
        <v>36</v>
      </c>
      <c r="Q3331" s="3"/>
      <c r="R3331" s="4">
        <v>45996</v>
      </c>
      <c r="S3331" s="3" t="s">
        <v>37</v>
      </c>
      <c r="T3331" s="3" t="s">
        <v>38</v>
      </c>
      <c r="U3331" s="3" t="s">
        <v>39</v>
      </c>
      <c r="V3331" s="3">
        <v>96.95</v>
      </c>
      <c r="W3331" s="3">
        <v>41.2</v>
      </c>
      <c r="X3331" s="3">
        <v>39.020000000000003</v>
      </c>
      <c r="Y3331" s="3">
        <v>16.73</v>
      </c>
    </row>
    <row r="3332" spans="1:25" ht="60.75" x14ac:dyDescent="0.25">
      <c r="A3332" s="3" t="s">
        <v>26</v>
      </c>
      <c r="B3332" s="3" t="s">
        <v>27</v>
      </c>
      <c r="C3332" s="3" t="s">
        <v>28</v>
      </c>
      <c r="D3332" s="3" t="s">
        <v>29</v>
      </c>
      <c r="E3332" s="3" t="s">
        <v>228</v>
      </c>
      <c r="F3332" s="3" t="s">
        <v>31</v>
      </c>
      <c r="G3332" s="3" t="s">
        <v>228</v>
      </c>
      <c r="H3332" s="3" t="s">
        <v>45</v>
      </c>
      <c r="I3332" s="3">
        <v>2025</v>
      </c>
      <c r="J3332" s="3" t="str">
        <f>CONCATENATE("54820020318")</f>
        <v>54820020318</v>
      </c>
      <c r="K3332" s="3" t="s">
        <v>33</v>
      </c>
      <c r="L3332" s="3"/>
      <c r="M3332" s="3" t="s">
        <v>131</v>
      </c>
      <c r="N3332" s="3" t="str">
        <f>CONCATENATE("BLDMRZ62S06D749W")</f>
        <v>BLDMRZ62S06D749W</v>
      </c>
      <c r="O3332" s="3" t="s">
        <v>3453</v>
      </c>
      <c r="P3332" s="3" t="s">
        <v>36</v>
      </c>
      <c r="Q3332" s="3"/>
      <c r="R3332" s="4">
        <v>45996</v>
      </c>
      <c r="S3332" s="3" t="s">
        <v>37</v>
      </c>
      <c r="T3332" s="3" t="s">
        <v>38</v>
      </c>
      <c r="U3332" s="3" t="s">
        <v>39</v>
      </c>
      <c r="V3332" s="3">
        <v>430.54</v>
      </c>
      <c r="W3332" s="3">
        <v>182.98</v>
      </c>
      <c r="X3332" s="3">
        <v>173.29</v>
      </c>
      <c r="Y3332" s="3">
        <v>74.27</v>
      </c>
    </row>
    <row r="3333" spans="1:25" ht="72.75" x14ac:dyDescent="0.25">
      <c r="A3333" s="3" t="s">
        <v>26</v>
      </c>
      <c r="B3333" s="3" t="s">
        <v>27</v>
      </c>
      <c r="C3333" s="3" t="s">
        <v>28</v>
      </c>
      <c r="D3333" s="3" t="s">
        <v>29</v>
      </c>
      <c r="E3333" s="3" t="s">
        <v>72</v>
      </c>
      <c r="F3333" s="3" t="s">
        <v>31</v>
      </c>
      <c r="G3333" s="3" t="s">
        <v>72</v>
      </c>
      <c r="H3333" s="3" t="s">
        <v>45</v>
      </c>
      <c r="I3333" s="3">
        <v>2025</v>
      </c>
      <c r="J3333" s="3" t="str">
        <f>CONCATENATE("54820030721")</f>
        <v>54820030721</v>
      </c>
      <c r="K3333" s="3" t="s">
        <v>33</v>
      </c>
      <c r="L3333" s="3"/>
      <c r="M3333" s="3" t="s">
        <v>131</v>
      </c>
      <c r="N3333" s="3" t="str">
        <f>CONCATENATE("GMMMTT97C11B352M")</f>
        <v>GMMMTT97C11B352M</v>
      </c>
      <c r="O3333" s="3" t="s">
        <v>3454</v>
      </c>
      <c r="P3333" s="3" t="s">
        <v>36</v>
      </c>
      <c r="Q3333" s="3"/>
      <c r="R3333" s="4">
        <v>45996</v>
      </c>
      <c r="S3333" s="3" t="s">
        <v>37</v>
      </c>
      <c r="T3333" s="3" t="s">
        <v>38</v>
      </c>
      <c r="U3333" s="3" t="s">
        <v>39</v>
      </c>
      <c r="V3333" s="3">
        <v>151.66</v>
      </c>
      <c r="W3333" s="3">
        <v>64.459999999999994</v>
      </c>
      <c r="X3333" s="3">
        <v>61.04</v>
      </c>
      <c r="Y3333" s="3">
        <v>26.16</v>
      </c>
    </row>
    <row r="3334" spans="1:25" ht="72.75" x14ac:dyDescent="0.25">
      <c r="A3334" s="3" t="s">
        <v>26</v>
      </c>
      <c r="B3334" s="3" t="s">
        <v>27</v>
      </c>
      <c r="C3334" s="3" t="s">
        <v>28</v>
      </c>
      <c r="D3334" s="3" t="s">
        <v>50</v>
      </c>
      <c r="E3334" s="3" t="s">
        <v>149</v>
      </c>
      <c r="F3334" s="3" t="s">
        <v>52</v>
      </c>
      <c r="G3334" s="3" t="s">
        <v>149</v>
      </c>
      <c r="H3334" s="3" t="s">
        <v>96</v>
      </c>
      <c r="I3334" s="3">
        <v>2025</v>
      </c>
      <c r="J3334" s="3" t="str">
        <f>CONCATENATE("54820014097")</f>
        <v>54820014097</v>
      </c>
      <c r="K3334" s="3" t="s">
        <v>33</v>
      </c>
      <c r="L3334" s="3"/>
      <c r="M3334" s="3" t="s">
        <v>131</v>
      </c>
      <c r="N3334" s="3" t="str">
        <f>CONCATENATE("CPRNZR54H30A044D")</f>
        <v>CPRNZR54H30A044D</v>
      </c>
      <c r="O3334" s="3" t="s">
        <v>3455</v>
      </c>
      <c r="P3334" s="3" t="s">
        <v>36</v>
      </c>
      <c r="Q3334" s="3"/>
      <c r="R3334" s="4">
        <v>45996</v>
      </c>
      <c r="S3334" s="3" t="s">
        <v>37</v>
      </c>
      <c r="T3334" s="3" t="s">
        <v>38</v>
      </c>
      <c r="U3334" s="3" t="s">
        <v>39</v>
      </c>
      <c r="V3334" s="3">
        <v>171.68</v>
      </c>
      <c r="W3334" s="3">
        <v>72.959999999999994</v>
      </c>
      <c r="X3334" s="3">
        <v>69.099999999999994</v>
      </c>
      <c r="Y3334" s="3">
        <v>29.62</v>
      </c>
    </row>
    <row r="3335" spans="1:25" ht="60.75" x14ac:dyDescent="0.25">
      <c r="A3335" s="3" t="s">
        <v>26</v>
      </c>
      <c r="B3335" s="3" t="s">
        <v>27</v>
      </c>
      <c r="C3335" s="3" t="s">
        <v>28</v>
      </c>
      <c r="D3335" s="3" t="s">
        <v>40</v>
      </c>
      <c r="E3335" s="3" t="s">
        <v>287</v>
      </c>
      <c r="F3335" s="3" t="s">
        <v>42</v>
      </c>
      <c r="G3335" s="3" t="s">
        <v>287</v>
      </c>
      <c r="H3335" s="3" t="s">
        <v>32</v>
      </c>
      <c r="I3335" s="3">
        <v>2025</v>
      </c>
      <c r="J3335" s="3" t="str">
        <f>CONCATENATE("54820022587")</f>
        <v>54820022587</v>
      </c>
      <c r="K3335" s="3" t="s">
        <v>33</v>
      </c>
      <c r="L3335" s="3"/>
      <c r="M3335" s="3" t="s">
        <v>131</v>
      </c>
      <c r="N3335" s="3" t="str">
        <f>CONCATENATE("RCCDLU43C55I156B")</f>
        <v>RCCDLU43C55I156B</v>
      </c>
      <c r="O3335" s="3" t="s">
        <v>3456</v>
      </c>
      <c r="P3335" s="3" t="s">
        <v>36</v>
      </c>
      <c r="Q3335" s="3"/>
      <c r="R3335" s="4">
        <v>45996</v>
      </c>
      <c r="S3335" s="3" t="s">
        <v>37</v>
      </c>
      <c r="T3335" s="3" t="s">
        <v>38</v>
      </c>
      <c r="U3335" s="3" t="s">
        <v>39</v>
      </c>
      <c r="V3335" s="3">
        <v>563.95000000000005</v>
      </c>
      <c r="W3335" s="3">
        <v>239.68</v>
      </c>
      <c r="X3335" s="3">
        <v>226.99</v>
      </c>
      <c r="Y3335" s="3">
        <v>97.28</v>
      </c>
    </row>
    <row r="3336" spans="1:25" ht="60.75" x14ac:dyDescent="0.25">
      <c r="A3336" s="3" t="s">
        <v>26</v>
      </c>
      <c r="B3336" s="3" t="s">
        <v>27</v>
      </c>
      <c r="C3336" s="3" t="s">
        <v>28</v>
      </c>
      <c r="D3336" s="3" t="s">
        <v>29</v>
      </c>
      <c r="E3336" s="3" t="s">
        <v>228</v>
      </c>
      <c r="F3336" s="3" t="s">
        <v>31</v>
      </c>
      <c r="G3336" s="3" t="s">
        <v>228</v>
      </c>
      <c r="H3336" s="3" t="s">
        <v>45</v>
      </c>
      <c r="I3336" s="3">
        <v>2025</v>
      </c>
      <c r="J3336" s="3" t="str">
        <f>CONCATENATE("54820036223")</f>
        <v>54820036223</v>
      </c>
      <c r="K3336" s="3" t="s">
        <v>33</v>
      </c>
      <c r="L3336" s="3"/>
      <c r="M3336" s="3" t="s">
        <v>131</v>
      </c>
      <c r="N3336" s="3" t="str">
        <f>CONCATENATE("GNTLNZ76A13D749T")</f>
        <v>GNTLNZ76A13D749T</v>
      </c>
      <c r="O3336" s="3" t="s">
        <v>3457</v>
      </c>
      <c r="P3336" s="3" t="s">
        <v>36</v>
      </c>
      <c r="Q3336" s="3"/>
      <c r="R3336" s="4">
        <v>45996</v>
      </c>
      <c r="S3336" s="3" t="s">
        <v>37</v>
      </c>
      <c r="T3336" s="3" t="s">
        <v>38</v>
      </c>
      <c r="U3336" s="3" t="s">
        <v>39</v>
      </c>
      <c r="V3336" s="3">
        <v>188.41</v>
      </c>
      <c r="W3336" s="3">
        <v>80.069999999999993</v>
      </c>
      <c r="X3336" s="3">
        <v>75.84</v>
      </c>
      <c r="Y3336" s="3">
        <v>32.5</v>
      </c>
    </row>
    <row r="3337" spans="1:25" ht="60.75" x14ac:dyDescent="0.25">
      <c r="A3337" s="3" t="s">
        <v>26</v>
      </c>
      <c r="B3337" s="3" t="s">
        <v>27</v>
      </c>
      <c r="C3337" s="3" t="s">
        <v>28</v>
      </c>
      <c r="D3337" s="3" t="s">
        <v>29</v>
      </c>
      <c r="E3337" s="3" t="s">
        <v>136</v>
      </c>
      <c r="F3337" s="3" t="s">
        <v>31</v>
      </c>
      <c r="G3337" s="3" t="s">
        <v>136</v>
      </c>
      <c r="H3337" s="3" t="s">
        <v>48</v>
      </c>
      <c r="I3337" s="3">
        <v>2025</v>
      </c>
      <c r="J3337" s="3" t="str">
        <f>CONCATENATE("54820018734")</f>
        <v>54820018734</v>
      </c>
      <c r="K3337" s="3" t="s">
        <v>33</v>
      </c>
      <c r="L3337" s="3"/>
      <c r="M3337" s="3" t="s">
        <v>131</v>
      </c>
      <c r="N3337" s="3" t="str">
        <f>CONCATENATE("PSSLGU77L11D451V")</f>
        <v>PSSLGU77L11D451V</v>
      </c>
      <c r="O3337" s="3" t="s">
        <v>3458</v>
      </c>
      <c r="P3337" s="3" t="s">
        <v>36</v>
      </c>
      <c r="Q3337" s="3"/>
      <c r="R3337" s="4">
        <v>45996</v>
      </c>
      <c r="S3337" s="3" t="s">
        <v>37</v>
      </c>
      <c r="T3337" s="3" t="s">
        <v>38</v>
      </c>
      <c r="U3337" s="3" t="s">
        <v>39</v>
      </c>
      <c r="V3337" s="3">
        <v>417.09</v>
      </c>
      <c r="W3337" s="3">
        <v>177.26</v>
      </c>
      <c r="X3337" s="3">
        <v>167.88</v>
      </c>
      <c r="Y3337" s="3">
        <v>71.95</v>
      </c>
    </row>
    <row r="3338" spans="1:25" ht="72.75" x14ac:dyDescent="0.25">
      <c r="A3338" s="3" t="s">
        <v>26</v>
      </c>
      <c r="B3338" s="3" t="s">
        <v>27</v>
      </c>
      <c r="C3338" s="3" t="s">
        <v>28</v>
      </c>
      <c r="D3338" s="3" t="s">
        <v>29</v>
      </c>
      <c r="E3338" s="3" t="s">
        <v>72</v>
      </c>
      <c r="F3338" s="3" t="s">
        <v>31</v>
      </c>
      <c r="G3338" s="3" t="s">
        <v>72</v>
      </c>
      <c r="H3338" s="3" t="s">
        <v>45</v>
      </c>
      <c r="I3338" s="3">
        <v>2025</v>
      </c>
      <c r="J3338" s="3" t="str">
        <f>CONCATENATE("54820025184")</f>
        <v>54820025184</v>
      </c>
      <c r="K3338" s="3" t="s">
        <v>33</v>
      </c>
      <c r="L3338" s="3"/>
      <c r="M3338" s="3" t="s">
        <v>131</v>
      </c>
      <c r="N3338" s="3" t="str">
        <f>CONCATENATE("RBRNNA33B60B352H")</f>
        <v>RBRNNA33B60B352H</v>
      </c>
      <c r="O3338" s="3" t="s">
        <v>3459</v>
      </c>
      <c r="P3338" s="3" t="s">
        <v>36</v>
      </c>
      <c r="Q3338" s="3"/>
      <c r="R3338" s="4">
        <v>45996</v>
      </c>
      <c r="S3338" s="3" t="s">
        <v>37</v>
      </c>
      <c r="T3338" s="3" t="s">
        <v>38</v>
      </c>
      <c r="U3338" s="3" t="s">
        <v>39</v>
      </c>
      <c r="V3338" s="3">
        <v>110.44</v>
      </c>
      <c r="W3338" s="3">
        <v>46.94</v>
      </c>
      <c r="X3338" s="3">
        <v>44.45</v>
      </c>
      <c r="Y3338" s="3">
        <v>19.05</v>
      </c>
    </row>
    <row r="3339" spans="1:25" ht="72.75" x14ac:dyDescent="0.25">
      <c r="A3339" s="3" t="s">
        <v>26</v>
      </c>
      <c r="B3339" s="3" t="s">
        <v>27</v>
      </c>
      <c r="C3339" s="3" t="s">
        <v>28</v>
      </c>
      <c r="D3339" s="3" t="s">
        <v>91</v>
      </c>
      <c r="E3339" s="3" t="s">
        <v>92</v>
      </c>
      <c r="F3339" s="3" t="s">
        <v>93</v>
      </c>
      <c r="G3339" s="3" t="s">
        <v>92</v>
      </c>
      <c r="H3339" s="3" t="s">
        <v>48</v>
      </c>
      <c r="I3339" s="3">
        <v>2025</v>
      </c>
      <c r="J3339" s="3" t="str">
        <f>CONCATENATE("54820008735")</f>
        <v>54820008735</v>
      </c>
      <c r="K3339" s="3" t="s">
        <v>33</v>
      </c>
      <c r="L3339" s="3"/>
      <c r="M3339" s="3" t="s">
        <v>131</v>
      </c>
      <c r="N3339" s="3" t="str">
        <f>CONCATENATE("GBRSNT65A21D451R")</f>
        <v>GBRSNT65A21D451R</v>
      </c>
      <c r="O3339" s="3" t="s">
        <v>3460</v>
      </c>
      <c r="P3339" s="3" t="s">
        <v>36</v>
      </c>
      <c r="Q3339" s="3"/>
      <c r="R3339" s="4">
        <v>45996</v>
      </c>
      <c r="S3339" s="3" t="s">
        <v>37</v>
      </c>
      <c r="T3339" s="3" t="s">
        <v>38</v>
      </c>
      <c r="U3339" s="3" t="s">
        <v>39</v>
      </c>
      <c r="V3339" s="3">
        <v>255.06</v>
      </c>
      <c r="W3339" s="3">
        <v>108.4</v>
      </c>
      <c r="X3339" s="3">
        <v>102.66</v>
      </c>
      <c r="Y3339" s="3">
        <v>44</v>
      </c>
    </row>
    <row r="3340" spans="1:25" ht="60.75" x14ac:dyDescent="0.25">
      <c r="A3340" s="3" t="s">
        <v>26</v>
      </c>
      <c r="B3340" s="3" t="s">
        <v>27</v>
      </c>
      <c r="C3340" s="3" t="s">
        <v>28</v>
      </c>
      <c r="D3340" s="3" t="s">
        <v>50</v>
      </c>
      <c r="E3340" s="3" t="s">
        <v>173</v>
      </c>
      <c r="F3340" s="3" t="s">
        <v>52</v>
      </c>
      <c r="G3340" s="3" t="s">
        <v>173</v>
      </c>
      <c r="H3340" s="3" t="s">
        <v>45</v>
      </c>
      <c r="I3340" s="3">
        <v>2025</v>
      </c>
      <c r="J3340" s="3" t="str">
        <f>CONCATENATE("54820028576")</f>
        <v>54820028576</v>
      </c>
      <c r="K3340" s="3" t="s">
        <v>33</v>
      </c>
      <c r="L3340" s="3"/>
      <c r="M3340" s="3" t="s">
        <v>131</v>
      </c>
      <c r="N3340" s="3" t="str">
        <f>CONCATENATE("FDDRFL81A55G337G")</f>
        <v>FDDRFL81A55G337G</v>
      </c>
      <c r="O3340" s="3" t="s">
        <v>3461</v>
      </c>
      <c r="P3340" s="3" t="s">
        <v>36</v>
      </c>
      <c r="Q3340" s="3"/>
      <c r="R3340" s="4">
        <v>45996</v>
      </c>
      <c r="S3340" s="3" t="s">
        <v>37</v>
      </c>
      <c r="T3340" s="3" t="s">
        <v>38</v>
      </c>
      <c r="U3340" s="3" t="s">
        <v>39</v>
      </c>
      <c r="V3340" s="3">
        <v>175.6</v>
      </c>
      <c r="W3340" s="3">
        <v>74.63</v>
      </c>
      <c r="X3340" s="3">
        <v>70.680000000000007</v>
      </c>
      <c r="Y3340" s="3">
        <v>30.29</v>
      </c>
    </row>
    <row r="3341" spans="1:25" ht="60.75" x14ac:dyDescent="0.25">
      <c r="A3341" s="3" t="s">
        <v>26</v>
      </c>
      <c r="B3341" s="3" t="s">
        <v>27</v>
      </c>
      <c r="C3341" s="3" t="s">
        <v>28</v>
      </c>
      <c r="D3341" s="3" t="s">
        <v>29</v>
      </c>
      <c r="E3341" s="3" t="s">
        <v>68</v>
      </c>
      <c r="F3341" s="3" t="s">
        <v>31</v>
      </c>
      <c r="G3341" s="3" t="s">
        <v>68</v>
      </c>
      <c r="H3341" s="3" t="s">
        <v>32</v>
      </c>
      <c r="I3341" s="3">
        <v>2025</v>
      </c>
      <c r="J3341" s="3" t="str">
        <f>CONCATENATE("54820020912")</f>
        <v>54820020912</v>
      </c>
      <c r="K3341" s="3" t="s">
        <v>33</v>
      </c>
      <c r="L3341" s="3"/>
      <c r="M3341" s="3" t="s">
        <v>131</v>
      </c>
      <c r="N3341" s="3" t="str">
        <f>CONCATENATE("BGGMRZ45C26I436H")</f>
        <v>BGGMRZ45C26I436H</v>
      </c>
      <c r="O3341" s="3" t="s">
        <v>3462</v>
      </c>
      <c r="P3341" s="3" t="s">
        <v>36</v>
      </c>
      <c r="Q3341" s="3"/>
      <c r="R3341" s="4">
        <v>45996</v>
      </c>
      <c r="S3341" s="3" t="s">
        <v>37</v>
      </c>
      <c r="T3341" s="3" t="s">
        <v>38</v>
      </c>
      <c r="U3341" s="3" t="s">
        <v>39</v>
      </c>
      <c r="V3341" s="3">
        <v>152.79</v>
      </c>
      <c r="W3341" s="3">
        <v>64.94</v>
      </c>
      <c r="X3341" s="3">
        <v>61.5</v>
      </c>
      <c r="Y3341" s="3">
        <v>26.35</v>
      </c>
    </row>
    <row r="3342" spans="1:25" ht="60.75" x14ac:dyDescent="0.25">
      <c r="A3342" s="3" t="s">
        <v>26</v>
      </c>
      <c r="B3342" s="3" t="s">
        <v>27</v>
      </c>
      <c r="C3342" s="3" t="s">
        <v>28</v>
      </c>
      <c r="D3342" s="3" t="s">
        <v>29</v>
      </c>
      <c r="E3342" s="3" t="s">
        <v>186</v>
      </c>
      <c r="F3342" s="3" t="s">
        <v>31</v>
      </c>
      <c r="G3342" s="3" t="s">
        <v>186</v>
      </c>
      <c r="H3342" s="3" t="s">
        <v>45</v>
      </c>
      <c r="I3342" s="3">
        <v>2025</v>
      </c>
      <c r="J3342" s="3" t="str">
        <f>CONCATENATE("54820026299")</f>
        <v>54820026299</v>
      </c>
      <c r="K3342" s="3" t="s">
        <v>33</v>
      </c>
      <c r="L3342" s="3"/>
      <c r="M3342" s="3" t="s">
        <v>131</v>
      </c>
      <c r="N3342" s="3" t="str">
        <f>CONCATENATE("PSQNNZ43H64B816J")</f>
        <v>PSQNNZ43H64B816J</v>
      </c>
      <c r="O3342" s="3" t="s">
        <v>3463</v>
      </c>
      <c r="P3342" s="3" t="s">
        <v>36</v>
      </c>
      <c r="Q3342" s="3"/>
      <c r="R3342" s="4">
        <v>45996</v>
      </c>
      <c r="S3342" s="3" t="s">
        <v>37</v>
      </c>
      <c r="T3342" s="3" t="s">
        <v>38</v>
      </c>
      <c r="U3342" s="3" t="s">
        <v>39</v>
      </c>
      <c r="V3342" s="5">
        <v>1013.04</v>
      </c>
      <c r="W3342" s="3">
        <v>430.54</v>
      </c>
      <c r="X3342" s="3">
        <v>407.75</v>
      </c>
      <c r="Y3342" s="3">
        <v>174.75</v>
      </c>
    </row>
    <row r="3343" spans="1:25" ht="72.75" x14ac:dyDescent="0.25">
      <c r="A3343" s="3" t="s">
        <v>26</v>
      </c>
      <c r="B3343" s="3" t="s">
        <v>27</v>
      </c>
      <c r="C3343" s="3" t="s">
        <v>28</v>
      </c>
      <c r="D3343" s="3" t="s">
        <v>29</v>
      </c>
      <c r="E3343" s="3" t="s">
        <v>72</v>
      </c>
      <c r="F3343" s="3" t="s">
        <v>31</v>
      </c>
      <c r="G3343" s="3" t="s">
        <v>72</v>
      </c>
      <c r="H3343" s="3" t="s">
        <v>45</v>
      </c>
      <c r="I3343" s="3">
        <v>2025</v>
      </c>
      <c r="J3343" s="3" t="str">
        <f>CONCATENATE("54820028980")</f>
        <v>54820028980</v>
      </c>
      <c r="K3343" s="3" t="s">
        <v>33</v>
      </c>
      <c r="L3343" s="3"/>
      <c r="M3343" s="3" t="s">
        <v>131</v>
      </c>
      <c r="N3343" s="3" t="str">
        <f>CONCATENATE("PFRFNC67H27A035O")</f>
        <v>PFRFNC67H27A035O</v>
      </c>
      <c r="O3343" s="3" t="s">
        <v>3464</v>
      </c>
      <c r="P3343" s="3" t="s">
        <v>36</v>
      </c>
      <c r="Q3343" s="3"/>
      <c r="R3343" s="4">
        <v>45996</v>
      </c>
      <c r="S3343" s="3" t="s">
        <v>37</v>
      </c>
      <c r="T3343" s="3" t="s">
        <v>38</v>
      </c>
      <c r="U3343" s="3" t="s">
        <v>39</v>
      </c>
      <c r="V3343" s="3">
        <v>935.68</v>
      </c>
      <c r="W3343" s="3">
        <v>397.66</v>
      </c>
      <c r="X3343" s="3">
        <v>376.61</v>
      </c>
      <c r="Y3343" s="3">
        <v>161.41</v>
      </c>
    </row>
    <row r="3344" spans="1:25" ht="60.75" x14ac:dyDescent="0.25">
      <c r="A3344" s="3" t="s">
        <v>26</v>
      </c>
      <c r="B3344" s="3" t="s">
        <v>27</v>
      </c>
      <c r="C3344" s="3" t="s">
        <v>28</v>
      </c>
      <c r="D3344" s="3" t="s">
        <v>40</v>
      </c>
      <c r="E3344" s="3" t="s">
        <v>287</v>
      </c>
      <c r="F3344" s="3" t="s">
        <v>42</v>
      </c>
      <c r="G3344" s="3" t="s">
        <v>287</v>
      </c>
      <c r="H3344" s="3" t="s">
        <v>32</v>
      </c>
      <c r="I3344" s="3">
        <v>2025</v>
      </c>
      <c r="J3344" s="3" t="str">
        <f>CONCATENATE("54820016308")</f>
        <v>54820016308</v>
      </c>
      <c r="K3344" s="3" t="s">
        <v>33</v>
      </c>
      <c r="L3344" s="3"/>
      <c r="M3344" s="3" t="s">
        <v>131</v>
      </c>
      <c r="N3344" s="3" t="str">
        <f>CONCATENATE("LBBLNZ68A07B474Y")</f>
        <v>LBBLNZ68A07B474Y</v>
      </c>
      <c r="O3344" s="3" t="s">
        <v>3465</v>
      </c>
      <c r="P3344" s="3" t="s">
        <v>36</v>
      </c>
      <c r="Q3344" s="3"/>
      <c r="R3344" s="4">
        <v>45996</v>
      </c>
      <c r="S3344" s="3" t="s">
        <v>37</v>
      </c>
      <c r="T3344" s="3" t="s">
        <v>38</v>
      </c>
      <c r="U3344" s="3" t="s">
        <v>39</v>
      </c>
      <c r="V3344" s="3">
        <v>60.94</v>
      </c>
      <c r="W3344" s="3">
        <v>25.9</v>
      </c>
      <c r="X3344" s="3">
        <v>24.53</v>
      </c>
      <c r="Y3344" s="3">
        <v>10.51</v>
      </c>
    </row>
    <row r="3345" spans="1:25" ht="72.75" x14ac:dyDescent="0.25">
      <c r="A3345" s="3" t="s">
        <v>26</v>
      </c>
      <c r="B3345" s="3" t="s">
        <v>27</v>
      </c>
      <c r="C3345" s="3" t="s">
        <v>28</v>
      </c>
      <c r="D3345" s="3" t="s">
        <v>29</v>
      </c>
      <c r="E3345" s="3" t="s">
        <v>119</v>
      </c>
      <c r="F3345" s="3" t="s">
        <v>31</v>
      </c>
      <c r="G3345" s="3" t="s">
        <v>119</v>
      </c>
      <c r="H3345" s="3" t="s">
        <v>96</v>
      </c>
      <c r="I3345" s="3">
        <v>2025</v>
      </c>
      <c r="J3345" s="3" t="str">
        <f>CONCATENATE("54820033188")</f>
        <v>54820033188</v>
      </c>
      <c r="K3345" s="3" t="s">
        <v>33</v>
      </c>
      <c r="L3345" s="3"/>
      <c r="M3345" s="3" t="s">
        <v>131</v>
      </c>
      <c r="N3345" s="3" t="str">
        <f>CONCATENATE("GRZNDA74H61H769O")</f>
        <v>GRZNDA74H61H769O</v>
      </c>
      <c r="O3345" s="3" t="s">
        <v>3466</v>
      </c>
      <c r="P3345" s="3" t="s">
        <v>36</v>
      </c>
      <c r="Q3345" s="3"/>
      <c r="R3345" s="4">
        <v>45996</v>
      </c>
      <c r="S3345" s="3" t="s">
        <v>37</v>
      </c>
      <c r="T3345" s="3" t="s">
        <v>38</v>
      </c>
      <c r="U3345" s="3" t="s">
        <v>39</v>
      </c>
      <c r="V3345" s="3">
        <v>263.45</v>
      </c>
      <c r="W3345" s="3">
        <v>111.97</v>
      </c>
      <c r="X3345" s="3">
        <v>106.04</v>
      </c>
      <c r="Y3345" s="3">
        <v>45.44</v>
      </c>
    </row>
    <row r="3346" spans="1:25" ht="72.75" x14ac:dyDescent="0.25">
      <c r="A3346" s="3" t="s">
        <v>26</v>
      </c>
      <c r="B3346" s="3" t="s">
        <v>27</v>
      </c>
      <c r="C3346" s="3" t="s">
        <v>28</v>
      </c>
      <c r="D3346" s="3" t="s">
        <v>29</v>
      </c>
      <c r="E3346" s="3" t="s">
        <v>136</v>
      </c>
      <c r="F3346" s="3" t="s">
        <v>31</v>
      </c>
      <c r="G3346" s="3" t="s">
        <v>136</v>
      </c>
      <c r="H3346" s="3" t="s">
        <v>48</v>
      </c>
      <c r="I3346" s="3">
        <v>2025</v>
      </c>
      <c r="J3346" s="3" t="str">
        <f>CONCATENATE("54820038468")</f>
        <v>54820038468</v>
      </c>
      <c r="K3346" s="3" t="s">
        <v>33</v>
      </c>
      <c r="L3346" s="3"/>
      <c r="M3346" s="3" t="s">
        <v>131</v>
      </c>
      <c r="N3346" s="3" t="str">
        <f>CONCATENATE("RMZGPP85D12D086B")</f>
        <v>RMZGPP85D12D086B</v>
      </c>
      <c r="O3346" s="3" t="s">
        <v>3467</v>
      </c>
      <c r="P3346" s="3" t="s">
        <v>36</v>
      </c>
      <c r="Q3346" s="3"/>
      <c r="R3346" s="4">
        <v>45996</v>
      </c>
      <c r="S3346" s="3" t="s">
        <v>37</v>
      </c>
      <c r="T3346" s="3" t="s">
        <v>38</v>
      </c>
      <c r="U3346" s="3" t="s">
        <v>39</v>
      </c>
      <c r="V3346" s="3">
        <v>157.56</v>
      </c>
      <c r="W3346" s="3">
        <v>66.959999999999994</v>
      </c>
      <c r="X3346" s="3">
        <v>63.42</v>
      </c>
      <c r="Y3346" s="3">
        <v>27.18</v>
      </c>
    </row>
    <row r="3347" spans="1:25" ht="60.75" x14ac:dyDescent="0.25">
      <c r="A3347" s="3" t="s">
        <v>26</v>
      </c>
      <c r="B3347" s="3" t="s">
        <v>27</v>
      </c>
      <c r="C3347" s="3" t="s">
        <v>28</v>
      </c>
      <c r="D3347" s="3" t="s">
        <v>29</v>
      </c>
      <c r="E3347" s="3" t="s">
        <v>186</v>
      </c>
      <c r="F3347" s="3" t="s">
        <v>31</v>
      </c>
      <c r="G3347" s="3" t="s">
        <v>186</v>
      </c>
      <c r="H3347" s="3" t="s">
        <v>45</v>
      </c>
      <c r="I3347" s="3">
        <v>2025</v>
      </c>
      <c r="J3347" s="3" t="str">
        <f>CONCATENATE("54820026372")</f>
        <v>54820026372</v>
      </c>
      <c r="K3347" s="3" t="s">
        <v>33</v>
      </c>
      <c r="L3347" s="3"/>
      <c r="M3347" s="3" t="s">
        <v>131</v>
      </c>
      <c r="N3347" s="3" t="str">
        <f>CONCATENATE("RCNGBR52P20E743C")</f>
        <v>RCNGBR52P20E743C</v>
      </c>
      <c r="O3347" s="3" t="s">
        <v>3468</v>
      </c>
      <c r="P3347" s="3" t="s">
        <v>36</v>
      </c>
      <c r="Q3347" s="3"/>
      <c r="R3347" s="4">
        <v>45996</v>
      </c>
      <c r="S3347" s="3" t="s">
        <v>37</v>
      </c>
      <c r="T3347" s="3" t="s">
        <v>38</v>
      </c>
      <c r="U3347" s="3" t="s">
        <v>39</v>
      </c>
      <c r="V3347" s="3">
        <v>312.85000000000002</v>
      </c>
      <c r="W3347" s="3">
        <v>132.96</v>
      </c>
      <c r="X3347" s="3">
        <v>125.92</v>
      </c>
      <c r="Y3347" s="3">
        <v>53.97</v>
      </c>
    </row>
    <row r="3348" spans="1:25" ht="60.75" x14ac:dyDescent="0.25">
      <c r="A3348" s="3" t="s">
        <v>26</v>
      </c>
      <c r="B3348" s="3" t="s">
        <v>27</v>
      </c>
      <c r="C3348" s="3" t="s">
        <v>28</v>
      </c>
      <c r="D3348" s="3" t="s">
        <v>29</v>
      </c>
      <c r="E3348" s="3" t="s">
        <v>72</v>
      </c>
      <c r="F3348" s="3" t="s">
        <v>31</v>
      </c>
      <c r="G3348" s="3" t="s">
        <v>72</v>
      </c>
      <c r="H3348" s="3" t="s">
        <v>45</v>
      </c>
      <c r="I3348" s="3">
        <v>2025</v>
      </c>
      <c r="J3348" s="3" t="str">
        <f>CONCATENATE("54820025796")</f>
        <v>54820025796</v>
      </c>
      <c r="K3348" s="3" t="s">
        <v>33</v>
      </c>
      <c r="L3348" s="3"/>
      <c r="M3348" s="3" t="s">
        <v>131</v>
      </c>
      <c r="N3348" s="3" t="str">
        <f>CONCATENATE("BRZSFN80P16B352K")</f>
        <v>BRZSFN80P16B352K</v>
      </c>
      <c r="O3348" s="3" t="s">
        <v>3469</v>
      </c>
      <c r="P3348" s="3" t="s">
        <v>36</v>
      </c>
      <c r="Q3348" s="3"/>
      <c r="R3348" s="4">
        <v>45996</v>
      </c>
      <c r="S3348" s="3" t="s">
        <v>37</v>
      </c>
      <c r="T3348" s="3" t="s">
        <v>38</v>
      </c>
      <c r="U3348" s="3" t="s">
        <v>39</v>
      </c>
      <c r="V3348" s="3">
        <v>217.19</v>
      </c>
      <c r="W3348" s="3">
        <v>92.31</v>
      </c>
      <c r="X3348" s="3">
        <v>87.42</v>
      </c>
      <c r="Y3348" s="3">
        <v>37.46</v>
      </c>
    </row>
    <row r="3349" spans="1:25" ht="60.75" x14ac:dyDescent="0.25">
      <c r="A3349" s="3" t="s">
        <v>26</v>
      </c>
      <c r="B3349" s="3" t="s">
        <v>27</v>
      </c>
      <c r="C3349" s="3" t="s">
        <v>28</v>
      </c>
      <c r="D3349" s="3" t="s">
        <v>40</v>
      </c>
      <c r="E3349" s="3" t="s">
        <v>287</v>
      </c>
      <c r="F3349" s="3" t="s">
        <v>42</v>
      </c>
      <c r="G3349" s="3" t="s">
        <v>287</v>
      </c>
      <c r="H3349" s="3" t="s">
        <v>32</v>
      </c>
      <c r="I3349" s="3">
        <v>2025</v>
      </c>
      <c r="J3349" s="3" t="str">
        <f>CONCATENATE("54820016084")</f>
        <v>54820016084</v>
      </c>
      <c r="K3349" s="3" t="s">
        <v>33</v>
      </c>
      <c r="L3349" s="3"/>
      <c r="M3349" s="3" t="s">
        <v>131</v>
      </c>
      <c r="N3349" s="3" t="str">
        <f>CONCATENATE("GRSMRA59R70B474Y")</f>
        <v>GRSMRA59R70B474Y</v>
      </c>
      <c r="O3349" s="3" t="s">
        <v>3470</v>
      </c>
      <c r="P3349" s="3" t="s">
        <v>36</v>
      </c>
      <c r="Q3349" s="3"/>
      <c r="R3349" s="4">
        <v>45996</v>
      </c>
      <c r="S3349" s="3" t="s">
        <v>37</v>
      </c>
      <c r="T3349" s="3" t="s">
        <v>38</v>
      </c>
      <c r="U3349" s="3" t="s">
        <v>39</v>
      </c>
      <c r="V3349" s="3">
        <v>65.680000000000007</v>
      </c>
      <c r="W3349" s="3">
        <v>27.91</v>
      </c>
      <c r="X3349" s="3">
        <v>26.44</v>
      </c>
      <c r="Y3349" s="3">
        <v>11.33</v>
      </c>
    </row>
    <row r="3350" spans="1:25" ht="60.75" x14ac:dyDescent="0.25">
      <c r="A3350" s="3" t="s">
        <v>26</v>
      </c>
      <c r="B3350" s="3" t="s">
        <v>27</v>
      </c>
      <c r="C3350" s="3" t="s">
        <v>28</v>
      </c>
      <c r="D3350" s="3" t="s">
        <v>29</v>
      </c>
      <c r="E3350" s="3" t="s">
        <v>119</v>
      </c>
      <c r="F3350" s="3" t="s">
        <v>31</v>
      </c>
      <c r="G3350" s="3" t="s">
        <v>119</v>
      </c>
      <c r="H3350" s="3" t="s">
        <v>96</v>
      </c>
      <c r="I3350" s="3">
        <v>2025</v>
      </c>
      <c r="J3350" s="3" t="str">
        <f>CONCATENATE("54820019245")</f>
        <v>54820019245</v>
      </c>
      <c r="K3350" s="3" t="s">
        <v>33</v>
      </c>
      <c r="L3350" s="3"/>
      <c r="M3350" s="3" t="s">
        <v>131</v>
      </c>
      <c r="N3350" s="3" t="str">
        <f>CONCATENATE("VLLPRM37B23H588A")</f>
        <v>VLLPRM37B23H588A</v>
      </c>
      <c r="O3350" s="3" t="s">
        <v>3471</v>
      </c>
      <c r="P3350" s="3" t="s">
        <v>36</v>
      </c>
      <c r="Q3350" s="3"/>
      <c r="R3350" s="4">
        <v>45996</v>
      </c>
      <c r="S3350" s="3" t="s">
        <v>37</v>
      </c>
      <c r="T3350" s="3" t="s">
        <v>38</v>
      </c>
      <c r="U3350" s="3" t="s">
        <v>39</v>
      </c>
      <c r="V3350" s="3">
        <v>195.42</v>
      </c>
      <c r="W3350" s="3">
        <v>83.05</v>
      </c>
      <c r="X3350" s="3">
        <v>78.66</v>
      </c>
      <c r="Y3350" s="3">
        <v>33.71</v>
      </c>
    </row>
    <row r="3351" spans="1:25" ht="72.75" x14ac:dyDescent="0.25">
      <c r="A3351" s="3" t="s">
        <v>26</v>
      </c>
      <c r="B3351" s="3" t="s">
        <v>27</v>
      </c>
      <c r="C3351" s="3" t="s">
        <v>28</v>
      </c>
      <c r="D3351" s="3" t="s">
        <v>29</v>
      </c>
      <c r="E3351" s="3" t="s">
        <v>136</v>
      </c>
      <c r="F3351" s="3" t="s">
        <v>31</v>
      </c>
      <c r="G3351" s="3" t="s">
        <v>136</v>
      </c>
      <c r="H3351" s="3" t="s">
        <v>48</v>
      </c>
      <c r="I3351" s="3">
        <v>2025</v>
      </c>
      <c r="J3351" s="3" t="str">
        <f>CONCATENATE("54820014857")</f>
        <v>54820014857</v>
      </c>
      <c r="K3351" s="3" t="s">
        <v>33</v>
      </c>
      <c r="L3351" s="3"/>
      <c r="M3351" s="3" t="s">
        <v>131</v>
      </c>
      <c r="N3351" s="3" t="str">
        <f>CONCATENATE("CMLFNC50R05D965V")</f>
        <v>CMLFNC50R05D965V</v>
      </c>
      <c r="O3351" s="3" t="s">
        <v>3472</v>
      </c>
      <c r="P3351" s="3" t="s">
        <v>36</v>
      </c>
      <c r="Q3351" s="3"/>
      <c r="R3351" s="4">
        <v>45996</v>
      </c>
      <c r="S3351" s="3" t="s">
        <v>37</v>
      </c>
      <c r="T3351" s="3" t="s">
        <v>38</v>
      </c>
      <c r="U3351" s="3" t="s">
        <v>39</v>
      </c>
      <c r="V3351" s="3">
        <v>64.38</v>
      </c>
      <c r="W3351" s="3">
        <v>27.36</v>
      </c>
      <c r="X3351" s="3">
        <v>25.91</v>
      </c>
      <c r="Y3351" s="3">
        <v>11.11</v>
      </c>
    </row>
    <row r="3352" spans="1:25" ht="48.75" x14ac:dyDescent="0.25">
      <c r="A3352" s="3" t="s">
        <v>26</v>
      </c>
      <c r="B3352" s="3" t="s">
        <v>27</v>
      </c>
      <c r="C3352" s="3" t="s">
        <v>28</v>
      </c>
      <c r="D3352" s="3" t="s">
        <v>29</v>
      </c>
      <c r="E3352" s="3" t="s">
        <v>47</v>
      </c>
      <c r="F3352" s="3" t="s">
        <v>31</v>
      </c>
      <c r="G3352" s="3" t="s">
        <v>47</v>
      </c>
      <c r="H3352" s="3" t="s">
        <v>48</v>
      </c>
      <c r="I3352" s="3">
        <v>2025</v>
      </c>
      <c r="J3352" s="3" t="str">
        <f>CONCATENATE("54820010657")</f>
        <v>54820010657</v>
      </c>
      <c r="K3352" s="3" t="s">
        <v>33</v>
      </c>
      <c r="L3352" s="3"/>
      <c r="M3352" s="3" t="s">
        <v>131</v>
      </c>
      <c r="N3352" s="3" t="str">
        <f>CONCATENATE("SLVPLA58S43I461P")</f>
        <v>SLVPLA58S43I461P</v>
      </c>
      <c r="O3352" s="3" t="s">
        <v>3473</v>
      </c>
      <c r="P3352" s="3" t="s">
        <v>36</v>
      </c>
      <c r="Q3352" s="3"/>
      <c r="R3352" s="4">
        <v>45996</v>
      </c>
      <c r="S3352" s="3" t="s">
        <v>37</v>
      </c>
      <c r="T3352" s="3" t="s">
        <v>38</v>
      </c>
      <c r="U3352" s="3" t="s">
        <v>39</v>
      </c>
      <c r="V3352" s="3">
        <v>70.62</v>
      </c>
      <c r="W3352" s="3">
        <v>30.01</v>
      </c>
      <c r="X3352" s="3">
        <v>28.42</v>
      </c>
      <c r="Y3352" s="3">
        <v>12.19</v>
      </c>
    </row>
    <row r="3353" spans="1:25" ht="60.75" x14ac:dyDescent="0.25">
      <c r="A3353" s="3" t="s">
        <v>26</v>
      </c>
      <c r="B3353" s="3" t="s">
        <v>27</v>
      </c>
      <c r="C3353" s="3" t="s">
        <v>28</v>
      </c>
      <c r="D3353" s="3" t="s">
        <v>40</v>
      </c>
      <c r="E3353" s="3" t="s">
        <v>287</v>
      </c>
      <c r="F3353" s="3" t="s">
        <v>42</v>
      </c>
      <c r="G3353" s="3" t="s">
        <v>287</v>
      </c>
      <c r="H3353" s="3" t="s">
        <v>32</v>
      </c>
      <c r="I3353" s="3">
        <v>2025</v>
      </c>
      <c r="J3353" s="3" t="str">
        <f>CONCATENATE("54820023734")</f>
        <v>54820023734</v>
      </c>
      <c r="K3353" s="3" t="s">
        <v>33</v>
      </c>
      <c r="L3353" s="3"/>
      <c r="M3353" s="3" t="s">
        <v>131</v>
      </c>
      <c r="N3353" s="3" t="str">
        <f>CONCATENATE("SSNGPP64L12M078M")</f>
        <v>SSNGPP64L12M078M</v>
      </c>
      <c r="O3353" s="3" t="s">
        <v>3474</v>
      </c>
      <c r="P3353" s="3" t="s">
        <v>36</v>
      </c>
      <c r="Q3353" s="3"/>
      <c r="R3353" s="4">
        <v>45996</v>
      </c>
      <c r="S3353" s="3" t="s">
        <v>37</v>
      </c>
      <c r="T3353" s="3" t="s">
        <v>38</v>
      </c>
      <c r="U3353" s="3" t="s">
        <v>39</v>
      </c>
      <c r="V3353" s="3">
        <v>343.46</v>
      </c>
      <c r="W3353" s="3">
        <v>145.97</v>
      </c>
      <c r="X3353" s="3">
        <v>138.24</v>
      </c>
      <c r="Y3353" s="3">
        <v>59.25</v>
      </c>
    </row>
    <row r="3354" spans="1:25" ht="60.75" x14ac:dyDescent="0.25">
      <c r="A3354" s="3" t="s">
        <v>26</v>
      </c>
      <c r="B3354" s="3" t="s">
        <v>27</v>
      </c>
      <c r="C3354" s="3" t="s">
        <v>28</v>
      </c>
      <c r="D3354" s="3" t="s">
        <v>29</v>
      </c>
      <c r="E3354" s="3" t="s">
        <v>136</v>
      </c>
      <c r="F3354" s="3" t="s">
        <v>31</v>
      </c>
      <c r="G3354" s="3" t="s">
        <v>136</v>
      </c>
      <c r="H3354" s="3" t="s">
        <v>48</v>
      </c>
      <c r="I3354" s="3">
        <v>2025</v>
      </c>
      <c r="J3354" s="3" t="str">
        <f>CONCATENATE("54820014931")</f>
        <v>54820014931</v>
      </c>
      <c r="K3354" s="3" t="s">
        <v>33</v>
      </c>
      <c r="L3354" s="3"/>
      <c r="M3354" s="3" t="s">
        <v>131</v>
      </c>
      <c r="N3354" s="3" t="str">
        <f>CONCATENATE("PGLCRL49P21I461C")</f>
        <v>PGLCRL49P21I461C</v>
      </c>
      <c r="O3354" s="3" t="s">
        <v>3475</v>
      </c>
      <c r="P3354" s="3" t="s">
        <v>36</v>
      </c>
      <c r="Q3354" s="3"/>
      <c r="R3354" s="4">
        <v>45996</v>
      </c>
      <c r="S3354" s="3" t="s">
        <v>37</v>
      </c>
      <c r="T3354" s="3" t="s">
        <v>38</v>
      </c>
      <c r="U3354" s="3" t="s">
        <v>39</v>
      </c>
      <c r="V3354" s="3">
        <v>117.96</v>
      </c>
      <c r="W3354" s="3">
        <v>50.13</v>
      </c>
      <c r="X3354" s="3">
        <v>47.48</v>
      </c>
      <c r="Y3354" s="3">
        <v>20.350000000000001</v>
      </c>
    </row>
    <row r="3355" spans="1:25" ht="72.75" x14ac:dyDescent="0.25">
      <c r="A3355" s="3" t="s">
        <v>26</v>
      </c>
      <c r="B3355" s="3" t="s">
        <v>27</v>
      </c>
      <c r="C3355" s="3" t="s">
        <v>28</v>
      </c>
      <c r="D3355" s="3" t="s">
        <v>29</v>
      </c>
      <c r="E3355" s="3" t="s">
        <v>186</v>
      </c>
      <c r="F3355" s="3" t="s">
        <v>31</v>
      </c>
      <c r="G3355" s="3" t="s">
        <v>186</v>
      </c>
      <c r="H3355" s="3" t="s">
        <v>45</v>
      </c>
      <c r="I3355" s="3">
        <v>2025</v>
      </c>
      <c r="J3355" s="3" t="str">
        <f>CONCATENATE("54820024450")</f>
        <v>54820024450</v>
      </c>
      <c r="K3355" s="3" t="s">
        <v>33</v>
      </c>
      <c r="L3355" s="3"/>
      <c r="M3355" s="3" t="s">
        <v>131</v>
      </c>
      <c r="N3355" s="3" t="str">
        <f>CONCATENATE("GBRMFL38B46B816A")</f>
        <v>GBRMFL38B46B816A</v>
      </c>
      <c r="O3355" s="3" t="s">
        <v>3476</v>
      </c>
      <c r="P3355" s="3" t="s">
        <v>36</v>
      </c>
      <c r="Q3355" s="3"/>
      <c r="R3355" s="4">
        <v>45996</v>
      </c>
      <c r="S3355" s="3" t="s">
        <v>37</v>
      </c>
      <c r="T3355" s="3" t="s">
        <v>38</v>
      </c>
      <c r="U3355" s="3" t="s">
        <v>39</v>
      </c>
      <c r="V3355" s="3">
        <v>74.69</v>
      </c>
      <c r="W3355" s="3">
        <v>31.74</v>
      </c>
      <c r="X3355" s="3">
        <v>30.06</v>
      </c>
      <c r="Y3355" s="3">
        <v>12.89</v>
      </c>
    </row>
    <row r="3356" spans="1:25" ht="36.75" x14ac:dyDescent="0.25">
      <c r="A3356" s="3" t="s">
        <v>26</v>
      </c>
      <c r="B3356" s="3" t="s">
        <v>27</v>
      </c>
      <c r="C3356" s="3" t="s">
        <v>28</v>
      </c>
      <c r="D3356" s="3" t="s">
        <v>40</v>
      </c>
      <c r="E3356" s="3" t="s">
        <v>287</v>
      </c>
      <c r="F3356" s="3" t="s">
        <v>42</v>
      </c>
      <c r="G3356" s="3" t="s">
        <v>287</v>
      </c>
      <c r="H3356" s="3" t="s">
        <v>32</v>
      </c>
      <c r="I3356" s="3">
        <v>2025</v>
      </c>
      <c r="J3356" s="3" t="str">
        <f>CONCATENATE("54820015904")</f>
        <v>54820015904</v>
      </c>
      <c r="K3356" s="3" t="s">
        <v>33</v>
      </c>
      <c r="L3356" s="3"/>
      <c r="M3356" s="3" t="s">
        <v>131</v>
      </c>
      <c r="N3356" s="3" t="str">
        <f>CONCATENATE("01013470438")</f>
        <v>01013470438</v>
      </c>
      <c r="O3356" s="3" t="s">
        <v>3477</v>
      </c>
      <c r="P3356" s="3" t="s">
        <v>36</v>
      </c>
      <c r="Q3356" s="3"/>
      <c r="R3356" s="4">
        <v>45996</v>
      </c>
      <c r="S3356" s="3" t="s">
        <v>37</v>
      </c>
      <c r="T3356" s="3" t="s">
        <v>38</v>
      </c>
      <c r="U3356" s="3" t="s">
        <v>39</v>
      </c>
      <c r="V3356" s="3">
        <v>659.7</v>
      </c>
      <c r="W3356" s="3">
        <v>280.37</v>
      </c>
      <c r="X3356" s="3">
        <v>265.52999999999997</v>
      </c>
      <c r="Y3356" s="3">
        <v>113.8</v>
      </c>
    </row>
    <row r="3357" spans="1:25" ht="60.75" x14ac:dyDescent="0.25">
      <c r="A3357" s="3" t="s">
        <v>26</v>
      </c>
      <c r="B3357" s="3" t="s">
        <v>27</v>
      </c>
      <c r="C3357" s="3" t="s">
        <v>28</v>
      </c>
      <c r="D3357" s="3" t="s">
        <v>29</v>
      </c>
      <c r="E3357" s="3" t="s">
        <v>186</v>
      </c>
      <c r="F3357" s="3" t="s">
        <v>31</v>
      </c>
      <c r="G3357" s="3" t="s">
        <v>186</v>
      </c>
      <c r="H3357" s="3" t="s">
        <v>45</v>
      </c>
      <c r="I3357" s="3">
        <v>2025</v>
      </c>
      <c r="J3357" s="3" t="str">
        <f>CONCATENATE("54820024518")</f>
        <v>54820024518</v>
      </c>
      <c r="K3357" s="3" t="s">
        <v>33</v>
      </c>
      <c r="L3357" s="3"/>
      <c r="M3357" s="3" t="s">
        <v>131</v>
      </c>
      <c r="N3357" s="3" t="str">
        <f>CONCATENATE("GVNDNC38E06F467B")</f>
        <v>GVNDNC38E06F467B</v>
      </c>
      <c r="O3357" s="3" t="s">
        <v>3478</v>
      </c>
      <c r="P3357" s="3" t="s">
        <v>36</v>
      </c>
      <c r="Q3357" s="3"/>
      <c r="R3357" s="4">
        <v>45996</v>
      </c>
      <c r="S3357" s="3" t="s">
        <v>37</v>
      </c>
      <c r="T3357" s="3" t="s">
        <v>38</v>
      </c>
      <c r="U3357" s="3" t="s">
        <v>39</v>
      </c>
      <c r="V3357" s="3">
        <v>784.35</v>
      </c>
      <c r="W3357" s="3">
        <v>333.35</v>
      </c>
      <c r="X3357" s="3">
        <v>315.7</v>
      </c>
      <c r="Y3357" s="3">
        <v>135.30000000000001</v>
      </c>
    </row>
    <row r="3358" spans="1:25" ht="60.75" x14ac:dyDescent="0.25">
      <c r="A3358" s="3" t="s">
        <v>26</v>
      </c>
      <c r="B3358" s="3" t="s">
        <v>27</v>
      </c>
      <c r="C3358" s="3" t="s">
        <v>28</v>
      </c>
      <c r="D3358" s="3" t="s">
        <v>40</v>
      </c>
      <c r="E3358" s="3" t="s">
        <v>287</v>
      </c>
      <c r="F3358" s="3" t="s">
        <v>42</v>
      </c>
      <c r="G3358" s="3" t="s">
        <v>287</v>
      </c>
      <c r="H3358" s="3" t="s">
        <v>32</v>
      </c>
      <c r="I3358" s="3">
        <v>2025</v>
      </c>
      <c r="J3358" s="3" t="str">
        <f>CONCATENATE("54820016050")</f>
        <v>54820016050</v>
      </c>
      <c r="K3358" s="3" t="s">
        <v>33</v>
      </c>
      <c r="L3358" s="3"/>
      <c r="M3358" s="3" t="s">
        <v>131</v>
      </c>
      <c r="N3358" s="3" t="str">
        <f>CONCATENATE("GLILSU55A66I661B")</f>
        <v>GLILSU55A66I661B</v>
      </c>
      <c r="O3358" s="3" t="s">
        <v>3479</v>
      </c>
      <c r="P3358" s="3" t="s">
        <v>36</v>
      </c>
      <c r="Q3358" s="3"/>
      <c r="R3358" s="4">
        <v>45996</v>
      </c>
      <c r="S3358" s="3" t="s">
        <v>37</v>
      </c>
      <c r="T3358" s="3" t="s">
        <v>38</v>
      </c>
      <c r="U3358" s="3" t="s">
        <v>39</v>
      </c>
      <c r="V3358" s="3">
        <v>221.57</v>
      </c>
      <c r="W3358" s="3">
        <v>94.17</v>
      </c>
      <c r="X3358" s="3">
        <v>89.18</v>
      </c>
      <c r="Y3358" s="3">
        <v>38.22</v>
      </c>
    </row>
    <row r="3359" spans="1:25" ht="60.75" x14ac:dyDescent="0.25">
      <c r="A3359" s="3" t="s">
        <v>26</v>
      </c>
      <c r="B3359" s="3" t="s">
        <v>27</v>
      </c>
      <c r="C3359" s="3" t="s">
        <v>28</v>
      </c>
      <c r="D3359" s="3" t="s">
        <v>40</v>
      </c>
      <c r="E3359" s="3" t="s">
        <v>287</v>
      </c>
      <c r="F3359" s="3" t="s">
        <v>42</v>
      </c>
      <c r="G3359" s="3" t="s">
        <v>287</v>
      </c>
      <c r="H3359" s="3" t="s">
        <v>32</v>
      </c>
      <c r="I3359" s="3">
        <v>2025</v>
      </c>
      <c r="J3359" s="3" t="str">
        <f>CONCATENATE("54820027974")</f>
        <v>54820027974</v>
      </c>
      <c r="K3359" s="3" t="s">
        <v>33</v>
      </c>
      <c r="L3359" s="3"/>
      <c r="M3359" s="3" t="s">
        <v>131</v>
      </c>
      <c r="N3359" s="3" t="str">
        <f>CONCATENATE("SCRMRA30B56C203F")</f>
        <v>SCRMRA30B56C203F</v>
      </c>
      <c r="O3359" s="3" t="s">
        <v>3480</v>
      </c>
      <c r="P3359" s="3" t="s">
        <v>36</v>
      </c>
      <c r="Q3359" s="3"/>
      <c r="R3359" s="4">
        <v>45996</v>
      </c>
      <c r="S3359" s="3" t="s">
        <v>37</v>
      </c>
      <c r="T3359" s="3" t="s">
        <v>38</v>
      </c>
      <c r="U3359" s="3" t="s">
        <v>39</v>
      </c>
      <c r="V3359" s="5">
        <v>1248.18</v>
      </c>
      <c r="W3359" s="3">
        <v>530.48</v>
      </c>
      <c r="X3359" s="3">
        <v>502.39</v>
      </c>
      <c r="Y3359" s="3">
        <v>215.31</v>
      </c>
    </row>
    <row r="3360" spans="1:25" ht="60.75" x14ac:dyDescent="0.25">
      <c r="A3360" s="3" t="s">
        <v>26</v>
      </c>
      <c r="B3360" s="3" t="s">
        <v>27</v>
      </c>
      <c r="C3360" s="3" t="s">
        <v>28</v>
      </c>
      <c r="D3360" s="3" t="s">
        <v>29</v>
      </c>
      <c r="E3360" s="3" t="s">
        <v>186</v>
      </c>
      <c r="F3360" s="3" t="s">
        <v>31</v>
      </c>
      <c r="G3360" s="3" t="s">
        <v>186</v>
      </c>
      <c r="H3360" s="3" t="s">
        <v>45</v>
      </c>
      <c r="I3360" s="3">
        <v>2025</v>
      </c>
      <c r="J3360" s="3" t="str">
        <f>CONCATENATE("54820029392")</f>
        <v>54820029392</v>
      </c>
      <c r="K3360" s="3" t="s">
        <v>33</v>
      </c>
      <c r="L3360" s="3"/>
      <c r="M3360" s="3" t="s">
        <v>131</v>
      </c>
      <c r="N3360" s="3" t="str">
        <f>CONCATENATE("GRNDNL88T61I459U")</f>
        <v>GRNDNL88T61I459U</v>
      </c>
      <c r="O3360" s="3" t="s">
        <v>3481</v>
      </c>
      <c r="P3360" s="3" t="s">
        <v>36</v>
      </c>
      <c r="Q3360" s="3"/>
      <c r="R3360" s="4">
        <v>45996</v>
      </c>
      <c r="S3360" s="3" t="s">
        <v>37</v>
      </c>
      <c r="T3360" s="3" t="s">
        <v>38</v>
      </c>
      <c r="U3360" s="3" t="s">
        <v>39</v>
      </c>
      <c r="V3360" s="3">
        <v>726.56</v>
      </c>
      <c r="W3360" s="3">
        <v>308.79000000000002</v>
      </c>
      <c r="X3360" s="3">
        <v>292.44</v>
      </c>
      <c r="Y3360" s="3">
        <v>125.33</v>
      </c>
    </row>
    <row r="3361" spans="1:25" ht="36.75" x14ac:dyDescent="0.25">
      <c r="A3361" s="3" t="s">
        <v>26</v>
      </c>
      <c r="B3361" s="3" t="s">
        <v>27</v>
      </c>
      <c r="C3361" s="3" t="s">
        <v>28</v>
      </c>
      <c r="D3361" s="3" t="s">
        <v>29</v>
      </c>
      <c r="E3361" s="3" t="s">
        <v>47</v>
      </c>
      <c r="F3361" s="3" t="s">
        <v>31</v>
      </c>
      <c r="G3361" s="3" t="s">
        <v>47</v>
      </c>
      <c r="H3361" s="3" t="s">
        <v>48</v>
      </c>
      <c r="I3361" s="3">
        <v>2025</v>
      </c>
      <c r="J3361" s="3" t="str">
        <f>CONCATENATE("54820029921")</f>
        <v>54820029921</v>
      </c>
      <c r="K3361" s="3" t="s">
        <v>33</v>
      </c>
      <c r="L3361" s="3"/>
      <c r="M3361" s="3" t="s">
        <v>131</v>
      </c>
      <c r="N3361" s="3" t="str">
        <f>CONCATENATE("03000570428")</f>
        <v>03000570428</v>
      </c>
      <c r="O3361" s="3" t="s">
        <v>3482</v>
      </c>
      <c r="P3361" s="3" t="s">
        <v>36</v>
      </c>
      <c r="Q3361" s="3"/>
      <c r="R3361" s="4">
        <v>45996</v>
      </c>
      <c r="S3361" s="3" t="s">
        <v>37</v>
      </c>
      <c r="T3361" s="3" t="s">
        <v>38</v>
      </c>
      <c r="U3361" s="3" t="s">
        <v>39</v>
      </c>
      <c r="V3361" s="3">
        <v>144.34</v>
      </c>
      <c r="W3361" s="3">
        <v>61.34</v>
      </c>
      <c r="X3361" s="3">
        <v>58.1</v>
      </c>
      <c r="Y3361" s="3">
        <v>24.9</v>
      </c>
    </row>
    <row r="3362" spans="1:25" ht="60.75" x14ac:dyDescent="0.25">
      <c r="A3362" s="3" t="s">
        <v>26</v>
      </c>
      <c r="B3362" s="3" t="s">
        <v>27</v>
      </c>
      <c r="C3362" s="3" t="s">
        <v>28</v>
      </c>
      <c r="D3362" s="3" t="s">
        <v>29</v>
      </c>
      <c r="E3362" s="3" t="s">
        <v>72</v>
      </c>
      <c r="F3362" s="3" t="s">
        <v>31</v>
      </c>
      <c r="G3362" s="3" t="s">
        <v>72</v>
      </c>
      <c r="H3362" s="3" t="s">
        <v>45</v>
      </c>
      <c r="I3362" s="3">
        <v>2025</v>
      </c>
      <c r="J3362" s="3" t="str">
        <f>CONCATENATE("54820030176")</f>
        <v>54820030176</v>
      </c>
      <c r="K3362" s="3" t="s">
        <v>33</v>
      </c>
      <c r="L3362" s="3"/>
      <c r="M3362" s="3" t="s">
        <v>131</v>
      </c>
      <c r="N3362" s="3" t="str">
        <f>CONCATENATE("FSCDNC52E07A327Y")</f>
        <v>FSCDNC52E07A327Y</v>
      </c>
      <c r="O3362" s="3" t="s">
        <v>3483</v>
      </c>
      <c r="P3362" s="3" t="s">
        <v>36</v>
      </c>
      <c r="Q3362" s="3"/>
      <c r="R3362" s="4">
        <v>45996</v>
      </c>
      <c r="S3362" s="3" t="s">
        <v>37</v>
      </c>
      <c r="T3362" s="3" t="s">
        <v>38</v>
      </c>
      <c r="U3362" s="3" t="s">
        <v>39</v>
      </c>
      <c r="V3362" s="3">
        <v>129.54</v>
      </c>
      <c r="W3362" s="3">
        <v>55.05</v>
      </c>
      <c r="X3362" s="3">
        <v>52.14</v>
      </c>
      <c r="Y3362" s="3">
        <v>22.35</v>
      </c>
    </row>
    <row r="3363" spans="1:25" ht="60.75" x14ac:dyDescent="0.25">
      <c r="A3363" s="3" t="s">
        <v>26</v>
      </c>
      <c r="B3363" s="3" t="s">
        <v>27</v>
      </c>
      <c r="C3363" s="3" t="s">
        <v>28</v>
      </c>
      <c r="D3363" s="3" t="s">
        <v>50</v>
      </c>
      <c r="E3363" s="3" t="s">
        <v>173</v>
      </c>
      <c r="F3363" s="3" t="s">
        <v>52</v>
      </c>
      <c r="G3363" s="3" t="s">
        <v>173</v>
      </c>
      <c r="H3363" s="3" t="s">
        <v>45</v>
      </c>
      <c r="I3363" s="3">
        <v>2025</v>
      </c>
      <c r="J3363" s="3" t="str">
        <f>CONCATENATE("54820023023")</f>
        <v>54820023023</v>
      </c>
      <c r="K3363" s="3" t="s">
        <v>33</v>
      </c>
      <c r="L3363" s="3"/>
      <c r="M3363" s="3" t="s">
        <v>131</v>
      </c>
      <c r="N3363" s="3" t="str">
        <f>CONCATENATE("GNTGPP32H02E785J")</f>
        <v>GNTGPP32H02E785J</v>
      </c>
      <c r="O3363" s="3" t="s">
        <v>3484</v>
      </c>
      <c r="P3363" s="3" t="s">
        <v>36</v>
      </c>
      <c r="Q3363" s="3"/>
      <c r="R3363" s="4">
        <v>45996</v>
      </c>
      <c r="S3363" s="3" t="s">
        <v>37</v>
      </c>
      <c r="T3363" s="3" t="s">
        <v>38</v>
      </c>
      <c r="U3363" s="3" t="s">
        <v>39</v>
      </c>
      <c r="V3363" s="3">
        <v>73.19</v>
      </c>
      <c r="W3363" s="3">
        <v>31.11</v>
      </c>
      <c r="X3363" s="3">
        <v>29.46</v>
      </c>
      <c r="Y3363" s="3">
        <v>12.62</v>
      </c>
    </row>
    <row r="3364" spans="1:25" ht="60.75" x14ac:dyDescent="0.25">
      <c r="A3364" s="3" t="s">
        <v>26</v>
      </c>
      <c r="B3364" s="3" t="s">
        <v>27</v>
      </c>
      <c r="C3364" s="3" t="s">
        <v>28</v>
      </c>
      <c r="D3364" s="3" t="s">
        <v>29</v>
      </c>
      <c r="E3364" s="3" t="s">
        <v>228</v>
      </c>
      <c r="F3364" s="3" t="s">
        <v>31</v>
      </c>
      <c r="G3364" s="3" t="s">
        <v>228</v>
      </c>
      <c r="H3364" s="3" t="s">
        <v>45</v>
      </c>
      <c r="I3364" s="3">
        <v>2025</v>
      </c>
      <c r="J3364" s="3" t="str">
        <f>CONCATENATE("54820062526")</f>
        <v>54820062526</v>
      </c>
      <c r="K3364" s="3" t="s">
        <v>33</v>
      </c>
      <c r="L3364" s="3"/>
      <c r="M3364" s="3" t="s">
        <v>131</v>
      </c>
      <c r="N3364" s="3" t="str">
        <f>CONCATENATE("BRTLDN48C07D749Q")</f>
        <v>BRTLDN48C07D749Q</v>
      </c>
      <c r="O3364" s="3" t="s">
        <v>3485</v>
      </c>
      <c r="P3364" s="3" t="s">
        <v>36</v>
      </c>
      <c r="Q3364" s="3"/>
      <c r="R3364" s="4">
        <v>45996</v>
      </c>
      <c r="S3364" s="3" t="s">
        <v>37</v>
      </c>
      <c r="T3364" s="3" t="s">
        <v>38</v>
      </c>
      <c r="U3364" s="3" t="s">
        <v>39</v>
      </c>
      <c r="V3364" s="3">
        <v>144.07</v>
      </c>
      <c r="W3364" s="3">
        <v>61.23</v>
      </c>
      <c r="X3364" s="3">
        <v>57.99</v>
      </c>
      <c r="Y3364" s="3">
        <v>24.85</v>
      </c>
    </row>
    <row r="3365" spans="1:25" ht="60.75" x14ac:dyDescent="0.25">
      <c r="A3365" s="3" t="s">
        <v>26</v>
      </c>
      <c r="B3365" s="3" t="s">
        <v>27</v>
      </c>
      <c r="C3365" s="3" t="s">
        <v>28</v>
      </c>
      <c r="D3365" s="3" t="s">
        <v>104</v>
      </c>
      <c r="E3365" s="3" t="s">
        <v>141</v>
      </c>
      <c r="F3365" s="3" t="s">
        <v>104</v>
      </c>
      <c r="G3365" s="3" t="s">
        <v>141</v>
      </c>
      <c r="H3365" s="3" t="s">
        <v>96</v>
      </c>
      <c r="I3365" s="3">
        <v>2025</v>
      </c>
      <c r="J3365" s="3" t="str">
        <f>CONCATENATE("54820144787")</f>
        <v>54820144787</v>
      </c>
      <c r="K3365" s="3" t="s">
        <v>33</v>
      </c>
      <c r="L3365" s="3"/>
      <c r="M3365" s="3" t="s">
        <v>131</v>
      </c>
      <c r="N3365" s="3" t="str">
        <f>CONCATENATE("PRTFNC66P05A462O")</f>
        <v>PRTFNC66P05A462O</v>
      </c>
      <c r="O3365" s="3" t="s">
        <v>3486</v>
      </c>
      <c r="P3365" s="3" t="s">
        <v>36</v>
      </c>
      <c r="Q3365" s="3"/>
      <c r="R3365" s="4">
        <v>45996</v>
      </c>
      <c r="S3365" s="3" t="s">
        <v>37</v>
      </c>
      <c r="T3365" s="3" t="s">
        <v>38</v>
      </c>
      <c r="U3365" s="3" t="s">
        <v>39</v>
      </c>
      <c r="V3365" s="3">
        <v>97.72</v>
      </c>
      <c r="W3365" s="3">
        <v>41.53</v>
      </c>
      <c r="X3365" s="3">
        <v>39.33</v>
      </c>
      <c r="Y3365" s="3">
        <v>16.86</v>
      </c>
    </row>
    <row r="3366" spans="1:25" ht="60.75" x14ac:dyDescent="0.25">
      <c r="A3366" s="3" t="s">
        <v>26</v>
      </c>
      <c r="B3366" s="3" t="s">
        <v>27</v>
      </c>
      <c r="C3366" s="3" t="s">
        <v>28</v>
      </c>
      <c r="D3366" s="3" t="s">
        <v>29</v>
      </c>
      <c r="E3366" s="3" t="s">
        <v>56</v>
      </c>
      <c r="F3366" s="3" t="s">
        <v>31</v>
      </c>
      <c r="G3366" s="3" t="s">
        <v>56</v>
      </c>
      <c r="H3366" s="3" t="s">
        <v>32</v>
      </c>
      <c r="I3366" s="3">
        <v>2025</v>
      </c>
      <c r="J3366" s="3" t="str">
        <f>CONCATENATE("54820123575")</f>
        <v>54820123575</v>
      </c>
      <c r="K3366" s="3" t="s">
        <v>33</v>
      </c>
      <c r="L3366" s="3"/>
      <c r="M3366" s="3" t="s">
        <v>131</v>
      </c>
      <c r="N3366" s="3" t="str">
        <f>CONCATENATE("SVAMRS55R57D429Z")</f>
        <v>SVAMRS55R57D429Z</v>
      </c>
      <c r="O3366" s="3" t="s">
        <v>3487</v>
      </c>
      <c r="P3366" s="3" t="s">
        <v>36</v>
      </c>
      <c r="Q3366" s="3"/>
      <c r="R3366" s="4">
        <v>45996</v>
      </c>
      <c r="S3366" s="3" t="s">
        <v>37</v>
      </c>
      <c r="T3366" s="3" t="s">
        <v>38</v>
      </c>
      <c r="U3366" s="3" t="s">
        <v>39</v>
      </c>
      <c r="V3366" s="3">
        <v>113.12</v>
      </c>
      <c r="W3366" s="3">
        <v>48.08</v>
      </c>
      <c r="X3366" s="3">
        <v>45.53</v>
      </c>
      <c r="Y3366" s="3">
        <v>19.510000000000002</v>
      </c>
    </row>
    <row r="3367" spans="1:25" ht="60.75" x14ac:dyDescent="0.25">
      <c r="A3367" s="3" t="s">
        <v>26</v>
      </c>
      <c r="B3367" s="3" t="s">
        <v>27</v>
      </c>
      <c r="C3367" s="3" t="s">
        <v>28</v>
      </c>
      <c r="D3367" s="3" t="s">
        <v>50</v>
      </c>
      <c r="E3367" s="3" t="s">
        <v>173</v>
      </c>
      <c r="F3367" s="3" t="s">
        <v>52</v>
      </c>
      <c r="G3367" s="3" t="s">
        <v>173</v>
      </c>
      <c r="H3367" s="3" t="s">
        <v>45</v>
      </c>
      <c r="I3367" s="3">
        <v>2025</v>
      </c>
      <c r="J3367" s="3" t="str">
        <f>CONCATENATE("54820198734")</f>
        <v>54820198734</v>
      </c>
      <c r="K3367" s="3" t="s">
        <v>33</v>
      </c>
      <c r="L3367" s="3"/>
      <c r="M3367" s="3" t="s">
        <v>131</v>
      </c>
      <c r="N3367" s="3" t="str">
        <f>CONCATENATE("FDDMNL83H04L500J")</f>
        <v>FDDMNL83H04L500J</v>
      </c>
      <c r="O3367" s="3" t="s">
        <v>3488</v>
      </c>
      <c r="P3367" s="3" t="s">
        <v>36</v>
      </c>
      <c r="Q3367" s="3"/>
      <c r="R3367" s="4">
        <v>45996</v>
      </c>
      <c r="S3367" s="3" t="s">
        <v>37</v>
      </c>
      <c r="T3367" s="3" t="s">
        <v>38</v>
      </c>
      <c r="U3367" s="3" t="s">
        <v>39</v>
      </c>
      <c r="V3367" s="5">
        <v>1114.93</v>
      </c>
      <c r="W3367" s="3">
        <v>473.85</v>
      </c>
      <c r="X3367" s="3">
        <v>448.76</v>
      </c>
      <c r="Y3367" s="3">
        <v>192.32</v>
      </c>
    </row>
    <row r="3368" spans="1:25" ht="36.75" x14ac:dyDescent="0.25">
      <c r="A3368" s="3" t="s">
        <v>26</v>
      </c>
      <c r="B3368" s="3" t="s">
        <v>27</v>
      </c>
      <c r="C3368" s="3" t="s">
        <v>28</v>
      </c>
      <c r="D3368" s="3" t="s">
        <v>29</v>
      </c>
      <c r="E3368" s="3" t="s">
        <v>476</v>
      </c>
      <c r="F3368" s="3" t="s">
        <v>31</v>
      </c>
      <c r="G3368" s="3" t="s">
        <v>476</v>
      </c>
      <c r="H3368" s="3" t="s">
        <v>48</v>
      </c>
      <c r="I3368" s="3">
        <v>2025</v>
      </c>
      <c r="J3368" s="3" t="str">
        <f>CONCATENATE("54820142971")</f>
        <v>54820142971</v>
      </c>
      <c r="K3368" s="3" t="s">
        <v>33</v>
      </c>
      <c r="L3368" s="3"/>
      <c r="M3368" s="3" t="s">
        <v>131</v>
      </c>
      <c r="N3368" s="3" t="str">
        <f>CONCATENATE("02781570425")</f>
        <v>02781570425</v>
      </c>
      <c r="O3368" s="3" t="s">
        <v>3489</v>
      </c>
      <c r="P3368" s="3" t="s">
        <v>36</v>
      </c>
      <c r="Q3368" s="3"/>
      <c r="R3368" s="4">
        <v>45996</v>
      </c>
      <c r="S3368" s="3" t="s">
        <v>37</v>
      </c>
      <c r="T3368" s="3" t="s">
        <v>38</v>
      </c>
      <c r="U3368" s="3" t="s">
        <v>39</v>
      </c>
      <c r="V3368" s="3">
        <v>147.30000000000001</v>
      </c>
      <c r="W3368" s="3">
        <v>62.6</v>
      </c>
      <c r="X3368" s="3">
        <v>59.29</v>
      </c>
      <c r="Y3368" s="3">
        <v>25.41</v>
      </c>
    </row>
    <row r="3369" spans="1:25" ht="60.75" x14ac:dyDescent="0.25">
      <c r="A3369" s="3" t="s">
        <v>26</v>
      </c>
      <c r="B3369" s="3" t="s">
        <v>27</v>
      </c>
      <c r="C3369" s="3" t="s">
        <v>28</v>
      </c>
      <c r="D3369" s="3" t="s">
        <v>29</v>
      </c>
      <c r="E3369" s="3" t="s">
        <v>47</v>
      </c>
      <c r="F3369" s="3" t="s">
        <v>31</v>
      </c>
      <c r="G3369" s="3" t="s">
        <v>47</v>
      </c>
      <c r="H3369" s="3" t="s">
        <v>48</v>
      </c>
      <c r="I3369" s="3">
        <v>2025</v>
      </c>
      <c r="J3369" s="3" t="str">
        <f>CONCATENATE("54820146618")</f>
        <v>54820146618</v>
      </c>
      <c r="K3369" s="3" t="s">
        <v>33</v>
      </c>
      <c r="L3369" s="3"/>
      <c r="M3369" s="3" t="s">
        <v>131</v>
      </c>
      <c r="N3369" s="3" t="str">
        <f>CONCATENATE("TTNGPP54C01D451M")</f>
        <v>TTNGPP54C01D451M</v>
      </c>
      <c r="O3369" s="3" t="s">
        <v>3490</v>
      </c>
      <c r="P3369" s="3" t="s">
        <v>36</v>
      </c>
      <c r="Q3369" s="3"/>
      <c r="R3369" s="4">
        <v>45996</v>
      </c>
      <c r="S3369" s="3" t="s">
        <v>37</v>
      </c>
      <c r="T3369" s="3" t="s">
        <v>38</v>
      </c>
      <c r="U3369" s="3" t="s">
        <v>39</v>
      </c>
      <c r="V3369" s="3">
        <v>53.27</v>
      </c>
      <c r="W3369" s="3">
        <v>22.64</v>
      </c>
      <c r="X3369" s="3">
        <v>21.44</v>
      </c>
      <c r="Y3369" s="3">
        <v>9.19</v>
      </c>
    </row>
    <row r="3370" spans="1:25" ht="72.75" x14ac:dyDescent="0.25">
      <c r="A3370" s="3" t="s">
        <v>26</v>
      </c>
      <c r="B3370" s="3" t="s">
        <v>27</v>
      </c>
      <c r="C3370" s="3" t="s">
        <v>28</v>
      </c>
      <c r="D3370" s="3" t="s">
        <v>50</v>
      </c>
      <c r="E3370" s="3" t="s">
        <v>173</v>
      </c>
      <c r="F3370" s="3" t="s">
        <v>52</v>
      </c>
      <c r="G3370" s="3" t="s">
        <v>173</v>
      </c>
      <c r="H3370" s="3" t="s">
        <v>45</v>
      </c>
      <c r="I3370" s="3">
        <v>2025</v>
      </c>
      <c r="J3370" s="3" t="str">
        <f>CONCATENATE("54820042304")</f>
        <v>54820042304</v>
      </c>
      <c r="K3370" s="3" t="s">
        <v>33</v>
      </c>
      <c r="L3370" s="3"/>
      <c r="M3370" s="3" t="s">
        <v>131</v>
      </c>
      <c r="N3370" s="3" t="str">
        <f>CONCATENATE("PRCSNT45R31B816N")</f>
        <v>PRCSNT45R31B816N</v>
      </c>
      <c r="O3370" s="3" t="s">
        <v>3491</v>
      </c>
      <c r="P3370" s="3" t="s">
        <v>36</v>
      </c>
      <c r="Q3370" s="3"/>
      <c r="R3370" s="4">
        <v>45996</v>
      </c>
      <c r="S3370" s="3" t="s">
        <v>37</v>
      </c>
      <c r="T3370" s="3" t="s">
        <v>38</v>
      </c>
      <c r="U3370" s="3" t="s">
        <v>39</v>
      </c>
      <c r="V3370" s="3">
        <v>205.47</v>
      </c>
      <c r="W3370" s="3">
        <v>87.32</v>
      </c>
      <c r="X3370" s="3">
        <v>82.7</v>
      </c>
      <c r="Y3370" s="3">
        <v>35.450000000000003</v>
      </c>
    </row>
    <row r="3371" spans="1:25" ht="60.75" x14ac:dyDescent="0.25">
      <c r="A3371" s="3" t="s">
        <v>26</v>
      </c>
      <c r="B3371" s="3" t="s">
        <v>27</v>
      </c>
      <c r="C3371" s="3" t="s">
        <v>28</v>
      </c>
      <c r="D3371" s="3" t="s">
        <v>50</v>
      </c>
      <c r="E3371" s="3" t="s">
        <v>60</v>
      </c>
      <c r="F3371" s="3" t="s">
        <v>52</v>
      </c>
      <c r="G3371" s="3" t="s">
        <v>60</v>
      </c>
      <c r="H3371" s="3" t="s">
        <v>45</v>
      </c>
      <c r="I3371" s="3">
        <v>2025</v>
      </c>
      <c r="J3371" s="3" t="str">
        <f>CONCATENATE("54820094115")</f>
        <v>54820094115</v>
      </c>
      <c r="K3371" s="3" t="s">
        <v>33</v>
      </c>
      <c r="L3371" s="3"/>
      <c r="M3371" s="3" t="s">
        <v>131</v>
      </c>
      <c r="N3371" s="3" t="str">
        <f>CONCATENATE("GDUCNM64S70C496M")</f>
        <v>GDUCNM64S70C496M</v>
      </c>
      <c r="O3371" s="3" t="s">
        <v>3492</v>
      </c>
      <c r="P3371" s="3" t="s">
        <v>36</v>
      </c>
      <c r="Q3371" s="3"/>
      <c r="R3371" s="4">
        <v>45996</v>
      </c>
      <c r="S3371" s="3" t="s">
        <v>37</v>
      </c>
      <c r="T3371" s="3" t="s">
        <v>38</v>
      </c>
      <c r="U3371" s="3" t="s">
        <v>39</v>
      </c>
      <c r="V3371" s="3">
        <v>203.72</v>
      </c>
      <c r="W3371" s="3">
        <v>86.58</v>
      </c>
      <c r="X3371" s="3">
        <v>82</v>
      </c>
      <c r="Y3371" s="3">
        <v>35.14</v>
      </c>
    </row>
    <row r="3372" spans="1:25" ht="36.75" x14ac:dyDescent="0.25">
      <c r="A3372" s="3" t="s">
        <v>26</v>
      </c>
      <c r="B3372" s="3" t="s">
        <v>27</v>
      </c>
      <c r="C3372" s="3" t="s">
        <v>28</v>
      </c>
      <c r="D3372" s="3" t="s">
        <v>91</v>
      </c>
      <c r="E3372" s="3" t="s">
        <v>95</v>
      </c>
      <c r="F3372" s="3" t="s">
        <v>93</v>
      </c>
      <c r="G3372" s="3" t="s">
        <v>95</v>
      </c>
      <c r="H3372" s="3" t="s">
        <v>96</v>
      </c>
      <c r="I3372" s="3">
        <v>2025</v>
      </c>
      <c r="J3372" s="3" t="str">
        <f>CONCATENATE("54820174925")</f>
        <v>54820174925</v>
      </c>
      <c r="K3372" s="3" t="s">
        <v>33</v>
      </c>
      <c r="L3372" s="3"/>
      <c r="M3372" s="3" t="s">
        <v>131</v>
      </c>
      <c r="N3372" s="3" t="str">
        <f>CONCATENATE("01408240420")</f>
        <v>01408240420</v>
      </c>
      <c r="O3372" s="3" t="s">
        <v>3493</v>
      </c>
      <c r="P3372" s="3" t="s">
        <v>36</v>
      </c>
      <c r="Q3372" s="3"/>
      <c r="R3372" s="4">
        <v>45996</v>
      </c>
      <c r="S3372" s="3" t="s">
        <v>37</v>
      </c>
      <c r="T3372" s="3" t="s">
        <v>38</v>
      </c>
      <c r="U3372" s="3" t="s">
        <v>39</v>
      </c>
      <c r="V3372" s="3">
        <v>187.23</v>
      </c>
      <c r="W3372" s="3">
        <v>79.569999999999993</v>
      </c>
      <c r="X3372" s="3">
        <v>75.36</v>
      </c>
      <c r="Y3372" s="3">
        <v>32.299999999999997</v>
      </c>
    </row>
    <row r="3373" spans="1:25" ht="60.75" x14ac:dyDescent="0.25">
      <c r="A3373" s="3" t="s">
        <v>26</v>
      </c>
      <c r="B3373" s="3" t="s">
        <v>27</v>
      </c>
      <c r="C3373" s="3" t="s">
        <v>28</v>
      </c>
      <c r="D3373" s="3" t="s">
        <v>29</v>
      </c>
      <c r="E3373" s="3" t="s">
        <v>136</v>
      </c>
      <c r="F3373" s="3" t="s">
        <v>31</v>
      </c>
      <c r="G3373" s="3" t="s">
        <v>136</v>
      </c>
      <c r="H3373" s="3" t="s">
        <v>48</v>
      </c>
      <c r="I3373" s="3">
        <v>2025</v>
      </c>
      <c r="J3373" s="3" t="str">
        <f>CONCATENATE("54820175203")</f>
        <v>54820175203</v>
      </c>
      <c r="K3373" s="3" t="s">
        <v>33</v>
      </c>
      <c r="L3373" s="3"/>
      <c r="M3373" s="3" t="s">
        <v>131</v>
      </c>
      <c r="N3373" s="3" t="str">
        <f>CONCATENATE("RSSCLV51P11I461C")</f>
        <v>RSSCLV51P11I461C</v>
      </c>
      <c r="O3373" s="3" t="s">
        <v>3494</v>
      </c>
      <c r="P3373" s="3" t="s">
        <v>36</v>
      </c>
      <c r="Q3373" s="3"/>
      <c r="R3373" s="4">
        <v>45996</v>
      </c>
      <c r="S3373" s="3" t="s">
        <v>37</v>
      </c>
      <c r="T3373" s="3" t="s">
        <v>38</v>
      </c>
      <c r="U3373" s="3" t="s">
        <v>39</v>
      </c>
      <c r="V3373" s="3">
        <v>54.88</v>
      </c>
      <c r="W3373" s="3">
        <v>23.32</v>
      </c>
      <c r="X3373" s="3">
        <v>22.09</v>
      </c>
      <c r="Y3373" s="3">
        <v>9.4700000000000006</v>
      </c>
    </row>
    <row r="3374" spans="1:25" ht="60.75" x14ac:dyDescent="0.25">
      <c r="A3374" s="3" t="s">
        <v>26</v>
      </c>
      <c r="B3374" s="3" t="s">
        <v>27</v>
      </c>
      <c r="C3374" s="3" t="s">
        <v>28</v>
      </c>
      <c r="D3374" s="3" t="s">
        <v>29</v>
      </c>
      <c r="E3374" s="3" t="s">
        <v>68</v>
      </c>
      <c r="F3374" s="3" t="s">
        <v>31</v>
      </c>
      <c r="G3374" s="3" t="s">
        <v>68</v>
      </c>
      <c r="H3374" s="3" t="s">
        <v>32</v>
      </c>
      <c r="I3374" s="3">
        <v>2025</v>
      </c>
      <c r="J3374" s="3" t="str">
        <f>CONCATENATE("54820187554")</f>
        <v>54820187554</v>
      </c>
      <c r="K3374" s="3" t="s">
        <v>33</v>
      </c>
      <c r="L3374" s="3"/>
      <c r="M3374" s="3" t="s">
        <v>131</v>
      </c>
      <c r="N3374" s="3" t="str">
        <f>CONCATENATE("RTLRTI46R65I436R")</f>
        <v>RTLRTI46R65I436R</v>
      </c>
      <c r="O3374" s="3" t="s">
        <v>3495</v>
      </c>
      <c r="P3374" s="3" t="s">
        <v>36</v>
      </c>
      <c r="Q3374" s="3"/>
      <c r="R3374" s="4">
        <v>45996</v>
      </c>
      <c r="S3374" s="3" t="s">
        <v>37</v>
      </c>
      <c r="T3374" s="3" t="s">
        <v>38</v>
      </c>
      <c r="U3374" s="3" t="s">
        <v>39</v>
      </c>
      <c r="V3374" s="3">
        <v>123.13</v>
      </c>
      <c r="W3374" s="3">
        <v>52.33</v>
      </c>
      <c r="X3374" s="3">
        <v>49.56</v>
      </c>
      <c r="Y3374" s="3">
        <v>21.24</v>
      </c>
    </row>
    <row r="3375" spans="1:25" ht="36.75" x14ac:dyDescent="0.25">
      <c r="A3375" s="3" t="s">
        <v>26</v>
      </c>
      <c r="B3375" s="3" t="s">
        <v>27</v>
      </c>
      <c r="C3375" s="3" t="s">
        <v>28</v>
      </c>
      <c r="D3375" s="3" t="s">
        <v>29</v>
      </c>
      <c r="E3375" s="3" t="s">
        <v>56</v>
      </c>
      <c r="F3375" s="3" t="s">
        <v>31</v>
      </c>
      <c r="G3375" s="3" t="s">
        <v>56</v>
      </c>
      <c r="H3375" s="3" t="s">
        <v>32</v>
      </c>
      <c r="I3375" s="3">
        <v>2025</v>
      </c>
      <c r="J3375" s="3" t="str">
        <f>CONCATENATE("54820130133")</f>
        <v>54820130133</v>
      </c>
      <c r="K3375" s="3" t="s">
        <v>33</v>
      </c>
      <c r="L3375" s="3"/>
      <c r="M3375" s="3" t="s">
        <v>131</v>
      </c>
      <c r="N3375" s="3" t="str">
        <f>CONCATENATE("02005160433")</f>
        <v>02005160433</v>
      </c>
      <c r="O3375" s="3" t="s">
        <v>3496</v>
      </c>
      <c r="P3375" s="3" t="s">
        <v>36</v>
      </c>
      <c r="Q3375" s="3"/>
      <c r="R3375" s="4">
        <v>45996</v>
      </c>
      <c r="S3375" s="3" t="s">
        <v>37</v>
      </c>
      <c r="T3375" s="3" t="s">
        <v>38</v>
      </c>
      <c r="U3375" s="3" t="s">
        <v>39</v>
      </c>
      <c r="V3375" s="3">
        <v>890.44</v>
      </c>
      <c r="W3375" s="3">
        <v>378.44</v>
      </c>
      <c r="X3375" s="3">
        <v>358.4</v>
      </c>
      <c r="Y3375" s="3">
        <v>153.6</v>
      </c>
    </row>
    <row r="3376" spans="1:25" ht="36.75" x14ac:dyDescent="0.25">
      <c r="A3376" s="3" t="s">
        <v>26</v>
      </c>
      <c r="B3376" s="3" t="s">
        <v>27</v>
      </c>
      <c r="C3376" s="3" t="s">
        <v>28</v>
      </c>
      <c r="D3376" s="3" t="s">
        <v>29</v>
      </c>
      <c r="E3376" s="3" t="s">
        <v>136</v>
      </c>
      <c r="F3376" s="3" t="s">
        <v>31</v>
      </c>
      <c r="G3376" s="3" t="s">
        <v>136</v>
      </c>
      <c r="H3376" s="3" t="s">
        <v>48</v>
      </c>
      <c r="I3376" s="3">
        <v>2025</v>
      </c>
      <c r="J3376" s="3" t="str">
        <f>CONCATENATE("54820219787")</f>
        <v>54820219787</v>
      </c>
      <c r="K3376" s="3" t="s">
        <v>33</v>
      </c>
      <c r="L3376" s="3"/>
      <c r="M3376" s="3" t="s">
        <v>131</v>
      </c>
      <c r="N3376" s="3" t="str">
        <f>CONCATENATE("02350940421")</f>
        <v>02350940421</v>
      </c>
      <c r="O3376" s="3" t="s">
        <v>3497</v>
      </c>
      <c r="P3376" s="3" t="s">
        <v>36</v>
      </c>
      <c r="Q3376" s="3"/>
      <c r="R3376" s="4">
        <v>45996</v>
      </c>
      <c r="S3376" s="3" t="s">
        <v>37</v>
      </c>
      <c r="T3376" s="3" t="s">
        <v>38</v>
      </c>
      <c r="U3376" s="3" t="s">
        <v>39</v>
      </c>
      <c r="V3376" s="3">
        <v>301.93</v>
      </c>
      <c r="W3376" s="3">
        <v>128.32</v>
      </c>
      <c r="X3376" s="3">
        <v>121.53</v>
      </c>
      <c r="Y3376" s="3">
        <v>52.08</v>
      </c>
    </row>
    <row r="3377" spans="1:25" ht="60.75" x14ac:dyDescent="0.25">
      <c r="A3377" s="3" t="s">
        <v>26</v>
      </c>
      <c r="B3377" s="3" t="s">
        <v>27</v>
      </c>
      <c r="C3377" s="3" t="s">
        <v>28</v>
      </c>
      <c r="D3377" s="3" t="s">
        <v>29</v>
      </c>
      <c r="E3377" s="3" t="s">
        <v>80</v>
      </c>
      <c r="F3377" s="3" t="s">
        <v>31</v>
      </c>
      <c r="G3377" s="3" t="s">
        <v>80</v>
      </c>
      <c r="H3377" s="3" t="s">
        <v>45</v>
      </c>
      <c r="I3377" s="3">
        <v>2025</v>
      </c>
      <c r="J3377" s="3" t="str">
        <f>CONCATENATE("54820106158")</f>
        <v>54820106158</v>
      </c>
      <c r="K3377" s="3" t="s">
        <v>33</v>
      </c>
      <c r="L3377" s="3"/>
      <c r="M3377" s="3" t="s">
        <v>131</v>
      </c>
      <c r="N3377" s="3" t="str">
        <f>CONCATENATE("RSTNCL86R13D488T")</f>
        <v>RSTNCL86R13D488T</v>
      </c>
      <c r="O3377" s="3" t="s">
        <v>3498</v>
      </c>
      <c r="P3377" s="3" t="s">
        <v>36</v>
      </c>
      <c r="Q3377" s="3"/>
      <c r="R3377" s="4">
        <v>45996</v>
      </c>
      <c r="S3377" s="3" t="s">
        <v>37</v>
      </c>
      <c r="T3377" s="3" t="s">
        <v>38</v>
      </c>
      <c r="U3377" s="3" t="s">
        <v>39</v>
      </c>
      <c r="V3377" s="3">
        <v>222.52</v>
      </c>
      <c r="W3377" s="3">
        <v>94.57</v>
      </c>
      <c r="X3377" s="3">
        <v>89.56</v>
      </c>
      <c r="Y3377" s="3">
        <v>38.39</v>
      </c>
    </row>
    <row r="3378" spans="1:25" ht="60.75" x14ac:dyDescent="0.25">
      <c r="A3378" s="3" t="s">
        <v>26</v>
      </c>
      <c r="B3378" s="3" t="s">
        <v>27</v>
      </c>
      <c r="C3378" s="3" t="s">
        <v>28</v>
      </c>
      <c r="D3378" s="3" t="s">
        <v>91</v>
      </c>
      <c r="E3378" s="3" t="s">
        <v>522</v>
      </c>
      <c r="F3378" s="3" t="s">
        <v>93</v>
      </c>
      <c r="G3378" s="3" t="s">
        <v>522</v>
      </c>
      <c r="H3378" s="3" t="s">
        <v>32</v>
      </c>
      <c r="I3378" s="3">
        <v>2025</v>
      </c>
      <c r="J3378" s="3" t="str">
        <f>CONCATENATE("54820134499")</f>
        <v>54820134499</v>
      </c>
      <c r="K3378" s="3" t="s">
        <v>33</v>
      </c>
      <c r="L3378" s="3"/>
      <c r="M3378" s="3" t="s">
        <v>131</v>
      </c>
      <c r="N3378" s="3" t="str">
        <f>CONCATENATE("MRLPLA47E10H501B")</f>
        <v>MRLPLA47E10H501B</v>
      </c>
      <c r="O3378" s="3" t="s">
        <v>3499</v>
      </c>
      <c r="P3378" s="3" t="s">
        <v>36</v>
      </c>
      <c r="Q3378" s="3"/>
      <c r="R3378" s="4">
        <v>45996</v>
      </c>
      <c r="S3378" s="3" t="s">
        <v>37</v>
      </c>
      <c r="T3378" s="3" t="s">
        <v>38</v>
      </c>
      <c r="U3378" s="3" t="s">
        <v>39</v>
      </c>
      <c r="V3378" s="3">
        <v>90.15</v>
      </c>
      <c r="W3378" s="3">
        <v>38.31</v>
      </c>
      <c r="X3378" s="3">
        <v>36.29</v>
      </c>
      <c r="Y3378" s="3">
        <v>15.55</v>
      </c>
    </row>
    <row r="3379" spans="1:25" ht="60.75" x14ac:dyDescent="0.25">
      <c r="A3379" s="3" t="s">
        <v>26</v>
      </c>
      <c r="B3379" s="3" t="s">
        <v>27</v>
      </c>
      <c r="C3379" s="3" t="s">
        <v>28</v>
      </c>
      <c r="D3379" s="3" t="s">
        <v>50</v>
      </c>
      <c r="E3379" s="3" t="s">
        <v>147</v>
      </c>
      <c r="F3379" s="3" t="s">
        <v>52</v>
      </c>
      <c r="G3379" s="3" t="s">
        <v>147</v>
      </c>
      <c r="H3379" s="3" t="s">
        <v>45</v>
      </c>
      <c r="I3379" s="3">
        <v>2025</v>
      </c>
      <c r="J3379" s="3" t="str">
        <f>CONCATENATE("54820181573")</f>
        <v>54820181573</v>
      </c>
      <c r="K3379" s="3" t="s">
        <v>33</v>
      </c>
      <c r="L3379" s="3"/>
      <c r="M3379" s="3" t="s">
        <v>131</v>
      </c>
      <c r="N3379" s="3" t="str">
        <f>CONCATENATE("PRGMSM65E21L500X")</f>
        <v>PRGMSM65E21L500X</v>
      </c>
      <c r="O3379" s="3" t="s">
        <v>3500</v>
      </c>
      <c r="P3379" s="3" t="s">
        <v>36</v>
      </c>
      <c r="Q3379" s="3"/>
      <c r="R3379" s="4">
        <v>45996</v>
      </c>
      <c r="S3379" s="3" t="s">
        <v>37</v>
      </c>
      <c r="T3379" s="3" t="s">
        <v>38</v>
      </c>
      <c r="U3379" s="3" t="s">
        <v>39</v>
      </c>
      <c r="V3379" s="3">
        <v>721.11</v>
      </c>
      <c r="W3379" s="3">
        <v>306.47000000000003</v>
      </c>
      <c r="X3379" s="3">
        <v>290.25</v>
      </c>
      <c r="Y3379" s="3">
        <v>124.39</v>
      </c>
    </row>
    <row r="3380" spans="1:25" ht="60.75" x14ac:dyDescent="0.25">
      <c r="A3380" s="3" t="s">
        <v>26</v>
      </c>
      <c r="B3380" s="3" t="s">
        <v>27</v>
      </c>
      <c r="C3380" s="3" t="s">
        <v>28</v>
      </c>
      <c r="D3380" s="3" t="s">
        <v>29</v>
      </c>
      <c r="E3380" s="3" t="s">
        <v>182</v>
      </c>
      <c r="F3380" s="3" t="s">
        <v>31</v>
      </c>
      <c r="G3380" s="3" t="s">
        <v>182</v>
      </c>
      <c r="H3380" s="3" t="s">
        <v>45</v>
      </c>
      <c r="I3380" s="3">
        <v>2025</v>
      </c>
      <c r="J3380" s="3" t="str">
        <f>CONCATENATE("54820105648")</f>
        <v>54820105648</v>
      </c>
      <c r="K3380" s="3" t="s">
        <v>33</v>
      </c>
      <c r="L3380" s="3"/>
      <c r="M3380" s="3" t="s">
        <v>131</v>
      </c>
      <c r="N3380" s="3" t="str">
        <f>CONCATENATE("CLNGST46B49L500I")</f>
        <v>CLNGST46B49L500I</v>
      </c>
      <c r="O3380" s="3" t="s">
        <v>3501</v>
      </c>
      <c r="P3380" s="3" t="s">
        <v>36</v>
      </c>
      <c r="Q3380" s="3"/>
      <c r="R3380" s="4">
        <v>45996</v>
      </c>
      <c r="S3380" s="3" t="s">
        <v>37</v>
      </c>
      <c r="T3380" s="3" t="s">
        <v>38</v>
      </c>
      <c r="U3380" s="3" t="s">
        <v>39</v>
      </c>
      <c r="V3380" s="3">
        <v>121.33</v>
      </c>
      <c r="W3380" s="3">
        <v>51.57</v>
      </c>
      <c r="X3380" s="3">
        <v>48.84</v>
      </c>
      <c r="Y3380" s="3">
        <v>20.92</v>
      </c>
    </row>
    <row r="3381" spans="1:25" ht="72.75" x14ac:dyDescent="0.25">
      <c r="A3381" s="3" t="s">
        <v>26</v>
      </c>
      <c r="B3381" s="3" t="s">
        <v>27</v>
      </c>
      <c r="C3381" s="3" t="s">
        <v>28</v>
      </c>
      <c r="D3381" s="3" t="s">
        <v>29</v>
      </c>
      <c r="E3381" s="3" t="s">
        <v>72</v>
      </c>
      <c r="F3381" s="3" t="s">
        <v>31</v>
      </c>
      <c r="G3381" s="3" t="s">
        <v>72</v>
      </c>
      <c r="H3381" s="3" t="s">
        <v>45</v>
      </c>
      <c r="I3381" s="3">
        <v>2025</v>
      </c>
      <c r="J3381" s="3" t="str">
        <f>CONCATENATE("54820134366")</f>
        <v>54820134366</v>
      </c>
      <c r="K3381" s="3" t="s">
        <v>33</v>
      </c>
      <c r="L3381" s="3"/>
      <c r="M3381" s="3" t="s">
        <v>131</v>
      </c>
      <c r="N3381" s="3" t="str">
        <f>CONCATENATE("TCCNTN28M01A327O")</f>
        <v>TCCNTN28M01A327O</v>
      </c>
      <c r="O3381" s="3" t="s">
        <v>3502</v>
      </c>
      <c r="P3381" s="3" t="s">
        <v>36</v>
      </c>
      <c r="Q3381" s="3"/>
      <c r="R3381" s="4">
        <v>45996</v>
      </c>
      <c r="S3381" s="3" t="s">
        <v>37</v>
      </c>
      <c r="T3381" s="3" t="s">
        <v>38</v>
      </c>
      <c r="U3381" s="3" t="s">
        <v>39</v>
      </c>
      <c r="V3381" s="3">
        <v>156.38999999999999</v>
      </c>
      <c r="W3381" s="3">
        <v>66.47</v>
      </c>
      <c r="X3381" s="3">
        <v>62.95</v>
      </c>
      <c r="Y3381" s="3">
        <v>26.97</v>
      </c>
    </row>
    <row r="3382" spans="1:25" ht="60.75" x14ac:dyDescent="0.25">
      <c r="A3382" s="3" t="s">
        <v>26</v>
      </c>
      <c r="B3382" s="3" t="s">
        <v>27</v>
      </c>
      <c r="C3382" s="3" t="s">
        <v>28</v>
      </c>
      <c r="D3382" s="3" t="s">
        <v>29</v>
      </c>
      <c r="E3382" s="3" t="s">
        <v>56</v>
      </c>
      <c r="F3382" s="3" t="s">
        <v>31</v>
      </c>
      <c r="G3382" s="3" t="s">
        <v>56</v>
      </c>
      <c r="H3382" s="3" t="s">
        <v>32</v>
      </c>
      <c r="I3382" s="3">
        <v>2025</v>
      </c>
      <c r="J3382" s="3" t="str">
        <f>CONCATENATE("54820190897")</f>
        <v>54820190897</v>
      </c>
      <c r="K3382" s="3" t="s">
        <v>33</v>
      </c>
      <c r="L3382" s="3"/>
      <c r="M3382" s="3" t="s">
        <v>131</v>
      </c>
      <c r="N3382" s="3" t="str">
        <f>CONCATENATE("CCNCLD71H17E783V")</f>
        <v>CCNCLD71H17E783V</v>
      </c>
      <c r="O3382" s="3" t="s">
        <v>3503</v>
      </c>
      <c r="P3382" s="3" t="s">
        <v>36</v>
      </c>
      <c r="Q3382" s="3"/>
      <c r="R3382" s="4">
        <v>45996</v>
      </c>
      <c r="S3382" s="3" t="s">
        <v>37</v>
      </c>
      <c r="T3382" s="3" t="s">
        <v>38</v>
      </c>
      <c r="U3382" s="3" t="s">
        <v>39</v>
      </c>
      <c r="V3382" s="3">
        <v>177.21</v>
      </c>
      <c r="W3382" s="3">
        <v>75.31</v>
      </c>
      <c r="X3382" s="3">
        <v>71.33</v>
      </c>
      <c r="Y3382" s="3">
        <v>30.57</v>
      </c>
    </row>
    <row r="3383" spans="1:25" ht="72.75" x14ac:dyDescent="0.25">
      <c r="A3383" s="3" t="s">
        <v>26</v>
      </c>
      <c r="B3383" s="3" t="s">
        <v>27</v>
      </c>
      <c r="C3383" s="3" t="s">
        <v>28</v>
      </c>
      <c r="D3383" s="3" t="s">
        <v>29</v>
      </c>
      <c r="E3383" s="3" t="s">
        <v>68</v>
      </c>
      <c r="F3383" s="3" t="s">
        <v>31</v>
      </c>
      <c r="G3383" s="3" t="s">
        <v>68</v>
      </c>
      <c r="H3383" s="3" t="s">
        <v>32</v>
      </c>
      <c r="I3383" s="3">
        <v>2025</v>
      </c>
      <c r="J3383" s="3" t="str">
        <f>CONCATENATE("54820239850")</f>
        <v>54820239850</v>
      </c>
      <c r="K3383" s="3" t="s">
        <v>33</v>
      </c>
      <c r="L3383" s="3"/>
      <c r="M3383" s="3" t="s">
        <v>131</v>
      </c>
      <c r="N3383" s="3" t="str">
        <f>CONCATENATE("GNTRMN51T29I436U")</f>
        <v>GNTRMN51T29I436U</v>
      </c>
      <c r="O3383" s="3" t="s">
        <v>3504</v>
      </c>
      <c r="P3383" s="3" t="s">
        <v>36</v>
      </c>
      <c r="Q3383" s="3"/>
      <c r="R3383" s="4">
        <v>45996</v>
      </c>
      <c r="S3383" s="3" t="s">
        <v>37</v>
      </c>
      <c r="T3383" s="3" t="s">
        <v>38</v>
      </c>
      <c r="U3383" s="3" t="s">
        <v>39</v>
      </c>
      <c r="V3383" s="5">
        <v>1061.0899999999999</v>
      </c>
      <c r="W3383" s="3">
        <v>450.96</v>
      </c>
      <c r="X3383" s="3">
        <v>427.09</v>
      </c>
      <c r="Y3383" s="3">
        <v>183.04</v>
      </c>
    </row>
    <row r="3384" spans="1:25" ht="60.75" x14ac:dyDescent="0.25">
      <c r="A3384" s="3" t="s">
        <v>26</v>
      </c>
      <c r="B3384" s="3" t="s">
        <v>27</v>
      </c>
      <c r="C3384" s="3" t="s">
        <v>28</v>
      </c>
      <c r="D3384" s="3" t="s">
        <v>50</v>
      </c>
      <c r="E3384" s="3" t="s">
        <v>147</v>
      </c>
      <c r="F3384" s="3" t="s">
        <v>52</v>
      </c>
      <c r="G3384" s="3" t="s">
        <v>147</v>
      </c>
      <c r="H3384" s="3" t="s">
        <v>45</v>
      </c>
      <c r="I3384" s="3">
        <v>2025</v>
      </c>
      <c r="J3384" s="3" t="str">
        <f>CONCATENATE("54820181177")</f>
        <v>54820181177</v>
      </c>
      <c r="K3384" s="3" t="s">
        <v>33</v>
      </c>
      <c r="L3384" s="3"/>
      <c r="M3384" s="3" t="s">
        <v>131</v>
      </c>
      <c r="N3384" s="3" t="str">
        <f>CONCATENATE("SNTBRM60E13L500N")</f>
        <v>SNTBRM60E13L500N</v>
      </c>
      <c r="O3384" s="3" t="s">
        <v>3505</v>
      </c>
      <c r="P3384" s="3" t="s">
        <v>36</v>
      </c>
      <c r="Q3384" s="3"/>
      <c r="R3384" s="4">
        <v>45996</v>
      </c>
      <c r="S3384" s="3" t="s">
        <v>37</v>
      </c>
      <c r="T3384" s="3" t="s">
        <v>38</v>
      </c>
      <c r="U3384" s="3" t="s">
        <v>39</v>
      </c>
      <c r="V3384" s="3">
        <v>202.6</v>
      </c>
      <c r="W3384" s="3">
        <v>86.11</v>
      </c>
      <c r="X3384" s="3">
        <v>81.55</v>
      </c>
      <c r="Y3384" s="3">
        <v>34.94</v>
      </c>
    </row>
    <row r="3385" spans="1:25" ht="60.75" x14ac:dyDescent="0.25">
      <c r="A3385" s="3" t="s">
        <v>26</v>
      </c>
      <c r="B3385" s="3" t="s">
        <v>27</v>
      </c>
      <c r="C3385" s="3" t="s">
        <v>28</v>
      </c>
      <c r="D3385" s="3" t="s">
        <v>312</v>
      </c>
      <c r="E3385" s="3" t="s">
        <v>313</v>
      </c>
      <c r="F3385" s="3" t="s">
        <v>314</v>
      </c>
      <c r="G3385" s="3" t="s">
        <v>313</v>
      </c>
      <c r="H3385" s="3" t="s">
        <v>96</v>
      </c>
      <c r="I3385" s="3">
        <v>2025</v>
      </c>
      <c r="J3385" s="3" t="str">
        <f>CONCATENATE("54820216163")</f>
        <v>54820216163</v>
      </c>
      <c r="K3385" s="3" t="s">
        <v>33</v>
      </c>
      <c r="L3385" s="3"/>
      <c r="M3385" s="3" t="s">
        <v>131</v>
      </c>
      <c r="N3385" s="3" t="str">
        <f>CONCATENATE("NNSGRL47A01F870P")</f>
        <v>NNSGRL47A01F870P</v>
      </c>
      <c r="O3385" s="3" t="s">
        <v>3506</v>
      </c>
      <c r="P3385" s="3" t="s">
        <v>36</v>
      </c>
      <c r="Q3385" s="3"/>
      <c r="R3385" s="4">
        <v>45996</v>
      </c>
      <c r="S3385" s="3" t="s">
        <v>37</v>
      </c>
      <c r="T3385" s="3" t="s">
        <v>38</v>
      </c>
      <c r="U3385" s="3" t="s">
        <v>39</v>
      </c>
      <c r="V3385" s="3">
        <v>992.14</v>
      </c>
      <c r="W3385" s="3">
        <v>421.66</v>
      </c>
      <c r="X3385" s="3">
        <v>399.34</v>
      </c>
      <c r="Y3385" s="3">
        <v>171.14</v>
      </c>
    </row>
    <row r="3386" spans="1:25" ht="60.75" x14ac:dyDescent="0.25">
      <c r="A3386" s="3" t="s">
        <v>26</v>
      </c>
      <c r="B3386" s="3" t="s">
        <v>27</v>
      </c>
      <c r="C3386" s="3" t="s">
        <v>28</v>
      </c>
      <c r="D3386" s="3" t="s">
        <v>29</v>
      </c>
      <c r="E3386" s="3" t="s">
        <v>80</v>
      </c>
      <c r="F3386" s="3" t="s">
        <v>31</v>
      </c>
      <c r="G3386" s="3" t="s">
        <v>80</v>
      </c>
      <c r="H3386" s="3" t="s">
        <v>45</v>
      </c>
      <c r="I3386" s="3">
        <v>2025</v>
      </c>
      <c r="J3386" s="3" t="str">
        <f>CONCATENATE("54820195086")</f>
        <v>54820195086</v>
      </c>
      <c r="K3386" s="3" t="s">
        <v>33</v>
      </c>
      <c r="L3386" s="3"/>
      <c r="M3386" s="3" t="s">
        <v>131</v>
      </c>
      <c r="N3386" s="3" t="str">
        <f>CONCATENATE("BRTSVN84C26D488A")</f>
        <v>BRTSVN84C26D488A</v>
      </c>
      <c r="O3386" s="3" t="s">
        <v>3507</v>
      </c>
      <c r="P3386" s="3" t="s">
        <v>36</v>
      </c>
      <c r="Q3386" s="3"/>
      <c r="R3386" s="4">
        <v>45996</v>
      </c>
      <c r="S3386" s="3" t="s">
        <v>37</v>
      </c>
      <c r="T3386" s="3" t="s">
        <v>38</v>
      </c>
      <c r="U3386" s="3" t="s">
        <v>39</v>
      </c>
      <c r="V3386" s="3">
        <v>129.55000000000001</v>
      </c>
      <c r="W3386" s="3">
        <v>55.06</v>
      </c>
      <c r="X3386" s="3">
        <v>52.14</v>
      </c>
      <c r="Y3386" s="3">
        <v>22.35</v>
      </c>
    </row>
    <row r="3387" spans="1:25" ht="60.75" x14ac:dyDescent="0.25">
      <c r="A3387" s="3" t="s">
        <v>26</v>
      </c>
      <c r="B3387" s="3" t="s">
        <v>27</v>
      </c>
      <c r="C3387" s="3" t="s">
        <v>28</v>
      </c>
      <c r="D3387" s="3" t="s">
        <v>29</v>
      </c>
      <c r="E3387" s="3" t="s">
        <v>136</v>
      </c>
      <c r="F3387" s="3" t="s">
        <v>31</v>
      </c>
      <c r="G3387" s="3" t="s">
        <v>136</v>
      </c>
      <c r="H3387" s="3" t="s">
        <v>48</v>
      </c>
      <c r="I3387" s="3">
        <v>2025</v>
      </c>
      <c r="J3387" s="3" t="str">
        <f>CONCATENATE("54820232301")</f>
        <v>54820232301</v>
      </c>
      <c r="K3387" s="3" t="s">
        <v>33</v>
      </c>
      <c r="L3387" s="3"/>
      <c r="M3387" s="3" t="s">
        <v>131</v>
      </c>
      <c r="N3387" s="3" t="str">
        <f>CONCATENATE("ZPPGPP44H23I461X")</f>
        <v>ZPPGPP44H23I461X</v>
      </c>
      <c r="O3387" s="3" t="s">
        <v>3508</v>
      </c>
      <c r="P3387" s="3" t="s">
        <v>36</v>
      </c>
      <c r="Q3387" s="3"/>
      <c r="R3387" s="4">
        <v>45996</v>
      </c>
      <c r="S3387" s="3" t="s">
        <v>37</v>
      </c>
      <c r="T3387" s="3" t="s">
        <v>38</v>
      </c>
      <c r="U3387" s="3" t="s">
        <v>39</v>
      </c>
      <c r="V3387" s="3">
        <v>123.96</v>
      </c>
      <c r="W3387" s="3">
        <v>52.68</v>
      </c>
      <c r="X3387" s="3">
        <v>49.89</v>
      </c>
      <c r="Y3387" s="3">
        <v>21.39</v>
      </c>
    </row>
    <row r="3388" spans="1:25" ht="60.75" x14ac:dyDescent="0.25">
      <c r="A3388" s="3" t="s">
        <v>26</v>
      </c>
      <c r="B3388" s="3" t="s">
        <v>27</v>
      </c>
      <c r="C3388" s="3" t="s">
        <v>28</v>
      </c>
      <c r="D3388" s="3" t="s">
        <v>91</v>
      </c>
      <c r="E3388" s="3" t="s">
        <v>151</v>
      </c>
      <c r="F3388" s="3" t="s">
        <v>93</v>
      </c>
      <c r="G3388" s="3" t="s">
        <v>151</v>
      </c>
      <c r="H3388" s="3" t="s">
        <v>45</v>
      </c>
      <c r="I3388" s="3">
        <v>2025</v>
      </c>
      <c r="J3388" s="3" t="str">
        <f>CONCATENATE("54820200951")</f>
        <v>54820200951</v>
      </c>
      <c r="K3388" s="3" t="s">
        <v>33</v>
      </c>
      <c r="L3388" s="3"/>
      <c r="M3388" s="3" t="s">
        <v>131</v>
      </c>
      <c r="N3388" s="3" t="str">
        <f>CONCATENATE("RSSPRZ50R48H886X")</f>
        <v>RSSPRZ50R48H886X</v>
      </c>
      <c r="O3388" s="3" t="s">
        <v>3509</v>
      </c>
      <c r="P3388" s="3" t="s">
        <v>36</v>
      </c>
      <c r="Q3388" s="3"/>
      <c r="R3388" s="4">
        <v>45996</v>
      </c>
      <c r="S3388" s="3" t="s">
        <v>37</v>
      </c>
      <c r="T3388" s="3" t="s">
        <v>38</v>
      </c>
      <c r="U3388" s="3" t="s">
        <v>39</v>
      </c>
      <c r="V3388" s="3">
        <v>171.1</v>
      </c>
      <c r="W3388" s="3">
        <v>72.72</v>
      </c>
      <c r="X3388" s="3">
        <v>68.87</v>
      </c>
      <c r="Y3388" s="3">
        <v>29.51</v>
      </c>
    </row>
    <row r="3389" spans="1:25" ht="60.75" x14ac:dyDescent="0.25">
      <c r="A3389" s="3" t="s">
        <v>26</v>
      </c>
      <c r="B3389" s="3" t="s">
        <v>27</v>
      </c>
      <c r="C3389" s="3" t="s">
        <v>28</v>
      </c>
      <c r="D3389" s="3" t="s">
        <v>104</v>
      </c>
      <c r="E3389" s="3" t="s">
        <v>141</v>
      </c>
      <c r="F3389" s="3" t="s">
        <v>104</v>
      </c>
      <c r="G3389" s="3" t="s">
        <v>141</v>
      </c>
      <c r="H3389" s="3" t="s">
        <v>96</v>
      </c>
      <c r="I3389" s="3">
        <v>2025</v>
      </c>
      <c r="J3389" s="3" t="str">
        <f>CONCATENATE("54820277207")</f>
        <v>54820277207</v>
      </c>
      <c r="K3389" s="3" t="s">
        <v>33</v>
      </c>
      <c r="L3389" s="3"/>
      <c r="M3389" s="3" t="s">
        <v>131</v>
      </c>
      <c r="N3389" s="3" t="str">
        <f>CONCATENATE("SNTNTN35S54F622O")</f>
        <v>SNTNTN35S54F622O</v>
      </c>
      <c r="O3389" s="3" t="s">
        <v>3510</v>
      </c>
      <c r="P3389" s="3" t="s">
        <v>36</v>
      </c>
      <c r="Q3389" s="3"/>
      <c r="R3389" s="4">
        <v>45996</v>
      </c>
      <c r="S3389" s="3" t="s">
        <v>37</v>
      </c>
      <c r="T3389" s="3" t="s">
        <v>38</v>
      </c>
      <c r="U3389" s="3" t="s">
        <v>39</v>
      </c>
      <c r="V3389" s="3">
        <v>167.81</v>
      </c>
      <c r="W3389" s="3">
        <v>71.319999999999993</v>
      </c>
      <c r="X3389" s="3">
        <v>67.540000000000006</v>
      </c>
      <c r="Y3389" s="3">
        <v>28.95</v>
      </c>
    </row>
    <row r="3390" spans="1:25" ht="60.75" x14ac:dyDescent="0.25">
      <c r="A3390" s="3" t="s">
        <v>26</v>
      </c>
      <c r="B3390" s="3" t="s">
        <v>27</v>
      </c>
      <c r="C3390" s="3" t="s">
        <v>28</v>
      </c>
      <c r="D3390" s="3" t="s">
        <v>91</v>
      </c>
      <c r="E3390" s="3" t="s">
        <v>151</v>
      </c>
      <c r="F3390" s="3" t="s">
        <v>93</v>
      </c>
      <c r="G3390" s="3" t="s">
        <v>151</v>
      </c>
      <c r="H3390" s="3" t="s">
        <v>45</v>
      </c>
      <c r="I3390" s="3">
        <v>2025</v>
      </c>
      <c r="J3390" s="3" t="str">
        <f>CONCATENATE("54820205919")</f>
        <v>54820205919</v>
      </c>
      <c r="K3390" s="3" t="s">
        <v>33</v>
      </c>
      <c r="L3390" s="3"/>
      <c r="M3390" s="3" t="s">
        <v>131</v>
      </c>
      <c r="N3390" s="3" t="str">
        <f>CONCATENATE("FRTCRL68D42G453B")</f>
        <v>FRTCRL68D42G453B</v>
      </c>
      <c r="O3390" s="3" t="s">
        <v>3511</v>
      </c>
      <c r="P3390" s="3" t="s">
        <v>36</v>
      </c>
      <c r="Q3390" s="3"/>
      <c r="R3390" s="4">
        <v>45996</v>
      </c>
      <c r="S3390" s="3" t="s">
        <v>37</v>
      </c>
      <c r="T3390" s="3" t="s">
        <v>38</v>
      </c>
      <c r="U3390" s="3" t="s">
        <v>39</v>
      </c>
      <c r="V3390" s="3">
        <v>110.31</v>
      </c>
      <c r="W3390" s="3">
        <v>46.88</v>
      </c>
      <c r="X3390" s="3">
        <v>44.4</v>
      </c>
      <c r="Y3390" s="3">
        <v>19.03</v>
      </c>
    </row>
    <row r="3391" spans="1:25" ht="60.75" x14ac:dyDescent="0.25">
      <c r="A3391" s="3" t="s">
        <v>26</v>
      </c>
      <c r="B3391" s="3" t="s">
        <v>27</v>
      </c>
      <c r="C3391" s="3" t="s">
        <v>28</v>
      </c>
      <c r="D3391" s="3" t="s">
        <v>29</v>
      </c>
      <c r="E3391" s="3" t="s">
        <v>47</v>
      </c>
      <c r="F3391" s="3" t="s">
        <v>31</v>
      </c>
      <c r="G3391" s="3" t="s">
        <v>47</v>
      </c>
      <c r="H3391" s="3" t="s">
        <v>48</v>
      </c>
      <c r="I3391" s="3">
        <v>2025</v>
      </c>
      <c r="J3391" s="3" t="str">
        <f>CONCATENATE("54820197371")</f>
        <v>54820197371</v>
      </c>
      <c r="K3391" s="3" t="s">
        <v>33</v>
      </c>
      <c r="L3391" s="3"/>
      <c r="M3391" s="3" t="s">
        <v>131</v>
      </c>
      <c r="N3391" s="3" t="str">
        <f>CONCATENATE("GBRRND45S21D451F")</f>
        <v>GBRRND45S21D451F</v>
      </c>
      <c r="O3391" s="3" t="s">
        <v>3512</v>
      </c>
      <c r="P3391" s="3" t="s">
        <v>36</v>
      </c>
      <c r="Q3391" s="3"/>
      <c r="R3391" s="4">
        <v>45996</v>
      </c>
      <c r="S3391" s="3" t="s">
        <v>37</v>
      </c>
      <c r="T3391" s="3" t="s">
        <v>38</v>
      </c>
      <c r="U3391" s="3" t="s">
        <v>39</v>
      </c>
      <c r="V3391" s="3">
        <v>197.34</v>
      </c>
      <c r="W3391" s="3">
        <v>83.87</v>
      </c>
      <c r="X3391" s="3">
        <v>79.430000000000007</v>
      </c>
      <c r="Y3391" s="3">
        <v>34.04</v>
      </c>
    </row>
    <row r="3392" spans="1:25" ht="60.75" x14ac:dyDescent="0.25">
      <c r="A3392" s="3" t="s">
        <v>26</v>
      </c>
      <c r="B3392" s="3" t="s">
        <v>27</v>
      </c>
      <c r="C3392" s="3" t="s">
        <v>28</v>
      </c>
      <c r="D3392" s="3" t="s">
        <v>29</v>
      </c>
      <c r="E3392" s="3" t="s">
        <v>182</v>
      </c>
      <c r="F3392" s="3" t="s">
        <v>31</v>
      </c>
      <c r="G3392" s="3" t="s">
        <v>182</v>
      </c>
      <c r="H3392" s="3" t="s">
        <v>45</v>
      </c>
      <c r="I3392" s="3">
        <v>2025</v>
      </c>
      <c r="J3392" s="3" t="str">
        <f>CONCATENATE("54820169701")</f>
        <v>54820169701</v>
      </c>
      <c r="K3392" s="3" t="s">
        <v>33</v>
      </c>
      <c r="L3392" s="3"/>
      <c r="M3392" s="3" t="s">
        <v>131</v>
      </c>
      <c r="N3392" s="3" t="str">
        <f>CONCATENATE("SVRSVN57D24G514T")</f>
        <v>SVRSVN57D24G514T</v>
      </c>
      <c r="O3392" s="3" t="s">
        <v>3513</v>
      </c>
      <c r="P3392" s="3" t="s">
        <v>36</v>
      </c>
      <c r="Q3392" s="3"/>
      <c r="R3392" s="4">
        <v>45996</v>
      </c>
      <c r="S3392" s="3" t="s">
        <v>37</v>
      </c>
      <c r="T3392" s="3" t="s">
        <v>38</v>
      </c>
      <c r="U3392" s="3" t="s">
        <v>39</v>
      </c>
      <c r="V3392" s="3">
        <v>391.78</v>
      </c>
      <c r="W3392" s="3">
        <v>166.51</v>
      </c>
      <c r="X3392" s="3">
        <v>157.69</v>
      </c>
      <c r="Y3392" s="3">
        <v>67.58</v>
      </c>
    </row>
    <row r="3393" spans="1:25" ht="36.75" x14ac:dyDescent="0.25">
      <c r="A3393" s="3" t="s">
        <v>26</v>
      </c>
      <c r="B3393" s="3" t="s">
        <v>27</v>
      </c>
      <c r="C3393" s="3" t="s">
        <v>28</v>
      </c>
      <c r="D3393" s="3" t="s">
        <v>50</v>
      </c>
      <c r="E3393" s="3" t="s">
        <v>60</v>
      </c>
      <c r="F3393" s="3" t="s">
        <v>52</v>
      </c>
      <c r="G3393" s="3" t="s">
        <v>60</v>
      </c>
      <c r="H3393" s="3" t="s">
        <v>45</v>
      </c>
      <c r="I3393" s="3">
        <v>2025</v>
      </c>
      <c r="J3393" s="3" t="str">
        <f>CONCATENATE("54820209523")</f>
        <v>54820209523</v>
      </c>
      <c r="K3393" s="3" t="s">
        <v>33</v>
      </c>
      <c r="L3393" s="3"/>
      <c r="M3393" s="3" t="s">
        <v>131</v>
      </c>
      <c r="N3393" s="3" t="str">
        <f>CONCATENATE("02809080415")</f>
        <v>02809080415</v>
      </c>
      <c r="O3393" s="3" t="s">
        <v>3514</v>
      </c>
      <c r="P3393" s="3" t="s">
        <v>36</v>
      </c>
      <c r="Q3393" s="3"/>
      <c r="R3393" s="4">
        <v>45996</v>
      </c>
      <c r="S3393" s="3" t="s">
        <v>37</v>
      </c>
      <c r="T3393" s="3" t="s">
        <v>38</v>
      </c>
      <c r="U3393" s="3" t="s">
        <v>39</v>
      </c>
      <c r="V3393" s="3">
        <v>136.27000000000001</v>
      </c>
      <c r="W3393" s="3">
        <v>57.91</v>
      </c>
      <c r="X3393" s="3">
        <v>54.85</v>
      </c>
      <c r="Y3393" s="3">
        <v>23.51</v>
      </c>
    </row>
    <row r="3394" spans="1:25" ht="72.75" x14ac:dyDescent="0.25">
      <c r="A3394" s="3" t="s">
        <v>26</v>
      </c>
      <c r="B3394" s="3" t="s">
        <v>27</v>
      </c>
      <c r="C3394" s="3" t="s">
        <v>28</v>
      </c>
      <c r="D3394" s="3" t="s">
        <v>50</v>
      </c>
      <c r="E3394" s="3" t="s">
        <v>147</v>
      </c>
      <c r="F3394" s="3" t="s">
        <v>52</v>
      </c>
      <c r="G3394" s="3" t="s">
        <v>147</v>
      </c>
      <c r="H3394" s="3" t="s">
        <v>45</v>
      </c>
      <c r="I3394" s="3">
        <v>2025</v>
      </c>
      <c r="J3394" s="3" t="str">
        <f>CONCATENATE("54820197579")</f>
        <v>54820197579</v>
      </c>
      <c r="K3394" s="3" t="s">
        <v>33</v>
      </c>
      <c r="L3394" s="3"/>
      <c r="M3394" s="3" t="s">
        <v>131</v>
      </c>
      <c r="N3394" s="3" t="str">
        <f>CONCATENATE("SPDGRL65B22D749B")</f>
        <v>SPDGRL65B22D749B</v>
      </c>
      <c r="O3394" s="3" t="s">
        <v>3515</v>
      </c>
      <c r="P3394" s="3" t="s">
        <v>36</v>
      </c>
      <c r="Q3394" s="3"/>
      <c r="R3394" s="4">
        <v>45996</v>
      </c>
      <c r="S3394" s="3" t="s">
        <v>37</v>
      </c>
      <c r="T3394" s="3" t="s">
        <v>38</v>
      </c>
      <c r="U3394" s="3" t="s">
        <v>39</v>
      </c>
      <c r="V3394" s="3">
        <v>747.05</v>
      </c>
      <c r="W3394" s="3">
        <v>317.5</v>
      </c>
      <c r="X3394" s="3">
        <v>300.69</v>
      </c>
      <c r="Y3394" s="3">
        <v>128.86000000000001</v>
      </c>
    </row>
    <row r="3395" spans="1:25" ht="60.75" x14ac:dyDescent="0.25">
      <c r="A3395" s="3" t="s">
        <v>26</v>
      </c>
      <c r="B3395" s="3" t="s">
        <v>27</v>
      </c>
      <c r="C3395" s="3" t="s">
        <v>28</v>
      </c>
      <c r="D3395" s="3" t="s">
        <v>50</v>
      </c>
      <c r="E3395" s="3" t="s">
        <v>147</v>
      </c>
      <c r="F3395" s="3" t="s">
        <v>52</v>
      </c>
      <c r="G3395" s="3" t="s">
        <v>147</v>
      </c>
      <c r="H3395" s="3" t="s">
        <v>45</v>
      </c>
      <c r="I3395" s="3">
        <v>2025</v>
      </c>
      <c r="J3395" s="3" t="str">
        <f>CONCATENATE("54820166269")</f>
        <v>54820166269</v>
      </c>
      <c r="K3395" s="3" t="s">
        <v>33</v>
      </c>
      <c r="L3395" s="3"/>
      <c r="M3395" s="3" t="s">
        <v>131</v>
      </c>
      <c r="N3395" s="3" t="str">
        <f>CONCATENATE("PLTGPP74C23L500I")</f>
        <v>PLTGPP74C23L500I</v>
      </c>
      <c r="O3395" s="3" t="s">
        <v>3516</v>
      </c>
      <c r="P3395" s="3" t="s">
        <v>36</v>
      </c>
      <c r="Q3395" s="3"/>
      <c r="R3395" s="4">
        <v>45996</v>
      </c>
      <c r="S3395" s="3" t="s">
        <v>37</v>
      </c>
      <c r="T3395" s="3" t="s">
        <v>38</v>
      </c>
      <c r="U3395" s="3" t="s">
        <v>39</v>
      </c>
      <c r="V3395" s="3">
        <v>749.44</v>
      </c>
      <c r="W3395" s="3">
        <v>318.51</v>
      </c>
      <c r="X3395" s="3">
        <v>301.64999999999998</v>
      </c>
      <c r="Y3395" s="3">
        <v>129.28</v>
      </c>
    </row>
    <row r="3396" spans="1:25" ht="60.75" x14ac:dyDescent="0.25">
      <c r="A3396" s="3" t="s">
        <v>26</v>
      </c>
      <c r="B3396" s="3" t="s">
        <v>27</v>
      </c>
      <c r="C3396" s="3" t="s">
        <v>28</v>
      </c>
      <c r="D3396" s="3" t="s">
        <v>50</v>
      </c>
      <c r="E3396" s="3" t="s">
        <v>147</v>
      </c>
      <c r="F3396" s="3" t="s">
        <v>52</v>
      </c>
      <c r="G3396" s="3" t="s">
        <v>147</v>
      </c>
      <c r="H3396" s="3" t="s">
        <v>45</v>
      </c>
      <c r="I3396" s="3">
        <v>2025</v>
      </c>
      <c r="J3396" s="3" t="str">
        <f>CONCATENATE("54820187075")</f>
        <v>54820187075</v>
      </c>
      <c r="K3396" s="3" t="s">
        <v>33</v>
      </c>
      <c r="L3396" s="3"/>
      <c r="M3396" s="3" t="s">
        <v>131</v>
      </c>
      <c r="N3396" s="3" t="str">
        <f>CONCATENATE("RSNSDR49D05G514Z")</f>
        <v>RSNSDR49D05G514Z</v>
      </c>
      <c r="O3396" s="3" t="s">
        <v>3517</v>
      </c>
      <c r="P3396" s="3" t="s">
        <v>36</v>
      </c>
      <c r="Q3396" s="3"/>
      <c r="R3396" s="4">
        <v>45996</v>
      </c>
      <c r="S3396" s="3" t="s">
        <v>37</v>
      </c>
      <c r="T3396" s="3" t="s">
        <v>38</v>
      </c>
      <c r="U3396" s="3" t="s">
        <v>39</v>
      </c>
      <c r="V3396" s="3">
        <v>473.79</v>
      </c>
      <c r="W3396" s="3">
        <v>201.36</v>
      </c>
      <c r="X3396" s="3">
        <v>190.7</v>
      </c>
      <c r="Y3396" s="3">
        <v>81.73</v>
      </c>
    </row>
    <row r="3397" spans="1:25" ht="72.75" x14ac:dyDescent="0.25">
      <c r="A3397" s="3" t="s">
        <v>26</v>
      </c>
      <c r="B3397" s="3" t="s">
        <v>27</v>
      </c>
      <c r="C3397" s="3" t="s">
        <v>28</v>
      </c>
      <c r="D3397" s="3" t="s">
        <v>50</v>
      </c>
      <c r="E3397" s="3" t="s">
        <v>147</v>
      </c>
      <c r="F3397" s="3" t="s">
        <v>52</v>
      </c>
      <c r="G3397" s="3" t="s">
        <v>147</v>
      </c>
      <c r="H3397" s="3" t="s">
        <v>45</v>
      </c>
      <c r="I3397" s="3">
        <v>2025</v>
      </c>
      <c r="J3397" s="3" t="str">
        <f>CONCATENATE("54820204128")</f>
        <v>54820204128</v>
      </c>
      <c r="K3397" s="3" t="s">
        <v>33</v>
      </c>
      <c r="L3397" s="3"/>
      <c r="M3397" s="3" t="s">
        <v>131</v>
      </c>
      <c r="N3397" s="3" t="str">
        <f>CONCATENATE("FBBLSN60D14G514H")</f>
        <v>FBBLSN60D14G514H</v>
      </c>
      <c r="O3397" s="3" t="s">
        <v>3518</v>
      </c>
      <c r="P3397" s="3" t="s">
        <v>36</v>
      </c>
      <c r="Q3397" s="3"/>
      <c r="R3397" s="4">
        <v>45996</v>
      </c>
      <c r="S3397" s="3" t="s">
        <v>37</v>
      </c>
      <c r="T3397" s="3" t="s">
        <v>38</v>
      </c>
      <c r="U3397" s="3" t="s">
        <v>39</v>
      </c>
      <c r="V3397" s="3">
        <v>826.72</v>
      </c>
      <c r="W3397" s="3">
        <v>351.36</v>
      </c>
      <c r="X3397" s="3">
        <v>332.75</v>
      </c>
      <c r="Y3397" s="3">
        <v>142.61000000000001</v>
      </c>
    </row>
    <row r="3398" spans="1:25" ht="60.75" x14ac:dyDescent="0.25">
      <c r="A3398" s="3" t="s">
        <v>26</v>
      </c>
      <c r="B3398" s="3" t="s">
        <v>27</v>
      </c>
      <c r="C3398" s="3" t="s">
        <v>28</v>
      </c>
      <c r="D3398" s="3" t="s">
        <v>104</v>
      </c>
      <c r="E3398" s="3" t="s">
        <v>141</v>
      </c>
      <c r="F3398" s="3" t="s">
        <v>104</v>
      </c>
      <c r="G3398" s="3" t="s">
        <v>141</v>
      </c>
      <c r="H3398" s="3" t="s">
        <v>96</v>
      </c>
      <c r="I3398" s="3">
        <v>2025</v>
      </c>
      <c r="J3398" s="3" t="str">
        <f>CONCATENATE("54820277496")</f>
        <v>54820277496</v>
      </c>
      <c r="K3398" s="3" t="s">
        <v>33</v>
      </c>
      <c r="L3398" s="3"/>
      <c r="M3398" s="3" t="s">
        <v>131</v>
      </c>
      <c r="N3398" s="3" t="str">
        <f>CONCATENATE("VNTZEI63B17H390J")</f>
        <v>VNTZEI63B17H390J</v>
      </c>
      <c r="O3398" s="3" t="s">
        <v>3519</v>
      </c>
      <c r="P3398" s="3" t="s">
        <v>36</v>
      </c>
      <c r="Q3398" s="3"/>
      <c r="R3398" s="4">
        <v>45996</v>
      </c>
      <c r="S3398" s="3" t="s">
        <v>37</v>
      </c>
      <c r="T3398" s="3" t="s">
        <v>38</v>
      </c>
      <c r="U3398" s="3" t="s">
        <v>39</v>
      </c>
      <c r="V3398" s="3">
        <v>47.38</v>
      </c>
      <c r="W3398" s="3">
        <v>20.14</v>
      </c>
      <c r="X3398" s="3">
        <v>19.07</v>
      </c>
      <c r="Y3398" s="3">
        <v>8.17</v>
      </c>
    </row>
    <row r="3399" spans="1:25" ht="60.75" x14ac:dyDescent="0.25">
      <c r="A3399" s="3" t="s">
        <v>26</v>
      </c>
      <c r="B3399" s="3" t="s">
        <v>27</v>
      </c>
      <c r="C3399" s="3" t="s">
        <v>28</v>
      </c>
      <c r="D3399" s="3" t="s">
        <v>50</v>
      </c>
      <c r="E3399" s="3" t="s">
        <v>147</v>
      </c>
      <c r="F3399" s="3" t="s">
        <v>52</v>
      </c>
      <c r="G3399" s="3" t="s">
        <v>147</v>
      </c>
      <c r="H3399" s="3" t="s">
        <v>45</v>
      </c>
      <c r="I3399" s="3">
        <v>2025</v>
      </c>
      <c r="J3399" s="3" t="str">
        <f>CONCATENATE("54820186697")</f>
        <v>54820186697</v>
      </c>
      <c r="K3399" s="3" t="s">
        <v>33</v>
      </c>
      <c r="L3399" s="3"/>
      <c r="M3399" s="3" t="s">
        <v>131</v>
      </c>
      <c r="N3399" s="3" t="str">
        <f>CONCATENATE("CRNPRZ64R51L500R")</f>
        <v>CRNPRZ64R51L500R</v>
      </c>
      <c r="O3399" s="3" t="s">
        <v>3520</v>
      </c>
      <c r="P3399" s="3" t="s">
        <v>36</v>
      </c>
      <c r="Q3399" s="3"/>
      <c r="R3399" s="4">
        <v>45996</v>
      </c>
      <c r="S3399" s="3" t="s">
        <v>37</v>
      </c>
      <c r="T3399" s="3" t="s">
        <v>38</v>
      </c>
      <c r="U3399" s="3" t="s">
        <v>39</v>
      </c>
      <c r="V3399" s="3">
        <v>86.79</v>
      </c>
      <c r="W3399" s="3">
        <v>36.89</v>
      </c>
      <c r="X3399" s="3">
        <v>34.93</v>
      </c>
      <c r="Y3399" s="3">
        <v>14.97</v>
      </c>
    </row>
    <row r="3400" spans="1:25" ht="60.75" x14ac:dyDescent="0.25">
      <c r="A3400" s="3" t="s">
        <v>26</v>
      </c>
      <c r="B3400" s="3" t="s">
        <v>27</v>
      </c>
      <c r="C3400" s="3" t="s">
        <v>28</v>
      </c>
      <c r="D3400" s="3" t="s">
        <v>50</v>
      </c>
      <c r="E3400" s="3" t="s">
        <v>147</v>
      </c>
      <c r="F3400" s="3" t="s">
        <v>52</v>
      </c>
      <c r="G3400" s="3" t="s">
        <v>147</v>
      </c>
      <c r="H3400" s="3" t="s">
        <v>45</v>
      </c>
      <c r="I3400" s="3">
        <v>2025</v>
      </c>
      <c r="J3400" s="3" t="str">
        <f>CONCATENATE("54820165923")</f>
        <v>54820165923</v>
      </c>
      <c r="K3400" s="3" t="s">
        <v>33</v>
      </c>
      <c r="L3400" s="3"/>
      <c r="M3400" s="3" t="s">
        <v>131</v>
      </c>
      <c r="N3400" s="3" t="str">
        <f>CONCATENATE("MRZPRD52P28L500S")</f>
        <v>MRZPRD52P28L500S</v>
      </c>
      <c r="O3400" s="3" t="s">
        <v>3521</v>
      </c>
      <c r="P3400" s="3" t="s">
        <v>36</v>
      </c>
      <c r="Q3400" s="3"/>
      <c r="R3400" s="4">
        <v>45996</v>
      </c>
      <c r="S3400" s="3" t="s">
        <v>37</v>
      </c>
      <c r="T3400" s="3" t="s">
        <v>38</v>
      </c>
      <c r="U3400" s="3" t="s">
        <v>39</v>
      </c>
      <c r="V3400" s="3">
        <v>97.55</v>
      </c>
      <c r="W3400" s="3">
        <v>41.46</v>
      </c>
      <c r="X3400" s="3">
        <v>39.26</v>
      </c>
      <c r="Y3400" s="3">
        <v>16.829999999999998</v>
      </c>
    </row>
    <row r="3401" spans="1:25" ht="60.75" x14ac:dyDescent="0.25">
      <c r="A3401" s="3" t="s">
        <v>26</v>
      </c>
      <c r="B3401" s="3" t="s">
        <v>27</v>
      </c>
      <c r="C3401" s="3" t="s">
        <v>28</v>
      </c>
      <c r="D3401" s="3" t="s">
        <v>29</v>
      </c>
      <c r="E3401" s="3" t="s">
        <v>47</v>
      </c>
      <c r="F3401" s="3" t="s">
        <v>31</v>
      </c>
      <c r="G3401" s="3" t="s">
        <v>47</v>
      </c>
      <c r="H3401" s="3" t="s">
        <v>48</v>
      </c>
      <c r="I3401" s="3">
        <v>2025</v>
      </c>
      <c r="J3401" s="3" t="str">
        <f>CONCATENATE("54820207246")</f>
        <v>54820207246</v>
      </c>
      <c r="K3401" s="3" t="s">
        <v>33</v>
      </c>
      <c r="L3401" s="3"/>
      <c r="M3401" s="3" t="s">
        <v>131</v>
      </c>
      <c r="N3401" s="3" t="str">
        <f>CONCATENATE("PCCTRS38S50B474K")</f>
        <v>PCCTRS38S50B474K</v>
      </c>
      <c r="O3401" s="3" t="s">
        <v>3522</v>
      </c>
      <c r="P3401" s="3" t="s">
        <v>36</v>
      </c>
      <c r="Q3401" s="3"/>
      <c r="R3401" s="4">
        <v>45996</v>
      </c>
      <c r="S3401" s="3" t="s">
        <v>37</v>
      </c>
      <c r="T3401" s="3" t="s">
        <v>38</v>
      </c>
      <c r="U3401" s="3" t="s">
        <v>39</v>
      </c>
      <c r="V3401" s="3">
        <v>158.25</v>
      </c>
      <c r="W3401" s="3">
        <v>67.260000000000005</v>
      </c>
      <c r="X3401" s="3">
        <v>63.7</v>
      </c>
      <c r="Y3401" s="3">
        <v>27.29</v>
      </c>
    </row>
    <row r="3402" spans="1:25" ht="72.75" x14ac:dyDescent="0.25">
      <c r="A3402" s="3" t="s">
        <v>26</v>
      </c>
      <c r="B3402" s="3" t="s">
        <v>27</v>
      </c>
      <c r="C3402" s="3" t="s">
        <v>28</v>
      </c>
      <c r="D3402" s="3" t="s">
        <v>312</v>
      </c>
      <c r="E3402" s="3" t="s">
        <v>313</v>
      </c>
      <c r="F3402" s="3" t="s">
        <v>314</v>
      </c>
      <c r="G3402" s="3" t="s">
        <v>313</v>
      </c>
      <c r="H3402" s="3" t="s">
        <v>96</v>
      </c>
      <c r="I3402" s="3">
        <v>2025</v>
      </c>
      <c r="J3402" s="3" t="str">
        <f>CONCATENATE("54820216494")</f>
        <v>54820216494</v>
      </c>
      <c r="K3402" s="3" t="s">
        <v>33</v>
      </c>
      <c r="L3402" s="3"/>
      <c r="M3402" s="3" t="s">
        <v>131</v>
      </c>
      <c r="N3402" s="3" t="str">
        <f>CONCATENATE("PSTGTN85M44A462N")</f>
        <v>PSTGTN85M44A462N</v>
      </c>
      <c r="O3402" s="3" t="s">
        <v>3523</v>
      </c>
      <c r="P3402" s="3" t="s">
        <v>36</v>
      </c>
      <c r="Q3402" s="3"/>
      <c r="R3402" s="4">
        <v>45996</v>
      </c>
      <c r="S3402" s="3" t="s">
        <v>37</v>
      </c>
      <c r="T3402" s="3" t="s">
        <v>38</v>
      </c>
      <c r="U3402" s="3" t="s">
        <v>39</v>
      </c>
      <c r="V3402" s="3">
        <v>334.53</v>
      </c>
      <c r="W3402" s="3">
        <v>142.18</v>
      </c>
      <c r="X3402" s="3">
        <v>134.65</v>
      </c>
      <c r="Y3402" s="3">
        <v>57.7</v>
      </c>
    </row>
    <row r="3403" spans="1:25" ht="60.75" x14ac:dyDescent="0.25">
      <c r="A3403" s="3" t="s">
        <v>26</v>
      </c>
      <c r="B3403" s="3" t="s">
        <v>27</v>
      </c>
      <c r="C3403" s="3" t="s">
        <v>28</v>
      </c>
      <c r="D3403" s="3" t="s">
        <v>91</v>
      </c>
      <c r="E3403" s="3" t="s">
        <v>151</v>
      </c>
      <c r="F3403" s="3" t="s">
        <v>93</v>
      </c>
      <c r="G3403" s="3" t="s">
        <v>151</v>
      </c>
      <c r="H3403" s="3" t="s">
        <v>45</v>
      </c>
      <c r="I3403" s="3">
        <v>2025</v>
      </c>
      <c r="J3403" s="3" t="str">
        <f>CONCATENATE("54820212410")</f>
        <v>54820212410</v>
      </c>
      <c r="K3403" s="3" t="s">
        <v>33</v>
      </c>
      <c r="L3403" s="3"/>
      <c r="M3403" s="3" t="s">
        <v>131</v>
      </c>
      <c r="N3403" s="3" t="str">
        <f>CONCATENATE("CSTSRA56A51G453L")</f>
        <v>CSTSRA56A51G453L</v>
      </c>
      <c r="O3403" s="3" t="s">
        <v>3524</v>
      </c>
      <c r="P3403" s="3" t="s">
        <v>36</v>
      </c>
      <c r="Q3403" s="3"/>
      <c r="R3403" s="4">
        <v>45996</v>
      </c>
      <c r="S3403" s="3" t="s">
        <v>37</v>
      </c>
      <c r="T3403" s="3" t="s">
        <v>38</v>
      </c>
      <c r="U3403" s="3" t="s">
        <v>39</v>
      </c>
      <c r="V3403" s="3">
        <v>664.09</v>
      </c>
      <c r="W3403" s="3">
        <v>282.24</v>
      </c>
      <c r="X3403" s="3">
        <v>267.3</v>
      </c>
      <c r="Y3403" s="3">
        <v>114.55</v>
      </c>
    </row>
    <row r="3404" spans="1:25" ht="60.75" x14ac:dyDescent="0.25">
      <c r="A3404" s="3" t="s">
        <v>26</v>
      </c>
      <c r="B3404" s="3" t="s">
        <v>27</v>
      </c>
      <c r="C3404" s="3" t="s">
        <v>28</v>
      </c>
      <c r="D3404" s="3" t="s">
        <v>50</v>
      </c>
      <c r="E3404" s="3" t="s">
        <v>147</v>
      </c>
      <c r="F3404" s="3" t="s">
        <v>52</v>
      </c>
      <c r="G3404" s="3" t="s">
        <v>147</v>
      </c>
      <c r="H3404" s="3" t="s">
        <v>45</v>
      </c>
      <c r="I3404" s="3">
        <v>2025</v>
      </c>
      <c r="J3404" s="3" t="str">
        <f>CONCATENATE("54820167994")</f>
        <v>54820167994</v>
      </c>
      <c r="K3404" s="3" t="s">
        <v>33</v>
      </c>
      <c r="L3404" s="3"/>
      <c r="M3404" s="3" t="s">
        <v>131</v>
      </c>
      <c r="N3404" s="3" t="str">
        <f>CONCATENATE("GDULNZ71A04L500N")</f>
        <v>GDULNZ71A04L500N</v>
      </c>
      <c r="O3404" s="3" t="s">
        <v>3525</v>
      </c>
      <c r="P3404" s="3" t="s">
        <v>36</v>
      </c>
      <c r="Q3404" s="3"/>
      <c r="R3404" s="4">
        <v>45996</v>
      </c>
      <c r="S3404" s="3" t="s">
        <v>37</v>
      </c>
      <c r="T3404" s="3" t="s">
        <v>38</v>
      </c>
      <c r="U3404" s="3" t="s">
        <v>39</v>
      </c>
      <c r="V3404" s="3">
        <v>81.22</v>
      </c>
      <c r="W3404" s="3">
        <v>34.520000000000003</v>
      </c>
      <c r="X3404" s="3">
        <v>32.69</v>
      </c>
      <c r="Y3404" s="3">
        <v>14.01</v>
      </c>
    </row>
    <row r="3405" spans="1:25" ht="60.75" x14ac:dyDescent="0.25">
      <c r="A3405" s="3" t="s">
        <v>26</v>
      </c>
      <c r="B3405" s="3" t="s">
        <v>27</v>
      </c>
      <c r="C3405" s="3" t="s">
        <v>28</v>
      </c>
      <c r="D3405" s="3" t="s">
        <v>464</v>
      </c>
      <c r="E3405" s="3" t="s">
        <v>465</v>
      </c>
      <c r="F3405" s="3" t="s">
        <v>466</v>
      </c>
      <c r="G3405" s="3" t="s">
        <v>465</v>
      </c>
      <c r="H3405" s="3" t="s">
        <v>96</v>
      </c>
      <c r="I3405" s="3">
        <v>2025</v>
      </c>
      <c r="J3405" s="3" t="str">
        <f>CONCATENATE("54820192166")</f>
        <v>54820192166</v>
      </c>
      <c r="K3405" s="3" t="s">
        <v>33</v>
      </c>
      <c r="L3405" s="3"/>
      <c r="M3405" s="3" t="s">
        <v>131</v>
      </c>
      <c r="N3405" s="3" t="str">
        <f>CONCATENATE("CRRNTN40D49C935U")</f>
        <v>CRRNTN40D49C935U</v>
      </c>
      <c r="O3405" s="3" t="s">
        <v>3526</v>
      </c>
      <c r="P3405" s="3" t="s">
        <v>36</v>
      </c>
      <c r="Q3405" s="3"/>
      <c r="R3405" s="4">
        <v>45996</v>
      </c>
      <c r="S3405" s="3" t="s">
        <v>37</v>
      </c>
      <c r="T3405" s="3" t="s">
        <v>38</v>
      </c>
      <c r="U3405" s="3" t="s">
        <v>39</v>
      </c>
      <c r="V3405" s="3">
        <v>151.31</v>
      </c>
      <c r="W3405" s="3">
        <v>64.31</v>
      </c>
      <c r="X3405" s="3">
        <v>60.9</v>
      </c>
      <c r="Y3405" s="3">
        <v>26.1</v>
      </c>
    </row>
    <row r="3406" spans="1:25" ht="36.75" x14ac:dyDescent="0.25">
      <c r="A3406" s="3" t="s">
        <v>26</v>
      </c>
      <c r="B3406" s="3" t="s">
        <v>27</v>
      </c>
      <c r="C3406" s="3" t="s">
        <v>28</v>
      </c>
      <c r="D3406" s="3" t="s">
        <v>29</v>
      </c>
      <c r="E3406" s="3" t="s">
        <v>904</v>
      </c>
      <c r="F3406" s="3" t="s">
        <v>31</v>
      </c>
      <c r="G3406" s="3" t="s">
        <v>904</v>
      </c>
      <c r="H3406" s="3" t="s">
        <v>32</v>
      </c>
      <c r="I3406" s="3">
        <v>2025</v>
      </c>
      <c r="J3406" s="3" t="str">
        <f>CONCATENATE("54820190731")</f>
        <v>54820190731</v>
      </c>
      <c r="K3406" s="3" t="s">
        <v>33</v>
      </c>
      <c r="L3406" s="3"/>
      <c r="M3406" s="3" t="s">
        <v>131</v>
      </c>
      <c r="N3406" s="3" t="str">
        <f>CONCATENATE("01406490548")</f>
        <v>01406490548</v>
      </c>
      <c r="O3406" s="3" t="s">
        <v>3527</v>
      </c>
      <c r="P3406" s="3" t="s">
        <v>36</v>
      </c>
      <c r="Q3406" s="3"/>
      <c r="R3406" s="4">
        <v>45996</v>
      </c>
      <c r="S3406" s="3" t="s">
        <v>37</v>
      </c>
      <c r="T3406" s="3" t="s">
        <v>38</v>
      </c>
      <c r="U3406" s="3" t="s">
        <v>39</v>
      </c>
      <c r="V3406" s="3">
        <v>897.71</v>
      </c>
      <c r="W3406" s="3">
        <v>381.53</v>
      </c>
      <c r="X3406" s="3">
        <v>361.33</v>
      </c>
      <c r="Y3406" s="3">
        <v>154.85</v>
      </c>
    </row>
    <row r="3407" spans="1:25" ht="60.75" x14ac:dyDescent="0.25">
      <c r="A3407" s="3" t="s">
        <v>26</v>
      </c>
      <c r="B3407" s="3" t="s">
        <v>27</v>
      </c>
      <c r="C3407" s="3" t="s">
        <v>28</v>
      </c>
      <c r="D3407" s="3" t="s">
        <v>50</v>
      </c>
      <c r="E3407" s="3" t="s">
        <v>147</v>
      </c>
      <c r="F3407" s="3" t="s">
        <v>52</v>
      </c>
      <c r="G3407" s="3" t="s">
        <v>147</v>
      </c>
      <c r="H3407" s="3" t="s">
        <v>45</v>
      </c>
      <c r="I3407" s="3">
        <v>2025</v>
      </c>
      <c r="J3407" s="3" t="str">
        <f>CONCATENATE("54820184726")</f>
        <v>54820184726</v>
      </c>
      <c r="K3407" s="3" t="s">
        <v>33</v>
      </c>
      <c r="L3407" s="3"/>
      <c r="M3407" s="3" t="s">
        <v>131</v>
      </c>
      <c r="N3407" s="3" t="str">
        <f>CONCATENATE("CCCNNA45C42F346A")</f>
        <v>CCCNNA45C42F346A</v>
      </c>
      <c r="O3407" s="3" t="s">
        <v>3528</v>
      </c>
      <c r="P3407" s="3" t="s">
        <v>36</v>
      </c>
      <c r="Q3407" s="3"/>
      <c r="R3407" s="4">
        <v>45996</v>
      </c>
      <c r="S3407" s="3" t="s">
        <v>37</v>
      </c>
      <c r="T3407" s="3" t="s">
        <v>38</v>
      </c>
      <c r="U3407" s="3" t="s">
        <v>39</v>
      </c>
      <c r="V3407" s="3">
        <v>59.23</v>
      </c>
      <c r="W3407" s="3">
        <v>25.17</v>
      </c>
      <c r="X3407" s="3">
        <v>23.84</v>
      </c>
      <c r="Y3407" s="3">
        <v>10.220000000000001</v>
      </c>
    </row>
    <row r="3408" spans="1:25" ht="60.75" x14ac:dyDescent="0.25">
      <c r="A3408" s="3" t="s">
        <v>26</v>
      </c>
      <c r="B3408" s="3" t="s">
        <v>27</v>
      </c>
      <c r="C3408" s="3" t="s">
        <v>28</v>
      </c>
      <c r="D3408" s="3" t="s">
        <v>50</v>
      </c>
      <c r="E3408" s="3" t="s">
        <v>147</v>
      </c>
      <c r="F3408" s="3" t="s">
        <v>52</v>
      </c>
      <c r="G3408" s="3" t="s">
        <v>147</v>
      </c>
      <c r="H3408" s="3" t="s">
        <v>45</v>
      </c>
      <c r="I3408" s="3">
        <v>2025</v>
      </c>
      <c r="J3408" s="3" t="str">
        <f>CONCATENATE("54820163092")</f>
        <v>54820163092</v>
      </c>
      <c r="K3408" s="3" t="s">
        <v>33</v>
      </c>
      <c r="L3408" s="3"/>
      <c r="M3408" s="3" t="s">
        <v>131</v>
      </c>
      <c r="N3408" s="3" t="str">
        <f>CONCATENATE("SCLLRN76T50L500O")</f>
        <v>SCLLRN76T50L500O</v>
      </c>
      <c r="O3408" s="3" t="s">
        <v>3529</v>
      </c>
      <c r="P3408" s="3" t="s">
        <v>36</v>
      </c>
      <c r="Q3408" s="3"/>
      <c r="R3408" s="4">
        <v>45996</v>
      </c>
      <c r="S3408" s="3" t="s">
        <v>37</v>
      </c>
      <c r="T3408" s="3" t="s">
        <v>38</v>
      </c>
      <c r="U3408" s="3" t="s">
        <v>39</v>
      </c>
      <c r="V3408" s="3">
        <v>437.61</v>
      </c>
      <c r="W3408" s="3">
        <v>185.98</v>
      </c>
      <c r="X3408" s="3">
        <v>176.14</v>
      </c>
      <c r="Y3408" s="3">
        <v>75.489999999999995</v>
      </c>
    </row>
    <row r="3409" spans="1:25" ht="60.75" x14ac:dyDescent="0.25">
      <c r="A3409" s="3" t="s">
        <v>26</v>
      </c>
      <c r="B3409" s="3" t="s">
        <v>27</v>
      </c>
      <c r="C3409" s="3" t="s">
        <v>28</v>
      </c>
      <c r="D3409" s="3" t="s">
        <v>29</v>
      </c>
      <c r="E3409" s="3" t="s">
        <v>182</v>
      </c>
      <c r="F3409" s="3" t="s">
        <v>31</v>
      </c>
      <c r="G3409" s="3" t="s">
        <v>182</v>
      </c>
      <c r="H3409" s="3" t="s">
        <v>45</v>
      </c>
      <c r="I3409" s="3">
        <v>2025</v>
      </c>
      <c r="J3409" s="3" t="str">
        <f>CONCATENATE("54820165964")</f>
        <v>54820165964</v>
      </c>
      <c r="K3409" s="3" t="s">
        <v>33</v>
      </c>
      <c r="L3409" s="3"/>
      <c r="M3409" s="3" t="s">
        <v>131</v>
      </c>
      <c r="N3409" s="3" t="str">
        <f>CONCATENATE("STLMNL91T03L500Q")</f>
        <v>STLMNL91T03L500Q</v>
      </c>
      <c r="O3409" s="3" t="s">
        <v>3530</v>
      </c>
      <c r="P3409" s="3" t="s">
        <v>36</v>
      </c>
      <c r="Q3409" s="3"/>
      <c r="R3409" s="4">
        <v>45996</v>
      </c>
      <c r="S3409" s="3" t="s">
        <v>37</v>
      </c>
      <c r="T3409" s="3" t="s">
        <v>38</v>
      </c>
      <c r="U3409" s="3" t="s">
        <v>39</v>
      </c>
      <c r="V3409" s="3">
        <v>216.69</v>
      </c>
      <c r="W3409" s="3">
        <v>92.09</v>
      </c>
      <c r="X3409" s="3">
        <v>87.22</v>
      </c>
      <c r="Y3409" s="3">
        <v>37.380000000000003</v>
      </c>
    </row>
    <row r="3410" spans="1:25" ht="60.75" x14ac:dyDescent="0.25">
      <c r="A3410" s="3" t="s">
        <v>26</v>
      </c>
      <c r="B3410" s="3" t="s">
        <v>27</v>
      </c>
      <c r="C3410" s="3" t="s">
        <v>28</v>
      </c>
      <c r="D3410" s="3" t="s">
        <v>29</v>
      </c>
      <c r="E3410" s="3" t="s">
        <v>228</v>
      </c>
      <c r="F3410" s="3" t="s">
        <v>31</v>
      </c>
      <c r="G3410" s="3" t="s">
        <v>228</v>
      </c>
      <c r="H3410" s="3" t="s">
        <v>45</v>
      </c>
      <c r="I3410" s="3">
        <v>2025</v>
      </c>
      <c r="J3410" s="3" t="str">
        <f>CONCATENATE("54820197702")</f>
        <v>54820197702</v>
      </c>
      <c r="K3410" s="3" t="s">
        <v>33</v>
      </c>
      <c r="L3410" s="3"/>
      <c r="M3410" s="3" t="s">
        <v>131</v>
      </c>
      <c r="N3410" s="3" t="str">
        <f>CONCATENATE("MRCFNC63A13D749J")</f>
        <v>MRCFNC63A13D749J</v>
      </c>
      <c r="O3410" s="3" t="s">
        <v>3531</v>
      </c>
      <c r="P3410" s="3" t="s">
        <v>36</v>
      </c>
      <c r="Q3410" s="3"/>
      <c r="R3410" s="4">
        <v>45996</v>
      </c>
      <c r="S3410" s="3" t="s">
        <v>37</v>
      </c>
      <c r="T3410" s="3" t="s">
        <v>38</v>
      </c>
      <c r="U3410" s="3" t="s">
        <v>39</v>
      </c>
      <c r="V3410" s="3">
        <v>121.68</v>
      </c>
      <c r="W3410" s="3">
        <v>51.71</v>
      </c>
      <c r="X3410" s="3">
        <v>48.98</v>
      </c>
      <c r="Y3410" s="3">
        <v>20.99</v>
      </c>
    </row>
    <row r="3411" spans="1:25" ht="60.75" x14ac:dyDescent="0.25">
      <c r="A3411" s="3" t="s">
        <v>26</v>
      </c>
      <c r="B3411" s="3" t="s">
        <v>27</v>
      </c>
      <c r="C3411" s="3" t="s">
        <v>28</v>
      </c>
      <c r="D3411" s="3" t="s">
        <v>104</v>
      </c>
      <c r="E3411" s="3" t="s">
        <v>661</v>
      </c>
      <c r="F3411" s="3" t="s">
        <v>104</v>
      </c>
      <c r="G3411" s="3" t="s">
        <v>661</v>
      </c>
      <c r="H3411" s="3" t="s">
        <v>45</v>
      </c>
      <c r="I3411" s="3">
        <v>2025</v>
      </c>
      <c r="J3411" s="3" t="str">
        <f>CONCATENATE("54820194709")</f>
        <v>54820194709</v>
      </c>
      <c r="K3411" s="3" t="s">
        <v>33</v>
      </c>
      <c r="L3411" s="3"/>
      <c r="M3411" s="3" t="s">
        <v>131</v>
      </c>
      <c r="N3411" s="3" t="str">
        <f>CONCATENATE("PRDGCR42C70D749U")</f>
        <v>PRDGCR42C70D749U</v>
      </c>
      <c r="O3411" s="3" t="s">
        <v>3532</v>
      </c>
      <c r="P3411" s="3" t="s">
        <v>36</v>
      </c>
      <c r="Q3411" s="3"/>
      <c r="R3411" s="4">
        <v>45996</v>
      </c>
      <c r="S3411" s="3" t="s">
        <v>37</v>
      </c>
      <c r="T3411" s="3" t="s">
        <v>38</v>
      </c>
      <c r="U3411" s="3" t="s">
        <v>39</v>
      </c>
      <c r="V3411" s="3">
        <v>50.42</v>
      </c>
      <c r="W3411" s="3">
        <v>21.43</v>
      </c>
      <c r="X3411" s="3">
        <v>20.29</v>
      </c>
      <c r="Y3411" s="3">
        <v>8.6999999999999993</v>
      </c>
    </row>
    <row r="3412" spans="1:25" ht="60.75" x14ac:dyDescent="0.25">
      <c r="A3412" s="3" t="s">
        <v>26</v>
      </c>
      <c r="B3412" s="3" t="s">
        <v>27</v>
      </c>
      <c r="C3412" s="3" t="s">
        <v>28</v>
      </c>
      <c r="D3412" s="3" t="s">
        <v>29</v>
      </c>
      <c r="E3412" s="3" t="s">
        <v>56</v>
      </c>
      <c r="F3412" s="3" t="s">
        <v>31</v>
      </c>
      <c r="G3412" s="3" t="s">
        <v>56</v>
      </c>
      <c r="H3412" s="3" t="s">
        <v>32</v>
      </c>
      <c r="I3412" s="3">
        <v>2025</v>
      </c>
      <c r="J3412" s="3" t="str">
        <f>CONCATENATE("54820261029")</f>
        <v>54820261029</v>
      </c>
      <c r="K3412" s="3" t="s">
        <v>33</v>
      </c>
      <c r="L3412" s="3"/>
      <c r="M3412" s="3" t="s">
        <v>131</v>
      </c>
      <c r="N3412" s="3" t="str">
        <f>CONCATENATE("SPEFTN65D21M078G")</f>
        <v>SPEFTN65D21M078G</v>
      </c>
      <c r="O3412" s="3" t="s">
        <v>3533</v>
      </c>
      <c r="P3412" s="3" t="s">
        <v>36</v>
      </c>
      <c r="Q3412" s="3"/>
      <c r="R3412" s="4">
        <v>45996</v>
      </c>
      <c r="S3412" s="3" t="s">
        <v>37</v>
      </c>
      <c r="T3412" s="3" t="s">
        <v>38</v>
      </c>
      <c r="U3412" s="3" t="s">
        <v>39</v>
      </c>
      <c r="V3412" s="5">
        <v>1199.8599999999999</v>
      </c>
      <c r="W3412" s="3">
        <v>509.94</v>
      </c>
      <c r="X3412" s="3">
        <v>482.94</v>
      </c>
      <c r="Y3412" s="3">
        <v>206.98</v>
      </c>
    </row>
    <row r="3413" spans="1:25" ht="36.75" x14ac:dyDescent="0.25">
      <c r="A3413" s="3" t="s">
        <v>26</v>
      </c>
      <c r="B3413" s="3" t="s">
        <v>27</v>
      </c>
      <c r="C3413" s="3" t="s">
        <v>28</v>
      </c>
      <c r="D3413" s="3" t="s">
        <v>40</v>
      </c>
      <c r="E3413" s="3" t="s">
        <v>99</v>
      </c>
      <c r="F3413" s="3" t="s">
        <v>42</v>
      </c>
      <c r="G3413" s="3" t="s">
        <v>99</v>
      </c>
      <c r="H3413" s="3" t="s">
        <v>32</v>
      </c>
      <c r="I3413" s="3">
        <v>2025</v>
      </c>
      <c r="J3413" s="3" t="str">
        <f>CONCATENATE("54820218177")</f>
        <v>54820218177</v>
      </c>
      <c r="K3413" s="3" t="s">
        <v>33</v>
      </c>
      <c r="L3413" s="3"/>
      <c r="M3413" s="3" t="s">
        <v>131</v>
      </c>
      <c r="N3413" s="3" t="str">
        <f>CONCATENATE("01822020432")</f>
        <v>01822020432</v>
      </c>
      <c r="O3413" s="3" t="s">
        <v>3534</v>
      </c>
      <c r="P3413" s="3" t="s">
        <v>36</v>
      </c>
      <c r="Q3413" s="3"/>
      <c r="R3413" s="4">
        <v>45996</v>
      </c>
      <c r="S3413" s="3" t="s">
        <v>37</v>
      </c>
      <c r="T3413" s="3" t="s">
        <v>38</v>
      </c>
      <c r="U3413" s="3" t="s">
        <v>39</v>
      </c>
      <c r="V3413" s="3">
        <v>149.44</v>
      </c>
      <c r="W3413" s="3">
        <v>63.51</v>
      </c>
      <c r="X3413" s="3">
        <v>60.15</v>
      </c>
      <c r="Y3413" s="3">
        <v>25.78</v>
      </c>
    </row>
    <row r="3414" spans="1:25" ht="72.75" x14ac:dyDescent="0.25">
      <c r="A3414" s="3" t="s">
        <v>26</v>
      </c>
      <c r="B3414" s="3" t="s">
        <v>27</v>
      </c>
      <c r="C3414" s="3" t="s">
        <v>28</v>
      </c>
      <c r="D3414" s="3" t="s">
        <v>50</v>
      </c>
      <c r="E3414" s="3" t="s">
        <v>147</v>
      </c>
      <c r="F3414" s="3" t="s">
        <v>52</v>
      </c>
      <c r="G3414" s="3" t="s">
        <v>147</v>
      </c>
      <c r="H3414" s="3" t="s">
        <v>45</v>
      </c>
      <c r="I3414" s="3">
        <v>2025</v>
      </c>
      <c r="J3414" s="3" t="str">
        <f>CONCATENATE("54820191382")</f>
        <v>54820191382</v>
      </c>
      <c r="K3414" s="3" t="s">
        <v>33</v>
      </c>
      <c r="L3414" s="3"/>
      <c r="M3414" s="3" t="s">
        <v>131</v>
      </c>
      <c r="N3414" s="3" t="str">
        <f>CONCATENATE("NTNLGU55B14D269M")</f>
        <v>NTNLGU55B14D269M</v>
      </c>
      <c r="O3414" s="3" t="s">
        <v>3535</v>
      </c>
      <c r="P3414" s="3" t="s">
        <v>36</v>
      </c>
      <c r="Q3414" s="3"/>
      <c r="R3414" s="4">
        <v>45996</v>
      </c>
      <c r="S3414" s="3" t="s">
        <v>37</v>
      </c>
      <c r="T3414" s="3" t="s">
        <v>38</v>
      </c>
      <c r="U3414" s="3" t="s">
        <v>39</v>
      </c>
      <c r="V3414" s="3">
        <v>210.67</v>
      </c>
      <c r="W3414" s="3">
        <v>89.53</v>
      </c>
      <c r="X3414" s="3">
        <v>84.79</v>
      </c>
      <c r="Y3414" s="3">
        <v>36.35</v>
      </c>
    </row>
    <row r="3415" spans="1:25" ht="36.75" x14ac:dyDescent="0.25">
      <c r="A3415" s="3" t="s">
        <v>26</v>
      </c>
      <c r="B3415" s="3" t="s">
        <v>27</v>
      </c>
      <c r="C3415" s="3" t="s">
        <v>28</v>
      </c>
      <c r="D3415" s="3" t="s">
        <v>29</v>
      </c>
      <c r="E3415" s="3" t="s">
        <v>72</v>
      </c>
      <c r="F3415" s="3" t="s">
        <v>31</v>
      </c>
      <c r="G3415" s="3" t="s">
        <v>72</v>
      </c>
      <c r="H3415" s="3" t="s">
        <v>45</v>
      </c>
      <c r="I3415" s="3">
        <v>2025</v>
      </c>
      <c r="J3415" s="3" t="str">
        <f>CONCATENATE("54820287040")</f>
        <v>54820287040</v>
      </c>
      <c r="K3415" s="3" t="s">
        <v>33</v>
      </c>
      <c r="L3415" s="3"/>
      <c r="M3415" s="3" t="s">
        <v>131</v>
      </c>
      <c r="N3415" s="3" t="str">
        <f>CONCATENATE("02317820419")</f>
        <v>02317820419</v>
      </c>
      <c r="O3415" s="3" t="s">
        <v>3536</v>
      </c>
      <c r="P3415" s="3" t="s">
        <v>36</v>
      </c>
      <c r="Q3415" s="3"/>
      <c r="R3415" s="4">
        <v>45996</v>
      </c>
      <c r="S3415" s="3" t="s">
        <v>37</v>
      </c>
      <c r="T3415" s="3" t="s">
        <v>38</v>
      </c>
      <c r="U3415" s="3" t="s">
        <v>39</v>
      </c>
      <c r="V3415" s="3">
        <v>197.65</v>
      </c>
      <c r="W3415" s="3">
        <v>84</v>
      </c>
      <c r="X3415" s="3">
        <v>79.55</v>
      </c>
      <c r="Y3415" s="3">
        <v>34.1</v>
      </c>
    </row>
    <row r="3416" spans="1:25" ht="36.75" x14ac:dyDescent="0.25">
      <c r="A3416" s="3" t="s">
        <v>26</v>
      </c>
      <c r="B3416" s="3" t="s">
        <v>27</v>
      </c>
      <c r="C3416" s="3" t="s">
        <v>28</v>
      </c>
      <c r="D3416" s="3" t="s">
        <v>50</v>
      </c>
      <c r="E3416" s="3" t="s">
        <v>147</v>
      </c>
      <c r="F3416" s="3" t="s">
        <v>52</v>
      </c>
      <c r="G3416" s="3" t="s">
        <v>147</v>
      </c>
      <c r="H3416" s="3" t="s">
        <v>45</v>
      </c>
      <c r="I3416" s="3">
        <v>2025</v>
      </c>
      <c r="J3416" s="3" t="str">
        <f>CONCATENATE("54820174768")</f>
        <v>54820174768</v>
      </c>
      <c r="K3416" s="3" t="s">
        <v>33</v>
      </c>
      <c r="L3416" s="3"/>
      <c r="M3416" s="3" t="s">
        <v>131</v>
      </c>
      <c r="N3416" s="3" t="str">
        <f>CONCATENATE("02449950415")</f>
        <v>02449950415</v>
      </c>
      <c r="O3416" s="3" t="s">
        <v>3537</v>
      </c>
      <c r="P3416" s="3" t="s">
        <v>36</v>
      </c>
      <c r="Q3416" s="3"/>
      <c r="R3416" s="4">
        <v>45996</v>
      </c>
      <c r="S3416" s="3" t="s">
        <v>37</v>
      </c>
      <c r="T3416" s="3" t="s">
        <v>38</v>
      </c>
      <c r="U3416" s="3" t="s">
        <v>39</v>
      </c>
      <c r="V3416" s="3">
        <v>129.05000000000001</v>
      </c>
      <c r="W3416" s="3">
        <v>54.85</v>
      </c>
      <c r="X3416" s="3">
        <v>51.94</v>
      </c>
      <c r="Y3416" s="3">
        <v>22.26</v>
      </c>
    </row>
    <row r="3417" spans="1:25" ht="60.75" x14ac:dyDescent="0.25">
      <c r="A3417" s="3" t="s">
        <v>26</v>
      </c>
      <c r="B3417" s="3" t="s">
        <v>27</v>
      </c>
      <c r="C3417" s="3" t="s">
        <v>28</v>
      </c>
      <c r="D3417" s="3" t="s">
        <v>50</v>
      </c>
      <c r="E3417" s="3" t="s">
        <v>60</v>
      </c>
      <c r="F3417" s="3" t="s">
        <v>52</v>
      </c>
      <c r="G3417" s="3" t="s">
        <v>60</v>
      </c>
      <c r="H3417" s="3" t="s">
        <v>45</v>
      </c>
      <c r="I3417" s="3">
        <v>2025</v>
      </c>
      <c r="J3417" s="3" t="str">
        <f>CONCATENATE("54820209317")</f>
        <v>54820209317</v>
      </c>
      <c r="K3417" s="3" t="s">
        <v>33</v>
      </c>
      <c r="L3417" s="3"/>
      <c r="M3417" s="3" t="s">
        <v>131</v>
      </c>
      <c r="N3417" s="3" t="str">
        <f>CONCATENATE("BBNMLT76E45G453C")</f>
        <v>BBNMLT76E45G453C</v>
      </c>
      <c r="O3417" s="3" t="s">
        <v>3538</v>
      </c>
      <c r="P3417" s="3" t="s">
        <v>36</v>
      </c>
      <c r="Q3417" s="3"/>
      <c r="R3417" s="4">
        <v>45996</v>
      </c>
      <c r="S3417" s="3" t="s">
        <v>37</v>
      </c>
      <c r="T3417" s="3" t="s">
        <v>38</v>
      </c>
      <c r="U3417" s="3" t="s">
        <v>39</v>
      </c>
      <c r="V3417" s="3">
        <v>215.98</v>
      </c>
      <c r="W3417" s="3">
        <v>91.79</v>
      </c>
      <c r="X3417" s="3">
        <v>86.93</v>
      </c>
      <c r="Y3417" s="3">
        <v>37.26</v>
      </c>
    </row>
    <row r="3418" spans="1:25" ht="60.75" x14ac:dyDescent="0.25">
      <c r="A3418" s="3" t="s">
        <v>26</v>
      </c>
      <c r="B3418" s="3" t="s">
        <v>27</v>
      </c>
      <c r="C3418" s="3" t="s">
        <v>28</v>
      </c>
      <c r="D3418" s="3" t="s">
        <v>50</v>
      </c>
      <c r="E3418" s="3" t="s">
        <v>51</v>
      </c>
      <c r="F3418" s="3" t="s">
        <v>52</v>
      </c>
      <c r="G3418" s="3" t="s">
        <v>51</v>
      </c>
      <c r="H3418" s="3" t="s">
        <v>48</v>
      </c>
      <c r="I3418" s="3">
        <v>2025</v>
      </c>
      <c r="J3418" s="3" t="str">
        <f>CONCATENATE("54820211602")</f>
        <v>54820211602</v>
      </c>
      <c r="K3418" s="3" t="s">
        <v>33</v>
      </c>
      <c r="L3418" s="3"/>
      <c r="M3418" s="3" t="s">
        <v>131</v>
      </c>
      <c r="N3418" s="3" t="str">
        <f>CONCATENATE("DSNSNN62R70H501T")</f>
        <v>DSNSNN62R70H501T</v>
      </c>
      <c r="O3418" s="3" t="s">
        <v>3539</v>
      </c>
      <c r="P3418" s="3" t="s">
        <v>36</v>
      </c>
      <c r="Q3418" s="3"/>
      <c r="R3418" s="4">
        <v>45996</v>
      </c>
      <c r="S3418" s="3" t="s">
        <v>37</v>
      </c>
      <c r="T3418" s="3" t="s">
        <v>38</v>
      </c>
      <c r="U3418" s="3" t="s">
        <v>39</v>
      </c>
      <c r="V3418" s="3">
        <v>66.489999999999995</v>
      </c>
      <c r="W3418" s="3">
        <v>28.26</v>
      </c>
      <c r="X3418" s="3">
        <v>26.76</v>
      </c>
      <c r="Y3418" s="3">
        <v>11.47</v>
      </c>
    </row>
    <row r="3419" spans="1:25" ht="36.75" x14ac:dyDescent="0.25">
      <c r="A3419" s="3" t="s">
        <v>26</v>
      </c>
      <c r="B3419" s="3" t="s">
        <v>27</v>
      </c>
      <c r="C3419" s="3" t="s">
        <v>28</v>
      </c>
      <c r="D3419" s="3" t="s">
        <v>40</v>
      </c>
      <c r="E3419" s="3" t="s">
        <v>218</v>
      </c>
      <c r="F3419" s="3" t="s">
        <v>42</v>
      </c>
      <c r="G3419" s="3" t="s">
        <v>218</v>
      </c>
      <c r="H3419" s="3" t="s">
        <v>45</v>
      </c>
      <c r="I3419" s="3">
        <v>2025</v>
      </c>
      <c r="J3419" s="3" t="str">
        <f>CONCATENATE("54820259833")</f>
        <v>54820259833</v>
      </c>
      <c r="K3419" s="3" t="s">
        <v>33</v>
      </c>
      <c r="L3419" s="3"/>
      <c r="M3419" s="3" t="s">
        <v>131</v>
      </c>
      <c r="N3419" s="3" t="str">
        <f>CONCATENATE("00449670413")</f>
        <v>00449670413</v>
      </c>
      <c r="O3419" s="3" t="s">
        <v>3540</v>
      </c>
      <c r="P3419" s="3" t="s">
        <v>36</v>
      </c>
      <c r="Q3419" s="3"/>
      <c r="R3419" s="4">
        <v>45996</v>
      </c>
      <c r="S3419" s="3" t="s">
        <v>37</v>
      </c>
      <c r="T3419" s="3" t="s">
        <v>38</v>
      </c>
      <c r="U3419" s="3" t="s">
        <v>39</v>
      </c>
      <c r="V3419" s="3">
        <v>841.91</v>
      </c>
      <c r="W3419" s="3">
        <v>357.81</v>
      </c>
      <c r="X3419" s="3">
        <v>338.87</v>
      </c>
      <c r="Y3419" s="3">
        <v>145.22999999999999</v>
      </c>
    </row>
    <row r="3420" spans="1:25" ht="60.75" x14ac:dyDescent="0.25">
      <c r="A3420" s="3" t="s">
        <v>26</v>
      </c>
      <c r="B3420" s="3" t="s">
        <v>27</v>
      </c>
      <c r="C3420" s="3" t="s">
        <v>28</v>
      </c>
      <c r="D3420" s="3" t="s">
        <v>104</v>
      </c>
      <c r="E3420" s="3" t="s">
        <v>691</v>
      </c>
      <c r="F3420" s="3" t="s">
        <v>104</v>
      </c>
      <c r="G3420" s="3" t="s">
        <v>691</v>
      </c>
      <c r="H3420" s="3" t="s">
        <v>48</v>
      </c>
      <c r="I3420" s="3">
        <v>2025</v>
      </c>
      <c r="J3420" s="3" t="str">
        <f>CONCATENATE("54820367578")</f>
        <v>54820367578</v>
      </c>
      <c r="K3420" s="3" t="s">
        <v>33</v>
      </c>
      <c r="L3420" s="3"/>
      <c r="M3420" s="3" t="s">
        <v>131</v>
      </c>
      <c r="N3420" s="3" t="str">
        <f>CONCATENATE("PTRRND60B02I653V")</f>
        <v>PTRRND60B02I653V</v>
      </c>
      <c r="O3420" s="3" t="s">
        <v>3541</v>
      </c>
      <c r="P3420" s="3" t="s">
        <v>36</v>
      </c>
      <c r="Q3420" s="3"/>
      <c r="R3420" s="4">
        <v>45996</v>
      </c>
      <c r="S3420" s="3" t="s">
        <v>37</v>
      </c>
      <c r="T3420" s="3" t="s">
        <v>38</v>
      </c>
      <c r="U3420" s="3" t="s">
        <v>39</v>
      </c>
      <c r="V3420" s="3">
        <v>62.59</v>
      </c>
      <c r="W3420" s="3">
        <v>26.6</v>
      </c>
      <c r="X3420" s="3">
        <v>25.19</v>
      </c>
      <c r="Y3420" s="3">
        <v>10.8</v>
      </c>
    </row>
    <row r="3421" spans="1:25" ht="72.75" x14ac:dyDescent="0.25">
      <c r="A3421" s="3" t="s">
        <v>26</v>
      </c>
      <c r="B3421" s="3" t="s">
        <v>27</v>
      </c>
      <c r="C3421" s="3" t="s">
        <v>28</v>
      </c>
      <c r="D3421" s="3" t="s">
        <v>104</v>
      </c>
      <c r="E3421" s="3" t="s">
        <v>691</v>
      </c>
      <c r="F3421" s="3" t="s">
        <v>104</v>
      </c>
      <c r="G3421" s="3" t="s">
        <v>691</v>
      </c>
      <c r="H3421" s="3" t="s">
        <v>48</v>
      </c>
      <c r="I3421" s="3">
        <v>2025</v>
      </c>
      <c r="J3421" s="3" t="str">
        <f>CONCATENATE("54820367685")</f>
        <v>54820367685</v>
      </c>
      <c r="K3421" s="3" t="s">
        <v>33</v>
      </c>
      <c r="L3421" s="3"/>
      <c r="M3421" s="3" t="s">
        <v>131</v>
      </c>
      <c r="N3421" s="3" t="str">
        <f>CONCATENATE("GLLNMR61H45I653H")</f>
        <v>GLLNMR61H45I653H</v>
      </c>
      <c r="O3421" s="3" t="s">
        <v>3542</v>
      </c>
      <c r="P3421" s="3" t="s">
        <v>36</v>
      </c>
      <c r="Q3421" s="3"/>
      <c r="R3421" s="4">
        <v>45996</v>
      </c>
      <c r="S3421" s="3" t="s">
        <v>37</v>
      </c>
      <c r="T3421" s="3" t="s">
        <v>38</v>
      </c>
      <c r="U3421" s="3" t="s">
        <v>39</v>
      </c>
      <c r="V3421" s="3">
        <v>120.26</v>
      </c>
      <c r="W3421" s="3">
        <v>51.11</v>
      </c>
      <c r="X3421" s="3">
        <v>48.4</v>
      </c>
      <c r="Y3421" s="3">
        <v>20.75</v>
      </c>
    </row>
    <row r="3422" spans="1:25" ht="36.75" x14ac:dyDescent="0.25">
      <c r="A3422" s="3" t="s">
        <v>26</v>
      </c>
      <c r="B3422" s="3" t="s">
        <v>27</v>
      </c>
      <c r="C3422" s="3" t="s">
        <v>28</v>
      </c>
      <c r="D3422" s="3" t="s">
        <v>29</v>
      </c>
      <c r="E3422" s="3" t="s">
        <v>119</v>
      </c>
      <c r="F3422" s="3" t="s">
        <v>31</v>
      </c>
      <c r="G3422" s="3" t="s">
        <v>119</v>
      </c>
      <c r="H3422" s="3" t="s">
        <v>96</v>
      </c>
      <c r="I3422" s="3">
        <v>2025</v>
      </c>
      <c r="J3422" s="3" t="str">
        <f>CONCATENATE("54820220876")</f>
        <v>54820220876</v>
      </c>
      <c r="K3422" s="3" t="s">
        <v>33</v>
      </c>
      <c r="L3422" s="3"/>
      <c r="M3422" s="3" t="s">
        <v>131</v>
      </c>
      <c r="N3422" s="3" t="str">
        <f>CONCATENATE("01124420447")</f>
        <v>01124420447</v>
      </c>
      <c r="O3422" s="3" t="s">
        <v>3543</v>
      </c>
      <c r="P3422" s="3" t="s">
        <v>36</v>
      </c>
      <c r="Q3422" s="3"/>
      <c r="R3422" s="4">
        <v>45996</v>
      </c>
      <c r="S3422" s="3" t="s">
        <v>37</v>
      </c>
      <c r="T3422" s="3" t="s">
        <v>38</v>
      </c>
      <c r="U3422" s="3" t="s">
        <v>39</v>
      </c>
      <c r="V3422" s="3">
        <v>459.6</v>
      </c>
      <c r="W3422" s="3">
        <v>195.33</v>
      </c>
      <c r="X3422" s="3">
        <v>184.99</v>
      </c>
      <c r="Y3422" s="3">
        <v>79.28</v>
      </c>
    </row>
    <row r="3423" spans="1:25" ht="60.75" x14ac:dyDescent="0.25">
      <c r="A3423" s="3" t="s">
        <v>26</v>
      </c>
      <c r="B3423" s="3" t="s">
        <v>27</v>
      </c>
      <c r="C3423" s="3" t="s">
        <v>28</v>
      </c>
      <c r="D3423" s="3" t="s">
        <v>50</v>
      </c>
      <c r="E3423" s="3" t="s">
        <v>60</v>
      </c>
      <c r="F3423" s="3" t="s">
        <v>52</v>
      </c>
      <c r="G3423" s="3" t="s">
        <v>60</v>
      </c>
      <c r="H3423" s="3" t="s">
        <v>45</v>
      </c>
      <c r="I3423" s="3">
        <v>2025</v>
      </c>
      <c r="J3423" s="3" t="str">
        <f>CONCATENATE("54820165907")</f>
        <v>54820165907</v>
      </c>
      <c r="K3423" s="3" t="s">
        <v>33</v>
      </c>
      <c r="L3423" s="3"/>
      <c r="M3423" s="3" t="s">
        <v>131</v>
      </c>
      <c r="N3423" s="3" t="str">
        <f>CONCATENATE("RVLLEA41D55G453L")</f>
        <v>RVLLEA41D55G453L</v>
      </c>
      <c r="O3423" s="3" t="s">
        <v>3544</v>
      </c>
      <c r="P3423" s="3" t="s">
        <v>36</v>
      </c>
      <c r="Q3423" s="3"/>
      <c r="R3423" s="4">
        <v>45996</v>
      </c>
      <c r="S3423" s="3" t="s">
        <v>37</v>
      </c>
      <c r="T3423" s="3" t="s">
        <v>38</v>
      </c>
      <c r="U3423" s="3" t="s">
        <v>39</v>
      </c>
      <c r="V3423" s="3">
        <v>88.15</v>
      </c>
      <c r="W3423" s="3">
        <v>37.46</v>
      </c>
      <c r="X3423" s="3">
        <v>35.479999999999997</v>
      </c>
      <c r="Y3423" s="3">
        <v>15.21</v>
      </c>
    </row>
    <row r="3424" spans="1:25" ht="60.75" x14ac:dyDescent="0.25">
      <c r="A3424" s="3" t="s">
        <v>26</v>
      </c>
      <c r="B3424" s="3" t="s">
        <v>27</v>
      </c>
      <c r="C3424" s="3" t="s">
        <v>28</v>
      </c>
      <c r="D3424" s="3" t="s">
        <v>29</v>
      </c>
      <c r="E3424" s="3" t="s">
        <v>56</v>
      </c>
      <c r="F3424" s="3" t="s">
        <v>31</v>
      </c>
      <c r="G3424" s="3" t="s">
        <v>56</v>
      </c>
      <c r="H3424" s="3" t="s">
        <v>32</v>
      </c>
      <c r="I3424" s="3">
        <v>2025</v>
      </c>
      <c r="J3424" s="3" t="str">
        <f>CONCATENATE("54820260104")</f>
        <v>54820260104</v>
      </c>
      <c r="K3424" s="3" t="s">
        <v>33</v>
      </c>
      <c r="L3424" s="3"/>
      <c r="M3424" s="3" t="s">
        <v>131</v>
      </c>
      <c r="N3424" s="3" t="str">
        <f>CONCATENATE("SPEMNL95C17B474Y")</f>
        <v>SPEMNL95C17B474Y</v>
      </c>
      <c r="O3424" s="3" t="s">
        <v>3545</v>
      </c>
      <c r="P3424" s="3" t="s">
        <v>36</v>
      </c>
      <c r="Q3424" s="3"/>
      <c r="R3424" s="4">
        <v>45996</v>
      </c>
      <c r="S3424" s="3" t="s">
        <v>37</v>
      </c>
      <c r="T3424" s="3" t="s">
        <v>38</v>
      </c>
      <c r="U3424" s="3" t="s">
        <v>39</v>
      </c>
      <c r="V3424" s="5">
        <v>1248.01</v>
      </c>
      <c r="W3424" s="3">
        <v>530.4</v>
      </c>
      <c r="X3424" s="3">
        <v>502.32</v>
      </c>
      <c r="Y3424" s="3">
        <v>215.29</v>
      </c>
    </row>
    <row r="3425" spans="1:25" ht="60.75" x14ac:dyDescent="0.25">
      <c r="A3425" s="3" t="s">
        <v>26</v>
      </c>
      <c r="B3425" s="3" t="s">
        <v>27</v>
      </c>
      <c r="C3425" s="3" t="s">
        <v>28</v>
      </c>
      <c r="D3425" s="3" t="s">
        <v>50</v>
      </c>
      <c r="E3425" s="3" t="s">
        <v>252</v>
      </c>
      <c r="F3425" s="3" t="s">
        <v>52</v>
      </c>
      <c r="G3425" s="3" t="s">
        <v>252</v>
      </c>
      <c r="H3425" s="3" t="s">
        <v>45</v>
      </c>
      <c r="I3425" s="3">
        <v>2025</v>
      </c>
      <c r="J3425" s="3" t="str">
        <f>CONCATENATE("54820179411")</f>
        <v>54820179411</v>
      </c>
      <c r="K3425" s="3" t="s">
        <v>33</v>
      </c>
      <c r="L3425" s="3"/>
      <c r="M3425" s="3" t="s">
        <v>131</v>
      </c>
      <c r="N3425" s="3" t="str">
        <f>CONCATENATE("FLMLTT68P43D749M")</f>
        <v>FLMLTT68P43D749M</v>
      </c>
      <c r="O3425" s="3" t="s">
        <v>3546</v>
      </c>
      <c r="P3425" s="3" t="s">
        <v>36</v>
      </c>
      <c r="Q3425" s="3"/>
      <c r="R3425" s="4">
        <v>45996</v>
      </c>
      <c r="S3425" s="3" t="s">
        <v>37</v>
      </c>
      <c r="T3425" s="3" t="s">
        <v>38</v>
      </c>
      <c r="U3425" s="3" t="s">
        <v>39</v>
      </c>
      <c r="V3425" s="3">
        <v>128.53</v>
      </c>
      <c r="W3425" s="3">
        <v>54.63</v>
      </c>
      <c r="X3425" s="3">
        <v>51.73</v>
      </c>
      <c r="Y3425" s="3">
        <v>22.17</v>
      </c>
    </row>
    <row r="3426" spans="1:25" ht="60.75" x14ac:dyDescent="0.25">
      <c r="A3426" s="3" t="s">
        <v>26</v>
      </c>
      <c r="B3426" s="3" t="s">
        <v>27</v>
      </c>
      <c r="C3426" s="3" t="s">
        <v>28</v>
      </c>
      <c r="D3426" s="3" t="s">
        <v>29</v>
      </c>
      <c r="E3426" s="3" t="s">
        <v>47</v>
      </c>
      <c r="F3426" s="3" t="s">
        <v>31</v>
      </c>
      <c r="G3426" s="3" t="s">
        <v>47</v>
      </c>
      <c r="H3426" s="3" t="s">
        <v>48</v>
      </c>
      <c r="I3426" s="3">
        <v>2025</v>
      </c>
      <c r="J3426" s="3" t="str">
        <f>CONCATENATE("54820365556")</f>
        <v>54820365556</v>
      </c>
      <c r="K3426" s="3" t="s">
        <v>33</v>
      </c>
      <c r="L3426" s="3"/>
      <c r="M3426" s="3" t="s">
        <v>131</v>
      </c>
      <c r="N3426" s="3" t="str">
        <f>CONCATENATE("BSSSRN40E63H576M")</f>
        <v>BSSSRN40E63H576M</v>
      </c>
      <c r="O3426" s="3" t="s">
        <v>3547</v>
      </c>
      <c r="P3426" s="3" t="s">
        <v>36</v>
      </c>
      <c r="Q3426" s="3"/>
      <c r="R3426" s="4">
        <v>45996</v>
      </c>
      <c r="S3426" s="3" t="s">
        <v>37</v>
      </c>
      <c r="T3426" s="3" t="s">
        <v>38</v>
      </c>
      <c r="U3426" s="3" t="s">
        <v>39</v>
      </c>
      <c r="V3426" s="3">
        <v>162.22</v>
      </c>
      <c r="W3426" s="3">
        <v>68.94</v>
      </c>
      <c r="X3426" s="3">
        <v>65.290000000000006</v>
      </c>
      <c r="Y3426" s="3">
        <v>27.99</v>
      </c>
    </row>
    <row r="3427" spans="1:25" ht="60.75" x14ac:dyDescent="0.25">
      <c r="A3427" s="3" t="s">
        <v>26</v>
      </c>
      <c r="B3427" s="3" t="s">
        <v>27</v>
      </c>
      <c r="C3427" s="3" t="s">
        <v>28</v>
      </c>
      <c r="D3427" s="3" t="s">
        <v>50</v>
      </c>
      <c r="E3427" s="3" t="s">
        <v>147</v>
      </c>
      <c r="F3427" s="3" t="s">
        <v>52</v>
      </c>
      <c r="G3427" s="3" t="s">
        <v>147</v>
      </c>
      <c r="H3427" s="3" t="s">
        <v>45</v>
      </c>
      <c r="I3427" s="3">
        <v>2025</v>
      </c>
      <c r="J3427" s="3" t="str">
        <f>CONCATENATE("54820184023")</f>
        <v>54820184023</v>
      </c>
      <c r="K3427" s="3" t="s">
        <v>33</v>
      </c>
      <c r="L3427" s="3"/>
      <c r="M3427" s="3" t="s">
        <v>131</v>
      </c>
      <c r="N3427" s="3" t="str">
        <f>CONCATENATE("LZZFNC63R03L498E")</f>
        <v>LZZFNC63R03L498E</v>
      </c>
      <c r="O3427" s="3" t="s">
        <v>3548</v>
      </c>
      <c r="P3427" s="3" t="s">
        <v>36</v>
      </c>
      <c r="Q3427" s="3"/>
      <c r="R3427" s="4">
        <v>45996</v>
      </c>
      <c r="S3427" s="3" t="s">
        <v>37</v>
      </c>
      <c r="T3427" s="3" t="s">
        <v>38</v>
      </c>
      <c r="U3427" s="3" t="s">
        <v>39</v>
      </c>
      <c r="V3427" s="3">
        <v>162.85</v>
      </c>
      <c r="W3427" s="3">
        <v>69.209999999999994</v>
      </c>
      <c r="X3427" s="3">
        <v>65.55</v>
      </c>
      <c r="Y3427" s="3">
        <v>28.09</v>
      </c>
    </row>
    <row r="3428" spans="1:25" ht="60.75" x14ac:dyDescent="0.25">
      <c r="A3428" s="3" t="s">
        <v>26</v>
      </c>
      <c r="B3428" s="3" t="s">
        <v>27</v>
      </c>
      <c r="C3428" s="3" t="s">
        <v>28</v>
      </c>
      <c r="D3428" s="3" t="s">
        <v>91</v>
      </c>
      <c r="E3428" s="3" t="s">
        <v>151</v>
      </c>
      <c r="F3428" s="3" t="s">
        <v>93</v>
      </c>
      <c r="G3428" s="3" t="s">
        <v>151</v>
      </c>
      <c r="H3428" s="3" t="s">
        <v>45</v>
      </c>
      <c r="I3428" s="3">
        <v>2025</v>
      </c>
      <c r="J3428" s="3" t="str">
        <f>CONCATENATE("54820213806")</f>
        <v>54820213806</v>
      </c>
      <c r="K3428" s="3" t="s">
        <v>33</v>
      </c>
      <c r="L3428" s="3"/>
      <c r="M3428" s="3" t="s">
        <v>131</v>
      </c>
      <c r="N3428" s="3" t="str">
        <f>CONCATENATE("MSCLCU93S03H501K")</f>
        <v>MSCLCU93S03H501K</v>
      </c>
      <c r="O3428" s="3" t="s">
        <v>3549</v>
      </c>
      <c r="P3428" s="3" t="s">
        <v>36</v>
      </c>
      <c r="Q3428" s="3"/>
      <c r="R3428" s="4">
        <v>45996</v>
      </c>
      <c r="S3428" s="3" t="s">
        <v>37</v>
      </c>
      <c r="T3428" s="3" t="s">
        <v>38</v>
      </c>
      <c r="U3428" s="3" t="s">
        <v>39</v>
      </c>
      <c r="V3428" s="3">
        <v>190.08</v>
      </c>
      <c r="W3428" s="3">
        <v>80.78</v>
      </c>
      <c r="X3428" s="3">
        <v>76.510000000000005</v>
      </c>
      <c r="Y3428" s="3">
        <v>32.79</v>
      </c>
    </row>
    <row r="3429" spans="1:25" ht="60.75" x14ac:dyDescent="0.25">
      <c r="A3429" s="3" t="s">
        <v>26</v>
      </c>
      <c r="B3429" s="3" t="s">
        <v>27</v>
      </c>
      <c r="C3429" s="3" t="s">
        <v>28</v>
      </c>
      <c r="D3429" s="3" t="s">
        <v>50</v>
      </c>
      <c r="E3429" s="3" t="s">
        <v>60</v>
      </c>
      <c r="F3429" s="3" t="s">
        <v>52</v>
      </c>
      <c r="G3429" s="3" t="s">
        <v>60</v>
      </c>
      <c r="H3429" s="3" t="s">
        <v>45</v>
      </c>
      <c r="I3429" s="3">
        <v>2025</v>
      </c>
      <c r="J3429" s="3" t="str">
        <f>CONCATENATE("54820243613")</f>
        <v>54820243613</v>
      </c>
      <c r="K3429" s="3" t="s">
        <v>33</v>
      </c>
      <c r="L3429" s="3"/>
      <c r="M3429" s="3" t="s">
        <v>131</v>
      </c>
      <c r="N3429" s="3" t="str">
        <f>CONCATENATE("RCNGLI56C09B636X")</f>
        <v>RCNGLI56C09B636X</v>
      </c>
      <c r="O3429" s="3" t="s">
        <v>3550</v>
      </c>
      <c r="P3429" s="3" t="s">
        <v>36</v>
      </c>
      <c r="Q3429" s="3"/>
      <c r="R3429" s="4">
        <v>45996</v>
      </c>
      <c r="S3429" s="3" t="s">
        <v>37</v>
      </c>
      <c r="T3429" s="3" t="s">
        <v>38</v>
      </c>
      <c r="U3429" s="3" t="s">
        <v>39</v>
      </c>
      <c r="V3429" s="3">
        <v>931.7</v>
      </c>
      <c r="W3429" s="3">
        <v>395.97</v>
      </c>
      <c r="X3429" s="3">
        <v>375.01</v>
      </c>
      <c r="Y3429" s="3">
        <v>160.72</v>
      </c>
    </row>
    <row r="3430" spans="1:25" ht="60.75" x14ac:dyDescent="0.25">
      <c r="A3430" s="3" t="s">
        <v>26</v>
      </c>
      <c r="B3430" s="3" t="s">
        <v>27</v>
      </c>
      <c r="C3430" s="3" t="s">
        <v>28</v>
      </c>
      <c r="D3430" s="3" t="s">
        <v>29</v>
      </c>
      <c r="E3430" s="3" t="s">
        <v>56</v>
      </c>
      <c r="F3430" s="3" t="s">
        <v>31</v>
      </c>
      <c r="G3430" s="3" t="s">
        <v>56</v>
      </c>
      <c r="H3430" s="3" t="s">
        <v>32</v>
      </c>
      <c r="I3430" s="3">
        <v>2025</v>
      </c>
      <c r="J3430" s="3" t="str">
        <f>CONCATENATE("54820271432")</f>
        <v>54820271432</v>
      </c>
      <c r="K3430" s="3" t="s">
        <v>33</v>
      </c>
      <c r="L3430" s="3"/>
      <c r="M3430" s="3" t="s">
        <v>131</v>
      </c>
      <c r="N3430" s="3" t="str">
        <f>CONCATENATE("LVRNGL35E12C773C")</f>
        <v>LVRNGL35E12C773C</v>
      </c>
      <c r="O3430" s="3" t="s">
        <v>3551</v>
      </c>
      <c r="P3430" s="3" t="s">
        <v>36</v>
      </c>
      <c r="Q3430" s="3"/>
      <c r="R3430" s="4">
        <v>45996</v>
      </c>
      <c r="S3430" s="3" t="s">
        <v>37</v>
      </c>
      <c r="T3430" s="3" t="s">
        <v>38</v>
      </c>
      <c r="U3430" s="3" t="s">
        <v>39</v>
      </c>
      <c r="V3430" s="3">
        <v>910.08</v>
      </c>
      <c r="W3430" s="3">
        <v>386.78</v>
      </c>
      <c r="X3430" s="3">
        <v>366.31</v>
      </c>
      <c r="Y3430" s="3">
        <v>156.99</v>
      </c>
    </row>
    <row r="3431" spans="1:25" ht="60.75" x14ac:dyDescent="0.25">
      <c r="A3431" s="3" t="s">
        <v>26</v>
      </c>
      <c r="B3431" s="3" t="s">
        <v>27</v>
      </c>
      <c r="C3431" s="3" t="s">
        <v>28</v>
      </c>
      <c r="D3431" s="3" t="s">
        <v>91</v>
      </c>
      <c r="E3431" s="3" t="s">
        <v>522</v>
      </c>
      <c r="F3431" s="3" t="s">
        <v>93</v>
      </c>
      <c r="G3431" s="3" t="s">
        <v>522</v>
      </c>
      <c r="H3431" s="3" t="s">
        <v>32</v>
      </c>
      <c r="I3431" s="3">
        <v>2025</v>
      </c>
      <c r="J3431" s="3" t="str">
        <f>CONCATENATE("54820279120")</f>
        <v>54820279120</v>
      </c>
      <c r="K3431" s="3" t="s">
        <v>33</v>
      </c>
      <c r="L3431" s="3"/>
      <c r="M3431" s="3" t="s">
        <v>131</v>
      </c>
      <c r="N3431" s="3" t="str">
        <f>CONCATENATE("JRGSRH79E64H501A")</f>
        <v>JRGSRH79E64H501A</v>
      </c>
      <c r="O3431" s="3" t="s">
        <v>3552</v>
      </c>
      <c r="P3431" s="3" t="s">
        <v>36</v>
      </c>
      <c r="Q3431" s="3"/>
      <c r="R3431" s="4">
        <v>45996</v>
      </c>
      <c r="S3431" s="3" t="s">
        <v>37</v>
      </c>
      <c r="T3431" s="3" t="s">
        <v>38</v>
      </c>
      <c r="U3431" s="3" t="s">
        <v>39</v>
      </c>
      <c r="V3431" s="3">
        <v>183.16</v>
      </c>
      <c r="W3431" s="3">
        <v>77.84</v>
      </c>
      <c r="X3431" s="3">
        <v>73.72</v>
      </c>
      <c r="Y3431" s="3">
        <v>31.6</v>
      </c>
    </row>
    <row r="3432" spans="1:25" ht="72.75" x14ac:dyDescent="0.25">
      <c r="A3432" s="3" t="s">
        <v>26</v>
      </c>
      <c r="B3432" s="3" t="s">
        <v>27</v>
      </c>
      <c r="C3432" s="3" t="s">
        <v>28</v>
      </c>
      <c r="D3432" s="3" t="s">
        <v>91</v>
      </c>
      <c r="E3432" s="3" t="s">
        <v>151</v>
      </c>
      <c r="F3432" s="3" t="s">
        <v>93</v>
      </c>
      <c r="G3432" s="3" t="s">
        <v>151</v>
      </c>
      <c r="H3432" s="3" t="s">
        <v>45</v>
      </c>
      <c r="I3432" s="3">
        <v>2025</v>
      </c>
      <c r="J3432" s="3" t="str">
        <f>CONCATENATE("54820239652")</f>
        <v>54820239652</v>
      </c>
      <c r="K3432" s="3" t="s">
        <v>33</v>
      </c>
      <c r="L3432" s="3"/>
      <c r="M3432" s="3" t="s">
        <v>131</v>
      </c>
      <c r="N3432" s="3" t="str">
        <f>CONCATENATE("SNTLCU37A21B352G")</f>
        <v>SNTLCU37A21B352G</v>
      </c>
      <c r="O3432" s="3" t="s">
        <v>3553</v>
      </c>
      <c r="P3432" s="3" t="s">
        <v>36</v>
      </c>
      <c r="Q3432" s="3"/>
      <c r="R3432" s="4">
        <v>45996</v>
      </c>
      <c r="S3432" s="3" t="s">
        <v>37</v>
      </c>
      <c r="T3432" s="3" t="s">
        <v>38</v>
      </c>
      <c r="U3432" s="3" t="s">
        <v>39</v>
      </c>
      <c r="V3432" s="3">
        <v>750.24</v>
      </c>
      <c r="W3432" s="3">
        <v>318.85000000000002</v>
      </c>
      <c r="X3432" s="3">
        <v>301.97000000000003</v>
      </c>
      <c r="Y3432" s="3">
        <v>129.41999999999999</v>
      </c>
    </row>
    <row r="3433" spans="1:25" ht="36.75" x14ac:dyDescent="0.25">
      <c r="A3433" s="3" t="s">
        <v>26</v>
      </c>
      <c r="B3433" s="3" t="s">
        <v>27</v>
      </c>
      <c r="C3433" s="3" t="s">
        <v>28</v>
      </c>
      <c r="D3433" s="3" t="s">
        <v>29</v>
      </c>
      <c r="E3433" s="3" t="s">
        <v>47</v>
      </c>
      <c r="F3433" s="3" t="s">
        <v>31</v>
      </c>
      <c r="G3433" s="3" t="s">
        <v>47</v>
      </c>
      <c r="H3433" s="3" t="s">
        <v>48</v>
      </c>
      <c r="I3433" s="3">
        <v>2025</v>
      </c>
      <c r="J3433" s="3" t="str">
        <f>CONCATENATE("54820260195")</f>
        <v>54820260195</v>
      </c>
      <c r="K3433" s="3" t="s">
        <v>33</v>
      </c>
      <c r="L3433" s="3"/>
      <c r="M3433" s="3" t="s">
        <v>131</v>
      </c>
      <c r="N3433" s="3" t="str">
        <f>CONCATENATE("02701510428")</f>
        <v>02701510428</v>
      </c>
      <c r="O3433" s="3" t="s">
        <v>3554</v>
      </c>
      <c r="P3433" s="3" t="s">
        <v>36</v>
      </c>
      <c r="Q3433" s="3"/>
      <c r="R3433" s="4">
        <v>45996</v>
      </c>
      <c r="S3433" s="3" t="s">
        <v>37</v>
      </c>
      <c r="T3433" s="3" t="s">
        <v>38</v>
      </c>
      <c r="U3433" s="3" t="s">
        <v>39</v>
      </c>
      <c r="V3433" s="5">
        <v>1118.67</v>
      </c>
      <c r="W3433" s="3">
        <v>475.43</v>
      </c>
      <c r="X3433" s="3">
        <v>450.26</v>
      </c>
      <c r="Y3433" s="3">
        <v>192.98</v>
      </c>
    </row>
    <row r="3434" spans="1:25" ht="60.75" x14ac:dyDescent="0.25">
      <c r="A3434" s="3" t="s">
        <v>26</v>
      </c>
      <c r="B3434" s="3" t="s">
        <v>27</v>
      </c>
      <c r="C3434" s="3" t="s">
        <v>28</v>
      </c>
      <c r="D3434" s="3" t="s">
        <v>29</v>
      </c>
      <c r="E3434" s="3" t="s">
        <v>47</v>
      </c>
      <c r="F3434" s="3" t="s">
        <v>31</v>
      </c>
      <c r="G3434" s="3" t="s">
        <v>47</v>
      </c>
      <c r="H3434" s="3" t="s">
        <v>48</v>
      </c>
      <c r="I3434" s="3">
        <v>2025</v>
      </c>
      <c r="J3434" s="3" t="str">
        <f>CONCATENATE("54820274832")</f>
        <v>54820274832</v>
      </c>
      <c r="K3434" s="3" t="s">
        <v>33</v>
      </c>
      <c r="L3434" s="3"/>
      <c r="M3434" s="3" t="s">
        <v>131</v>
      </c>
      <c r="N3434" s="3" t="str">
        <f>CONCATENATE("FRRMLL47D62I653E")</f>
        <v>FRRMLL47D62I653E</v>
      </c>
      <c r="O3434" s="3" t="s">
        <v>3555</v>
      </c>
      <c r="P3434" s="3" t="s">
        <v>36</v>
      </c>
      <c r="Q3434" s="3"/>
      <c r="R3434" s="4">
        <v>45996</v>
      </c>
      <c r="S3434" s="3" t="s">
        <v>37</v>
      </c>
      <c r="T3434" s="3" t="s">
        <v>38</v>
      </c>
      <c r="U3434" s="3" t="s">
        <v>39</v>
      </c>
      <c r="V3434" s="3">
        <v>470.11</v>
      </c>
      <c r="W3434" s="3">
        <v>199.8</v>
      </c>
      <c r="X3434" s="3">
        <v>189.22</v>
      </c>
      <c r="Y3434" s="3">
        <v>81.09</v>
      </c>
    </row>
    <row r="3435" spans="1:25" ht="60.75" x14ac:dyDescent="0.25">
      <c r="A3435" s="3" t="s">
        <v>26</v>
      </c>
      <c r="B3435" s="3" t="s">
        <v>27</v>
      </c>
      <c r="C3435" s="3" t="s">
        <v>28</v>
      </c>
      <c r="D3435" s="3" t="s">
        <v>91</v>
      </c>
      <c r="E3435" s="3" t="s">
        <v>151</v>
      </c>
      <c r="F3435" s="3" t="s">
        <v>93</v>
      </c>
      <c r="G3435" s="3" t="s">
        <v>151</v>
      </c>
      <c r="H3435" s="3" t="s">
        <v>45</v>
      </c>
      <c r="I3435" s="3">
        <v>2025</v>
      </c>
      <c r="J3435" s="3" t="str">
        <f>CONCATENATE("54820322730")</f>
        <v>54820322730</v>
      </c>
      <c r="K3435" s="3" t="s">
        <v>33</v>
      </c>
      <c r="L3435" s="3"/>
      <c r="M3435" s="3" t="s">
        <v>131</v>
      </c>
      <c r="N3435" s="3" t="str">
        <f>CONCATENATE("MCCMCL58E02D488X")</f>
        <v>MCCMCL58E02D488X</v>
      </c>
      <c r="O3435" s="3" t="s">
        <v>3556</v>
      </c>
      <c r="P3435" s="3" t="s">
        <v>36</v>
      </c>
      <c r="Q3435" s="3"/>
      <c r="R3435" s="4">
        <v>45996</v>
      </c>
      <c r="S3435" s="3" t="s">
        <v>37</v>
      </c>
      <c r="T3435" s="3" t="s">
        <v>38</v>
      </c>
      <c r="U3435" s="3" t="s">
        <v>39</v>
      </c>
      <c r="V3435" s="3">
        <v>252.11</v>
      </c>
      <c r="W3435" s="3">
        <v>107.15</v>
      </c>
      <c r="X3435" s="3">
        <v>101.47</v>
      </c>
      <c r="Y3435" s="3">
        <v>43.49</v>
      </c>
    </row>
    <row r="3436" spans="1:25" ht="60.75" x14ac:dyDescent="0.25">
      <c r="A3436" s="3" t="s">
        <v>26</v>
      </c>
      <c r="B3436" s="3" t="s">
        <v>27</v>
      </c>
      <c r="C3436" s="3" t="s">
        <v>28</v>
      </c>
      <c r="D3436" s="3" t="s">
        <v>29</v>
      </c>
      <c r="E3436" s="3" t="s">
        <v>119</v>
      </c>
      <c r="F3436" s="3" t="s">
        <v>31</v>
      </c>
      <c r="G3436" s="3" t="s">
        <v>119</v>
      </c>
      <c r="H3436" s="3" t="s">
        <v>96</v>
      </c>
      <c r="I3436" s="3">
        <v>2025</v>
      </c>
      <c r="J3436" s="3" t="str">
        <f>CONCATENATE("54820009006")</f>
        <v>54820009006</v>
      </c>
      <c r="K3436" s="3" t="s">
        <v>33</v>
      </c>
      <c r="L3436" s="3"/>
      <c r="M3436" s="3" t="s">
        <v>131</v>
      </c>
      <c r="N3436" s="3" t="str">
        <f>CONCATENATE("NTLMCL33C42A760P")</f>
        <v>NTLMCL33C42A760P</v>
      </c>
      <c r="O3436" s="3" t="s">
        <v>3557</v>
      </c>
      <c r="P3436" s="3" t="s">
        <v>36</v>
      </c>
      <c r="Q3436" s="3"/>
      <c r="R3436" s="4">
        <v>45996</v>
      </c>
      <c r="S3436" s="3" t="s">
        <v>37</v>
      </c>
      <c r="T3436" s="3" t="s">
        <v>38</v>
      </c>
      <c r="U3436" s="3" t="s">
        <v>39</v>
      </c>
      <c r="V3436" s="3">
        <v>47.14</v>
      </c>
      <c r="W3436" s="3">
        <v>20.03</v>
      </c>
      <c r="X3436" s="3">
        <v>18.97</v>
      </c>
      <c r="Y3436" s="3">
        <v>8.14</v>
      </c>
    </row>
    <row r="3437" spans="1:25" ht="72.75" x14ac:dyDescent="0.25">
      <c r="A3437" s="3" t="s">
        <v>26</v>
      </c>
      <c r="B3437" s="3" t="s">
        <v>27</v>
      </c>
      <c r="C3437" s="3" t="s">
        <v>28</v>
      </c>
      <c r="D3437" s="3" t="s">
        <v>40</v>
      </c>
      <c r="E3437" s="3" t="s">
        <v>287</v>
      </c>
      <c r="F3437" s="3" t="s">
        <v>42</v>
      </c>
      <c r="G3437" s="3" t="s">
        <v>287</v>
      </c>
      <c r="H3437" s="3" t="s">
        <v>32</v>
      </c>
      <c r="I3437" s="3">
        <v>2025</v>
      </c>
      <c r="J3437" s="3" t="str">
        <f>CONCATENATE("54820016464")</f>
        <v>54820016464</v>
      </c>
      <c r="K3437" s="3" t="s">
        <v>33</v>
      </c>
      <c r="L3437" s="3"/>
      <c r="M3437" s="3" t="s">
        <v>131</v>
      </c>
      <c r="N3437" s="3" t="str">
        <f>CONCATENATE("MRNMRC79L07B474U")</f>
        <v>MRNMRC79L07B474U</v>
      </c>
      <c r="O3437" s="3" t="s">
        <v>3558</v>
      </c>
      <c r="P3437" s="3" t="s">
        <v>36</v>
      </c>
      <c r="Q3437" s="3"/>
      <c r="R3437" s="4">
        <v>45996</v>
      </c>
      <c r="S3437" s="3" t="s">
        <v>37</v>
      </c>
      <c r="T3437" s="3" t="s">
        <v>38</v>
      </c>
      <c r="U3437" s="3" t="s">
        <v>39</v>
      </c>
      <c r="V3437" s="3">
        <v>52.59</v>
      </c>
      <c r="W3437" s="3">
        <v>22.35</v>
      </c>
      <c r="X3437" s="3">
        <v>21.17</v>
      </c>
      <c r="Y3437" s="3">
        <v>9.07</v>
      </c>
    </row>
    <row r="3438" spans="1:25" ht="72.75" x14ac:dyDescent="0.25">
      <c r="A3438" s="3" t="s">
        <v>26</v>
      </c>
      <c r="B3438" s="3" t="s">
        <v>27</v>
      </c>
      <c r="C3438" s="3" t="s">
        <v>28</v>
      </c>
      <c r="D3438" s="3" t="s">
        <v>40</v>
      </c>
      <c r="E3438" s="3" t="s">
        <v>287</v>
      </c>
      <c r="F3438" s="3" t="s">
        <v>42</v>
      </c>
      <c r="G3438" s="3" t="s">
        <v>287</v>
      </c>
      <c r="H3438" s="3" t="s">
        <v>32</v>
      </c>
      <c r="I3438" s="3">
        <v>2025</v>
      </c>
      <c r="J3438" s="3" t="str">
        <f>CONCATENATE("54820016795")</f>
        <v>54820016795</v>
      </c>
      <c r="K3438" s="3" t="s">
        <v>33</v>
      </c>
      <c r="L3438" s="3"/>
      <c r="M3438" s="3" t="s">
        <v>131</v>
      </c>
      <c r="N3438" s="3" t="str">
        <f>CONCATENATE("PCCGLG39D25B474M")</f>
        <v>PCCGLG39D25B474M</v>
      </c>
      <c r="O3438" s="3" t="s">
        <v>3559</v>
      </c>
      <c r="P3438" s="3" t="s">
        <v>36</v>
      </c>
      <c r="Q3438" s="3"/>
      <c r="R3438" s="4">
        <v>45996</v>
      </c>
      <c r="S3438" s="3" t="s">
        <v>37</v>
      </c>
      <c r="T3438" s="3" t="s">
        <v>38</v>
      </c>
      <c r="U3438" s="3" t="s">
        <v>39</v>
      </c>
      <c r="V3438" s="3">
        <v>82.51</v>
      </c>
      <c r="W3438" s="3">
        <v>35.07</v>
      </c>
      <c r="X3438" s="3">
        <v>33.21</v>
      </c>
      <c r="Y3438" s="3">
        <v>14.23</v>
      </c>
    </row>
    <row r="3439" spans="1:25" ht="60.75" x14ac:dyDescent="0.25">
      <c r="A3439" s="3" t="s">
        <v>26</v>
      </c>
      <c r="B3439" s="3" t="s">
        <v>27</v>
      </c>
      <c r="C3439" s="3" t="s">
        <v>28</v>
      </c>
      <c r="D3439" s="3" t="s">
        <v>29</v>
      </c>
      <c r="E3439" s="3" t="s">
        <v>80</v>
      </c>
      <c r="F3439" s="3" t="s">
        <v>31</v>
      </c>
      <c r="G3439" s="3" t="s">
        <v>80</v>
      </c>
      <c r="H3439" s="3" t="s">
        <v>45</v>
      </c>
      <c r="I3439" s="3">
        <v>2025</v>
      </c>
      <c r="J3439" s="3" t="str">
        <f>CONCATENATE("54820025283")</f>
        <v>54820025283</v>
      </c>
      <c r="K3439" s="3" t="s">
        <v>33</v>
      </c>
      <c r="L3439" s="3"/>
      <c r="M3439" s="3" t="s">
        <v>131</v>
      </c>
      <c r="N3439" s="3" t="str">
        <f>CONCATENATE("HNDHRC49L15Z112R")</f>
        <v>HNDHRC49L15Z112R</v>
      </c>
      <c r="O3439" s="3" t="s">
        <v>3560</v>
      </c>
      <c r="P3439" s="3" t="s">
        <v>36</v>
      </c>
      <c r="Q3439" s="3"/>
      <c r="R3439" s="4">
        <v>45996</v>
      </c>
      <c r="S3439" s="3" t="s">
        <v>37</v>
      </c>
      <c r="T3439" s="3" t="s">
        <v>38</v>
      </c>
      <c r="U3439" s="3" t="s">
        <v>39</v>
      </c>
      <c r="V3439" s="3">
        <v>67.41</v>
      </c>
      <c r="W3439" s="3">
        <v>28.65</v>
      </c>
      <c r="X3439" s="3">
        <v>27.13</v>
      </c>
      <c r="Y3439" s="3">
        <v>11.63</v>
      </c>
    </row>
    <row r="3440" spans="1:25" ht="60.75" x14ac:dyDescent="0.25">
      <c r="A3440" s="3" t="s">
        <v>26</v>
      </c>
      <c r="B3440" s="3" t="s">
        <v>27</v>
      </c>
      <c r="C3440" s="3" t="s">
        <v>28</v>
      </c>
      <c r="D3440" s="3" t="s">
        <v>29</v>
      </c>
      <c r="E3440" s="3" t="s">
        <v>208</v>
      </c>
      <c r="F3440" s="3" t="s">
        <v>31</v>
      </c>
      <c r="G3440" s="3" t="s">
        <v>208</v>
      </c>
      <c r="H3440" s="3" t="s">
        <v>45</v>
      </c>
      <c r="I3440" s="3">
        <v>2025</v>
      </c>
      <c r="J3440" s="3" t="str">
        <f>CONCATENATE("54820032149")</f>
        <v>54820032149</v>
      </c>
      <c r="K3440" s="3" t="s">
        <v>33</v>
      </c>
      <c r="L3440" s="3"/>
      <c r="M3440" s="3" t="s">
        <v>131</v>
      </c>
      <c r="N3440" s="3" t="str">
        <f>CONCATENATE("BNDNDR98H26L500P")</f>
        <v>BNDNDR98H26L500P</v>
      </c>
      <c r="O3440" s="3" t="s">
        <v>3561</v>
      </c>
      <c r="P3440" s="3" t="s">
        <v>36</v>
      </c>
      <c r="Q3440" s="3"/>
      <c r="R3440" s="4">
        <v>45996</v>
      </c>
      <c r="S3440" s="3" t="s">
        <v>37</v>
      </c>
      <c r="T3440" s="3" t="s">
        <v>38</v>
      </c>
      <c r="U3440" s="3" t="s">
        <v>39</v>
      </c>
      <c r="V3440" s="3">
        <v>382.99</v>
      </c>
      <c r="W3440" s="3">
        <v>162.77000000000001</v>
      </c>
      <c r="X3440" s="3">
        <v>154.15</v>
      </c>
      <c r="Y3440" s="3">
        <v>66.069999999999993</v>
      </c>
    </row>
    <row r="3441" spans="1:25" ht="60.75" x14ac:dyDescent="0.25">
      <c r="A3441" s="3" t="s">
        <v>26</v>
      </c>
      <c r="B3441" s="3" t="s">
        <v>27</v>
      </c>
      <c r="C3441" s="3" t="s">
        <v>28</v>
      </c>
      <c r="D3441" s="3" t="s">
        <v>29</v>
      </c>
      <c r="E3441" s="3" t="s">
        <v>136</v>
      </c>
      <c r="F3441" s="3" t="s">
        <v>31</v>
      </c>
      <c r="G3441" s="3" t="s">
        <v>136</v>
      </c>
      <c r="H3441" s="3" t="s">
        <v>48</v>
      </c>
      <c r="I3441" s="3">
        <v>2025</v>
      </c>
      <c r="J3441" s="3" t="str">
        <f>CONCATENATE("54820019948")</f>
        <v>54820019948</v>
      </c>
      <c r="K3441" s="3" t="s">
        <v>33</v>
      </c>
      <c r="L3441" s="3"/>
      <c r="M3441" s="3" t="s">
        <v>131</v>
      </c>
      <c r="N3441" s="3" t="str">
        <f>CONCATENATE("LGINGL40A30I461B")</f>
        <v>LGINGL40A30I461B</v>
      </c>
      <c r="O3441" s="3" t="s">
        <v>3562</v>
      </c>
      <c r="P3441" s="3" t="s">
        <v>36</v>
      </c>
      <c r="Q3441" s="3"/>
      <c r="R3441" s="4">
        <v>45996</v>
      </c>
      <c r="S3441" s="3" t="s">
        <v>37</v>
      </c>
      <c r="T3441" s="3" t="s">
        <v>38</v>
      </c>
      <c r="U3441" s="3" t="s">
        <v>39</v>
      </c>
      <c r="V3441" s="3">
        <v>181.61</v>
      </c>
      <c r="W3441" s="3">
        <v>77.180000000000007</v>
      </c>
      <c r="X3441" s="3">
        <v>73.099999999999994</v>
      </c>
      <c r="Y3441" s="3">
        <v>31.33</v>
      </c>
    </row>
    <row r="3442" spans="1:25" ht="36.75" x14ac:dyDescent="0.25">
      <c r="A3442" s="3" t="s">
        <v>26</v>
      </c>
      <c r="B3442" s="3" t="s">
        <v>27</v>
      </c>
      <c r="C3442" s="3" t="s">
        <v>28</v>
      </c>
      <c r="D3442" s="3" t="s">
        <v>40</v>
      </c>
      <c r="E3442" s="3" t="s">
        <v>54</v>
      </c>
      <c r="F3442" s="3" t="s">
        <v>42</v>
      </c>
      <c r="G3442" s="3" t="s">
        <v>54</v>
      </c>
      <c r="H3442" s="3" t="s">
        <v>45</v>
      </c>
      <c r="I3442" s="3">
        <v>2025</v>
      </c>
      <c r="J3442" s="3" t="str">
        <f>CONCATENATE("54820049234")</f>
        <v>54820049234</v>
      </c>
      <c r="K3442" s="3" t="s">
        <v>33</v>
      </c>
      <c r="L3442" s="3"/>
      <c r="M3442" s="3" t="s">
        <v>131</v>
      </c>
      <c r="N3442" s="3" t="str">
        <f>CONCATENATE("02269760415")</f>
        <v>02269760415</v>
      </c>
      <c r="O3442" s="3" t="s">
        <v>3563</v>
      </c>
      <c r="P3442" s="3" t="s">
        <v>36</v>
      </c>
      <c r="Q3442" s="3"/>
      <c r="R3442" s="4">
        <v>45996</v>
      </c>
      <c r="S3442" s="3" t="s">
        <v>37</v>
      </c>
      <c r="T3442" s="3" t="s">
        <v>38</v>
      </c>
      <c r="U3442" s="3" t="s">
        <v>39</v>
      </c>
      <c r="V3442" s="3">
        <v>195.02</v>
      </c>
      <c r="W3442" s="3">
        <v>82.88</v>
      </c>
      <c r="X3442" s="3">
        <v>78.5</v>
      </c>
      <c r="Y3442" s="3">
        <v>33.64</v>
      </c>
    </row>
    <row r="3443" spans="1:25" ht="60.75" x14ac:dyDescent="0.25">
      <c r="A3443" s="3" t="s">
        <v>26</v>
      </c>
      <c r="B3443" s="3" t="s">
        <v>27</v>
      </c>
      <c r="C3443" s="3" t="s">
        <v>28</v>
      </c>
      <c r="D3443" s="3" t="s">
        <v>50</v>
      </c>
      <c r="E3443" s="3" t="s">
        <v>173</v>
      </c>
      <c r="F3443" s="3" t="s">
        <v>52</v>
      </c>
      <c r="G3443" s="3" t="s">
        <v>173</v>
      </c>
      <c r="H3443" s="3" t="s">
        <v>45</v>
      </c>
      <c r="I3443" s="3">
        <v>2025</v>
      </c>
      <c r="J3443" s="3" t="str">
        <f>CONCATENATE("54820023205")</f>
        <v>54820023205</v>
      </c>
      <c r="K3443" s="3" t="s">
        <v>33</v>
      </c>
      <c r="L3443" s="3"/>
      <c r="M3443" s="3" t="s">
        <v>131</v>
      </c>
      <c r="N3443" s="3" t="str">
        <f>CONCATENATE("CMLMRA37L55L078L")</f>
        <v>CMLMRA37L55L078L</v>
      </c>
      <c r="O3443" s="3" t="s">
        <v>3564</v>
      </c>
      <c r="P3443" s="3" t="s">
        <v>36</v>
      </c>
      <c r="Q3443" s="3"/>
      <c r="R3443" s="4">
        <v>45996</v>
      </c>
      <c r="S3443" s="3" t="s">
        <v>37</v>
      </c>
      <c r="T3443" s="3" t="s">
        <v>38</v>
      </c>
      <c r="U3443" s="3" t="s">
        <v>39</v>
      </c>
      <c r="V3443" s="3">
        <v>186.73</v>
      </c>
      <c r="W3443" s="3">
        <v>79.36</v>
      </c>
      <c r="X3443" s="3">
        <v>75.16</v>
      </c>
      <c r="Y3443" s="3">
        <v>32.21</v>
      </c>
    </row>
    <row r="3444" spans="1:25" ht="60.75" x14ac:dyDescent="0.25">
      <c r="A3444" s="3" t="s">
        <v>26</v>
      </c>
      <c r="B3444" s="3" t="s">
        <v>27</v>
      </c>
      <c r="C3444" s="3" t="s">
        <v>28</v>
      </c>
      <c r="D3444" s="3" t="s">
        <v>29</v>
      </c>
      <c r="E3444" s="3" t="s">
        <v>186</v>
      </c>
      <c r="F3444" s="3" t="s">
        <v>31</v>
      </c>
      <c r="G3444" s="3" t="s">
        <v>186</v>
      </c>
      <c r="H3444" s="3" t="s">
        <v>45</v>
      </c>
      <c r="I3444" s="3">
        <v>2025</v>
      </c>
      <c r="J3444" s="3" t="str">
        <f>CONCATENATE("54820025663")</f>
        <v>54820025663</v>
      </c>
      <c r="K3444" s="3" t="s">
        <v>33</v>
      </c>
      <c r="L3444" s="3"/>
      <c r="M3444" s="3" t="s">
        <v>131</v>
      </c>
      <c r="N3444" s="3" t="str">
        <f>CONCATENATE("FBBGZN53S08I681E")</f>
        <v>FBBGZN53S08I681E</v>
      </c>
      <c r="O3444" s="3" t="s">
        <v>3565</v>
      </c>
      <c r="P3444" s="3" t="s">
        <v>36</v>
      </c>
      <c r="Q3444" s="3"/>
      <c r="R3444" s="4">
        <v>45996</v>
      </c>
      <c r="S3444" s="3" t="s">
        <v>37</v>
      </c>
      <c r="T3444" s="3" t="s">
        <v>38</v>
      </c>
      <c r="U3444" s="3" t="s">
        <v>39</v>
      </c>
      <c r="V3444" s="3">
        <v>563.12</v>
      </c>
      <c r="W3444" s="3">
        <v>239.33</v>
      </c>
      <c r="X3444" s="3">
        <v>226.66</v>
      </c>
      <c r="Y3444" s="3">
        <v>97.13</v>
      </c>
    </row>
    <row r="3445" spans="1:25" ht="72.75" x14ac:dyDescent="0.25">
      <c r="A3445" s="3" t="s">
        <v>26</v>
      </c>
      <c r="B3445" s="3" t="s">
        <v>27</v>
      </c>
      <c r="C3445" s="3" t="s">
        <v>28</v>
      </c>
      <c r="D3445" s="3" t="s">
        <v>50</v>
      </c>
      <c r="E3445" s="3" t="s">
        <v>173</v>
      </c>
      <c r="F3445" s="3" t="s">
        <v>52</v>
      </c>
      <c r="G3445" s="3" t="s">
        <v>173</v>
      </c>
      <c r="H3445" s="3" t="s">
        <v>45</v>
      </c>
      <c r="I3445" s="3">
        <v>2025</v>
      </c>
      <c r="J3445" s="3" t="str">
        <f>CONCATENATE("54820036231")</f>
        <v>54820036231</v>
      </c>
      <c r="K3445" s="3" t="s">
        <v>33</v>
      </c>
      <c r="L3445" s="3"/>
      <c r="M3445" s="3" t="s">
        <v>131</v>
      </c>
      <c r="N3445" s="3" t="str">
        <f>CONCATENATE("SCHMRN60M45F478Y")</f>
        <v>SCHMRN60M45F478Y</v>
      </c>
      <c r="O3445" s="3" t="s">
        <v>3566</v>
      </c>
      <c r="P3445" s="3" t="s">
        <v>36</v>
      </c>
      <c r="Q3445" s="3"/>
      <c r="R3445" s="4">
        <v>45996</v>
      </c>
      <c r="S3445" s="3" t="s">
        <v>37</v>
      </c>
      <c r="T3445" s="3" t="s">
        <v>38</v>
      </c>
      <c r="U3445" s="3" t="s">
        <v>39</v>
      </c>
      <c r="V3445" s="3">
        <v>158.72999999999999</v>
      </c>
      <c r="W3445" s="3">
        <v>67.459999999999994</v>
      </c>
      <c r="X3445" s="3">
        <v>63.89</v>
      </c>
      <c r="Y3445" s="3">
        <v>27.38</v>
      </c>
    </row>
    <row r="3446" spans="1:25" ht="60.75" x14ac:dyDescent="0.25">
      <c r="A3446" s="3" t="s">
        <v>26</v>
      </c>
      <c r="B3446" s="3" t="s">
        <v>27</v>
      </c>
      <c r="C3446" s="3" t="s">
        <v>28</v>
      </c>
      <c r="D3446" s="3" t="s">
        <v>104</v>
      </c>
      <c r="E3446" s="3" t="s">
        <v>268</v>
      </c>
      <c r="F3446" s="3" t="s">
        <v>104</v>
      </c>
      <c r="G3446" s="3" t="s">
        <v>268</v>
      </c>
      <c r="H3446" s="3" t="s">
        <v>32</v>
      </c>
      <c r="I3446" s="3">
        <v>2025</v>
      </c>
      <c r="J3446" s="3" t="str">
        <f>CONCATENATE("54820019773")</f>
        <v>54820019773</v>
      </c>
      <c r="K3446" s="3" t="s">
        <v>33</v>
      </c>
      <c r="L3446" s="3"/>
      <c r="M3446" s="3" t="s">
        <v>131</v>
      </c>
      <c r="N3446" s="3" t="str">
        <f>CONCATENATE("VLINMR71L46I436I")</f>
        <v>VLINMR71L46I436I</v>
      </c>
      <c r="O3446" s="3" t="s">
        <v>3567</v>
      </c>
      <c r="P3446" s="3" t="s">
        <v>36</v>
      </c>
      <c r="Q3446" s="3"/>
      <c r="R3446" s="4">
        <v>45996</v>
      </c>
      <c r="S3446" s="3" t="s">
        <v>37</v>
      </c>
      <c r="T3446" s="3" t="s">
        <v>38</v>
      </c>
      <c r="U3446" s="3" t="s">
        <v>39</v>
      </c>
      <c r="V3446" s="3">
        <v>141.69</v>
      </c>
      <c r="W3446" s="3">
        <v>60.22</v>
      </c>
      <c r="X3446" s="3">
        <v>57.03</v>
      </c>
      <c r="Y3446" s="3">
        <v>24.44</v>
      </c>
    </row>
    <row r="3447" spans="1:25" ht="60.75" x14ac:dyDescent="0.25">
      <c r="A3447" s="3" t="s">
        <v>26</v>
      </c>
      <c r="B3447" s="3" t="s">
        <v>27</v>
      </c>
      <c r="C3447" s="3" t="s">
        <v>28</v>
      </c>
      <c r="D3447" s="3" t="s">
        <v>29</v>
      </c>
      <c r="E3447" s="3" t="s">
        <v>186</v>
      </c>
      <c r="F3447" s="3" t="s">
        <v>31</v>
      </c>
      <c r="G3447" s="3" t="s">
        <v>186</v>
      </c>
      <c r="H3447" s="3" t="s">
        <v>45</v>
      </c>
      <c r="I3447" s="3">
        <v>2025</v>
      </c>
      <c r="J3447" s="3" t="str">
        <f>CONCATENATE("54820028337")</f>
        <v>54820028337</v>
      </c>
      <c r="K3447" s="3" t="s">
        <v>33</v>
      </c>
      <c r="L3447" s="3"/>
      <c r="M3447" s="3" t="s">
        <v>131</v>
      </c>
      <c r="N3447" s="3" t="str">
        <f>CONCATENATE("DRMSNT61T42A399T")</f>
        <v>DRMSNT61T42A399T</v>
      </c>
      <c r="O3447" s="3" t="s">
        <v>3568</v>
      </c>
      <c r="P3447" s="3" t="s">
        <v>36</v>
      </c>
      <c r="Q3447" s="3"/>
      <c r="R3447" s="4">
        <v>45996</v>
      </c>
      <c r="S3447" s="3" t="s">
        <v>37</v>
      </c>
      <c r="T3447" s="3" t="s">
        <v>38</v>
      </c>
      <c r="U3447" s="3" t="s">
        <v>39</v>
      </c>
      <c r="V3447" s="3">
        <v>66.8</v>
      </c>
      <c r="W3447" s="3">
        <v>28.39</v>
      </c>
      <c r="X3447" s="3">
        <v>26.89</v>
      </c>
      <c r="Y3447" s="3">
        <v>11.52</v>
      </c>
    </row>
    <row r="3448" spans="1:25" ht="36.75" x14ac:dyDescent="0.25">
      <c r="A3448" s="3" t="s">
        <v>26</v>
      </c>
      <c r="B3448" s="3" t="s">
        <v>27</v>
      </c>
      <c r="C3448" s="3" t="s">
        <v>28</v>
      </c>
      <c r="D3448" s="3" t="s">
        <v>29</v>
      </c>
      <c r="E3448" s="3" t="s">
        <v>47</v>
      </c>
      <c r="F3448" s="3" t="s">
        <v>31</v>
      </c>
      <c r="G3448" s="3" t="s">
        <v>47</v>
      </c>
      <c r="H3448" s="3" t="s">
        <v>48</v>
      </c>
      <c r="I3448" s="3">
        <v>2025</v>
      </c>
      <c r="J3448" s="3" t="str">
        <f>CONCATENATE("54820025606")</f>
        <v>54820025606</v>
      </c>
      <c r="K3448" s="3" t="s">
        <v>33</v>
      </c>
      <c r="L3448" s="3"/>
      <c r="M3448" s="3" t="s">
        <v>131</v>
      </c>
      <c r="N3448" s="3" t="str">
        <f>CONCATENATE("01500870421")</f>
        <v>01500870421</v>
      </c>
      <c r="O3448" s="3" t="s">
        <v>3569</v>
      </c>
      <c r="P3448" s="3" t="s">
        <v>36</v>
      </c>
      <c r="Q3448" s="3"/>
      <c r="R3448" s="4">
        <v>45996</v>
      </c>
      <c r="S3448" s="3" t="s">
        <v>37</v>
      </c>
      <c r="T3448" s="3" t="s">
        <v>38</v>
      </c>
      <c r="U3448" s="3" t="s">
        <v>39</v>
      </c>
      <c r="V3448" s="3">
        <v>120.06</v>
      </c>
      <c r="W3448" s="3">
        <v>51.03</v>
      </c>
      <c r="X3448" s="3">
        <v>48.32</v>
      </c>
      <c r="Y3448" s="3">
        <v>20.71</v>
      </c>
    </row>
    <row r="3449" spans="1:25" ht="60.75" x14ac:dyDescent="0.25">
      <c r="A3449" s="3" t="s">
        <v>26</v>
      </c>
      <c r="B3449" s="3" t="s">
        <v>27</v>
      </c>
      <c r="C3449" s="3" t="s">
        <v>28</v>
      </c>
      <c r="D3449" s="3" t="s">
        <v>50</v>
      </c>
      <c r="E3449" s="3" t="s">
        <v>163</v>
      </c>
      <c r="F3449" s="3" t="s">
        <v>52</v>
      </c>
      <c r="G3449" s="3" t="s">
        <v>163</v>
      </c>
      <c r="H3449" s="3" t="s">
        <v>96</v>
      </c>
      <c r="I3449" s="3">
        <v>2025</v>
      </c>
      <c r="J3449" s="3" t="str">
        <f>CONCATENATE("54820265590")</f>
        <v>54820265590</v>
      </c>
      <c r="K3449" s="3" t="s">
        <v>33</v>
      </c>
      <c r="L3449" s="3"/>
      <c r="M3449" s="3" t="s">
        <v>131</v>
      </c>
      <c r="N3449" s="3" t="str">
        <f>CONCATENATE("BNCNTN61E10C935U")</f>
        <v>BNCNTN61E10C935U</v>
      </c>
      <c r="O3449" s="3" t="s">
        <v>3570</v>
      </c>
      <c r="P3449" s="3" t="s">
        <v>36</v>
      </c>
      <c r="Q3449" s="3"/>
      <c r="R3449" s="4">
        <v>45996</v>
      </c>
      <c r="S3449" s="3" t="s">
        <v>37</v>
      </c>
      <c r="T3449" s="3" t="s">
        <v>38</v>
      </c>
      <c r="U3449" s="3" t="s">
        <v>39</v>
      </c>
      <c r="V3449" s="3">
        <v>57.96</v>
      </c>
      <c r="W3449" s="3">
        <v>24.63</v>
      </c>
      <c r="X3449" s="3">
        <v>23.33</v>
      </c>
      <c r="Y3449" s="3">
        <v>10</v>
      </c>
    </row>
    <row r="3450" spans="1:25" ht="60.75" x14ac:dyDescent="0.25">
      <c r="A3450" s="3" t="s">
        <v>26</v>
      </c>
      <c r="B3450" s="3" t="s">
        <v>27</v>
      </c>
      <c r="C3450" s="3" t="s">
        <v>28</v>
      </c>
      <c r="D3450" s="3" t="s">
        <v>29</v>
      </c>
      <c r="E3450" s="3" t="s">
        <v>56</v>
      </c>
      <c r="F3450" s="3" t="s">
        <v>31</v>
      </c>
      <c r="G3450" s="3" t="s">
        <v>56</v>
      </c>
      <c r="H3450" s="3" t="s">
        <v>32</v>
      </c>
      <c r="I3450" s="3">
        <v>2025</v>
      </c>
      <c r="J3450" s="3" t="str">
        <f>CONCATENATE("54820414651")</f>
        <v>54820414651</v>
      </c>
      <c r="K3450" s="3" t="s">
        <v>33</v>
      </c>
      <c r="L3450" s="3"/>
      <c r="M3450" s="3" t="s">
        <v>131</v>
      </c>
      <c r="N3450" s="3" t="str">
        <f>CONCATENATE("GRLGZN54D07I569L")</f>
        <v>GRLGZN54D07I569L</v>
      </c>
      <c r="O3450" s="3" t="s">
        <v>3571</v>
      </c>
      <c r="P3450" s="3" t="s">
        <v>36</v>
      </c>
      <c r="Q3450" s="3"/>
      <c r="R3450" s="4">
        <v>45996</v>
      </c>
      <c r="S3450" s="3" t="s">
        <v>37</v>
      </c>
      <c r="T3450" s="3" t="s">
        <v>38</v>
      </c>
      <c r="U3450" s="3" t="s">
        <v>39</v>
      </c>
      <c r="V3450" s="5">
        <v>1018.47</v>
      </c>
      <c r="W3450" s="3">
        <v>432.85</v>
      </c>
      <c r="X3450" s="3">
        <v>409.93</v>
      </c>
      <c r="Y3450" s="3">
        <v>175.69</v>
      </c>
    </row>
    <row r="3451" spans="1:25" ht="72.75" x14ac:dyDescent="0.25">
      <c r="A3451" s="3" t="s">
        <v>26</v>
      </c>
      <c r="B3451" s="3" t="s">
        <v>27</v>
      </c>
      <c r="C3451" s="3" t="s">
        <v>28</v>
      </c>
      <c r="D3451" s="3" t="s">
        <v>50</v>
      </c>
      <c r="E3451" s="3" t="s">
        <v>60</v>
      </c>
      <c r="F3451" s="3" t="s">
        <v>52</v>
      </c>
      <c r="G3451" s="3" t="s">
        <v>60</v>
      </c>
      <c r="H3451" s="3" t="s">
        <v>45</v>
      </c>
      <c r="I3451" s="3">
        <v>2025</v>
      </c>
      <c r="J3451" s="3" t="str">
        <f>CONCATENATE("54820237359")</f>
        <v>54820237359</v>
      </c>
      <c r="K3451" s="3" t="s">
        <v>33</v>
      </c>
      <c r="L3451" s="3"/>
      <c r="M3451" s="3" t="s">
        <v>131</v>
      </c>
      <c r="N3451" s="3" t="str">
        <f>CONCATENATE("SPRGNS62R13B352A")</f>
        <v>SPRGNS62R13B352A</v>
      </c>
      <c r="O3451" s="3" t="s">
        <v>3572</v>
      </c>
      <c r="P3451" s="3" t="s">
        <v>36</v>
      </c>
      <c r="Q3451" s="3"/>
      <c r="R3451" s="4">
        <v>45996</v>
      </c>
      <c r="S3451" s="3" t="s">
        <v>37</v>
      </c>
      <c r="T3451" s="3" t="s">
        <v>38</v>
      </c>
      <c r="U3451" s="3" t="s">
        <v>39</v>
      </c>
      <c r="V3451" s="3">
        <v>893</v>
      </c>
      <c r="W3451" s="3">
        <v>379.53</v>
      </c>
      <c r="X3451" s="3">
        <v>359.43</v>
      </c>
      <c r="Y3451" s="3">
        <v>154.04</v>
      </c>
    </row>
    <row r="3452" spans="1:25" ht="36.75" x14ac:dyDescent="0.25">
      <c r="A3452" s="3" t="s">
        <v>26</v>
      </c>
      <c r="B3452" s="3" t="s">
        <v>27</v>
      </c>
      <c r="C3452" s="3" t="s">
        <v>28</v>
      </c>
      <c r="D3452" s="3" t="s">
        <v>50</v>
      </c>
      <c r="E3452" s="3" t="s">
        <v>252</v>
      </c>
      <c r="F3452" s="3" t="s">
        <v>52</v>
      </c>
      <c r="G3452" s="3" t="s">
        <v>252</v>
      </c>
      <c r="H3452" s="3" t="s">
        <v>45</v>
      </c>
      <c r="I3452" s="3">
        <v>2025</v>
      </c>
      <c r="J3452" s="3" t="str">
        <f>CONCATENATE("54820188339")</f>
        <v>54820188339</v>
      </c>
      <c r="K3452" s="3" t="s">
        <v>33</v>
      </c>
      <c r="L3452" s="3"/>
      <c r="M3452" s="3" t="s">
        <v>131</v>
      </c>
      <c r="N3452" s="3" t="str">
        <f>CONCATENATE("02791000413")</f>
        <v>02791000413</v>
      </c>
      <c r="O3452" s="3" t="s">
        <v>3573</v>
      </c>
      <c r="P3452" s="3" t="s">
        <v>36</v>
      </c>
      <c r="Q3452" s="3"/>
      <c r="R3452" s="4">
        <v>45996</v>
      </c>
      <c r="S3452" s="3" t="s">
        <v>37</v>
      </c>
      <c r="T3452" s="3" t="s">
        <v>38</v>
      </c>
      <c r="U3452" s="3" t="s">
        <v>39</v>
      </c>
      <c r="V3452" s="3">
        <v>416.85</v>
      </c>
      <c r="W3452" s="3">
        <v>177.16</v>
      </c>
      <c r="X3452" s="3">
        <v>167.78</v>
      </c>
      <c r="Y3452" s="3">
        <v>71.91</v>
      </c>
    </row>
    <row r="3453" spans="1:25" ht="60.75" x14ac:dyDescent="0.25">
      <c r="A3453" s="3" t="s">
        <v>26</v>
      </c>
      <c r="B3453" s="3" t="s">
        <v>27</v>
      </c>
      <c r="C3453" s="3" t="s">
        <v>28</v>
      </c>
      <c r="D3453" s="3" t="s">
        <v>104</v>
      </c>
      <c r="E3453" s="3" t="s">
        <v>141</v>
      </c>
      <c r="F3453" s="3" t="s">
        <v>104</v>
      </c>
      <c r="G3453" s="3" t="s">
        <v>141</v>
      </c>
      <c r="H3453" s="3" t="s">
        <v>96</v>
      </c>
      <c r="I3453" s="3">
        <v>2025</v>
      </c>
      <c r="J3453" s="3" t="str">
        <f>CONCATENATE("54820281241")</f>
        <v>54820281241</v>
      </c>
      <c r="K3453" s="3" t="s">
        <v>33</v>
      </c>
      <c r="L3453" s="3"/>
      <c r="M3453" s="3" t="s">
        <v>131</v>
      </c>
      <c r="N3453" s="3" t="str">
        <f>CONCATENATE("SLNVTI60B26F509B")</f>
        <v>SLNVTI60B26F509B</v>
      </c>
      <c r="O3453" s="3" t="s">
        <v>3574</v>
      </c>
      <c r="P3453" s="3" t="s">
        <v>36</v>
      </c>
      <c r="Q3453" s="3"/>
      <c r="R3453" s="4">
        <v>45996</v>
      </c>
      <c r="S3453" s="3" t="s">
        <v>37</v>
      </c>
      <c r="T3453" s="3" t="s">
        <v>38</v>
      </c>
      <c r="U3453" s="3" t="s">
        <v>39</v>
      </c>
      <c r="V3453" s="3">
        <v>131.04</v>
      </c>
      <c r="W3453" s="3">
        <v>55.69</v>
      </c>
      <c r="X3453" s="3">
        <v>52.74</v>
      </c>
      <c r="Y3453" s="3">
        <v>22.61</v>
      </c>
    </row>
    <row r="3454" spans="1:25" ht="60.75" x14ac:dyDescent="0.25">
      <c r="A3454" s="3" t="s">
        <v>26</v>
      </c>
      <c r="B3454" s="3" t="s">
        <v>27</v>
      </c>
      <c r="C3454" s="3" t="s">
        <v>28</v>
      </c>
      <c r="D3454" s="3" t="s">
        <v>1850</v>
      </c>
      <c r="E3454" s="3" t="s">
        <v>2577</v>
      </c>
      <c r="F3454" s="3" t="s">
        <v>1852</v>
      </c>
      <c r="G3454" s="3" t="s">
        <v>2577</v>
      </c>
      <c r="H3454" s="3" t="s">
        <v>45</v>
      </c>
      <c r="I3454" s="3">
        <v>2025</v>
      </c>
      <c r="J3454" s="3" t="str">
        <f>CONCATENATE("54820264916")</f>
        <v>54820264916</v>
      </c>
      <c r="K3454" s="3" t="s">
        <v>33</v>
      </c>
      <c r="L3454" s="3"/>
      <c r="M3454" s="3" t="s">
        <v>131</v>
      </c>
      <c r="N3454" s="3" t="str">
        <f>CONCATENATE("MRNMTT87L14C573N")</f>
        <v>MRNMTT87L14C573N</v>
      </c>
      <c r="O3454" s="3" t="s">
        <v>3575</v>
      </c>
      <c r="P3454" s="3" t="s">
        <v>36</v>
      </c>
      <c r="Q3454" s="3"/>
      <c r="R3454" s="4">
        <v>45996</v>
      </c>
      <c r="S3454" s="3" t="s">
        <v>37</v>
      </c>
      <c r="T3454" s="3" t="s">
        <v>38</v>
      </c>
      <c r="U3454" s="3" t="s">
        <v>39</v>
      </c>
      <c r="V3454" s="3">
        <v>49.74</v>
      </c>
      <c r="W3454" s="3">
        <v>21.14</v>
      </c>
      <c r="X3454" s="3">
        <v>20.02</v>
      </c>
      <c r="Y3454" s="3">
        <v>8.58</v>
      </c>
    </row>
    <row r="3455" spans="1:25" ht="60.75" x14ac:dyDescent="0.25">
      <c r="A3455" s="3" t="s">
        <v>26</v>
      </c>
      <c r="B3455" s="3" t="s">
        <v>27</v>
      </c>
      <c r="C3455" s="3" t="s">
        <v>28</v>
      </c>
      <c r="D3455" s="3" t="s">
        <v>104</v>
      </c>
      <c r="E3455" s="3" t="s">
        <v>141</v>
      </c>
      <c r="F3455" s="3" t="s">
        <v>104</v>
      </c>
      <c r="G3455" s="3" t="s">
        <v>141</v>
      </c>
      <c r="H3455" s="3" t="s">
        <v>96</v>
      </c>
      <c r="I3455" s="3">
        <v>2025</v>
      </c>
      <c r="J3455" s="3" t="str">
        <f>CONCATENATE("54820282041")</f>
        <v>54820282041</v>
      </c>
      <c r="K3455" s="3" t="s">
        <v>33</v>
      </c>
      <c r="L3455" s="3"/>
      <c r="M3455" s="3" t="s">
        <v>131</v>
      </c>
      <c r="N3455" s="3" t="str">
        <f>CONCATENATE("SNTCCT52R66A044T")</f>
        <v>SNTCCT52R66A044T</v>
      </c>
      <c r="O3455" s="3" t="s">
        <v>3576</v>
      </c>
      <c r="P3455" s="3" t="s">
        <v>36</v>
      </c>
      <c r="Q3455" s="3"/>
      <c r="R3455" s="4">
        <v>45996</v>
      </c>
      <c r="S3455" s="3" t="s">
        <v>37</v>
      </c>
      <c r="T3455" s="3" t="s">
        <v>38</v>
      </c>
      <c r="U3455" s="3" t="s">
        <v>39</v>
      </c>
      <c r="V3455" s="3">
        <v>98.13</v>
      </c>
      <c r="W3455" s="3">
        <v>41.71</v>
      </c>
      <c r="X3455" s="3">
        <v>39.5</v>
      </c>
      <c r="Y3455" s="3">
        <v>16.920000000000002</v>
      </c>
    </row>
    <row r="3456" spans="1:25" ht="60.75" x14ac:dyDescent="0.25">
      <c r="A3456" s="3" t="s">
        <v>26</v>
      </c>
      <c r="B3456" s="3" t="s">
        <v>27</v>
      </c>
      <c r="C3456" s="3" t="s">
        <v>28</v>
      </c>
      <c r="D3456" s="3" t="s">
        <v>50</v>
      </c>
      <c r="E3456" s="3" t="s">
        <v>60</v>
      </c>
      <c r="F3456" s="3" t="s">
        <v>52</v>
      </c>
      <c r="G3456" s="3" t="s">
        <v>60</v>
      </c>
      <c r="H3456" s="3" t="s">
        <v>45</v>
      </c>
      <c r="I3456" s="3">
        <v>2025</v>
      </c>
      <c r="J3456" s="3" t="str">
        <f>CONCATENATE("54820211099")</f>
        <v>54820211099</v>
      </c>
      <c r="K3456" s="3" t="s">
        <v>33</v>
      </c>
      <c r="L3456" s="3"/>
      <c r="M3456" s="3" t="s">
        <v>131</v>
      </c>
      <c r="N3456" s="3" t="str">
        <f>CONCATENATE("NTGLRA64L41H958W")</f>
        <v>NTGLRA64L41H958W</v>
      </c>
      <c r="O3456" s="3" t="s">
        <v>3577</v>
      </c>
      <c r="P3456" s="3" t="s">
        <v>36</v>
      </c>
      <c r="Q3456" s="3"/>
      <c r="R3456" s="4">
        <v>45996</v>
      </c>
      <c r="S3456" s="3" t="s">
        <v>37</v>
      </c>
      <c r="T3456" s="3" t="s">
        <v>38</v>
      </c>
      <c r="U3456" s="3" t="s">
        <v>39</v>
      </c>
      <c r="V3456" s="3">
        <v>402.44</v>
      </c>
      <c r="W3456" s="3">
        <v>171.04</v>
      </c>
      <c r="X3456" s="3">
        <v>161.97999999999999</v>
      </c>
      <c r="Y3456" s="3">
        <v>69.42</v>
      </c>
    </row>
    <row r="3457" spans="1:25" ht="60.75" x14ac:dyDescent="0.25">
      <c r="A3457" s="3" t="s">
        <v>26</v>
      </c>
      <c r="B3457" s="3" t="s">
        <v>27</v>
      </c>
      <c r="C3457" s="3" t="s">
        <v>28</v>
      </c>
      <c r="D3457" s="3" t="s">
        <v>29</v>
      </c>
      <c r="E3457" s="3" t="s">
        <v>47</v>
      </c>
      <c r="F3457" s="3" t="s">
        <v>31</v>
      </c>
      <c r="G3457" s="3" t="s">
        <v>47</v>
      </c>
      <c r="H3457" s="3" t="s">
        <v>48</v>
      </c>
      <c r="I3457" s="3">
        <v>2025</v>
      </c>
      <c r="J3457" s="3" t="str">
        <f>CONCATENATE("54820190988")</f>
        <v>54820190988</v>
      </c>
      <c r="K3457" s="3" t="s">
        <v>33</v>
      </c>
      <c r="L3457" s="3"/>
      <c r="M3457" s="3" t="s">
        <v>131</v>
      </c>
      <c r="N3457" s="3" t="str">
        <f>CONCATENATE("CNTLTT73P47F051B")</f>
        <v>CNTLTT73P47F051B</v>
      </c>
      <c r="O3457" s="3" t="s">
        <v>3578</v>
      </c>
      <c r="P3457" s="3" t="s">
        <v>36</v>
      </c>
      <c r="Q3457" s="3"/>
      <c r="R3457" s="4">
        <v>45996</v>
      </c>
      <c r="S3457" s="3" t="s">
        <v>37</v>
      </c>
      <c r="T3457" s="3" t="s">
        <v>38</v>
      </c>
      <c r="U3457" s="3" t="s">
        <v>39</v>
      </c>
      <c r="V3457" s="3">
        <v>69.599999999999994</v>
      </c>
      <c r="W3457" s="3">
        <v>29.58</v>
      </c>
      <c r="X3457" s="3">
        <v>28.01</v>
      </c>
      <c r="Y3457" s="3">
        <v>12.01</v>
      </c>
    </row>
    <row r="3458" spans="1:25" ht="36.75" x14ac:dyDescent="0.25">
      <c r="A3458" s="3" t="s">
        <v>26</v>
      </c>
      <c r="B3458" s="3" t="s">
        <v>27</v>
      </c>
      <c r="C3458" s="3" t="s">
        <v>28</v>
      </c>
      <c r="D3458" s="3" t="s">
        <v>29</v>
      </c>
      <c r="E3458" s="3" t="s">
        <v>47</v>
      </c>
      <c r="F3458" s="3" t="s">
        <v>31</v>
      </c>
      <c r="G3458" s="3" t="s">
        <v>47</v>
      </c>
      <c r="H3458" s="3" t="s">
        <v>48</v>
      </c>
      <c r="I3458" s="3">
        <v>2025</v>
      </c>
      <c r="J3458" s="3" t="str">
        <f>CONCATENATE("54820215645")</f>
        <v>54820215645</v>
      </c>
      <c r="K3458" s="3" t="s">
        <v>33</v>
      </c>
      <c r="L3458" s="3"/>
      <c r="M3458" s="3" t="s">
        <v>131</v>
      </c>
      <c r="N3458" s="3" t="str">
        <f>CONCATENATE("02882270420")</f>
        <v>02882270420</v>
      </c>
      <c r="O3458" s="3" t="s">
        <v>3579</v>
      </c>
      <c r="P3458" s="3" t="s">
        <v>36</v>
      </c>
      <c r="Q3458" s="3"/>
      <c r="R3458" s="4">
        <v>45996</v>
      </c>
      <c r="S3458" s="3" t="s">
        <v>37</v>
      </c>
      <c r="T3458" s="3" t="s">
        <v>38</v>
      </c>
      <c r="U3458" s="3" t="s">
        <v>39</v>
      </c>
      <c r="V3458" s="3">
        <v>900.9</v>
      </c>
      <c r="W3458" s="3">
        <v>382.88</v>
      </c>
      <c r="X3458" s="3">
        <v>362.61</v>
      </c>
      <c r="Y3458" s="3">
        <v>155.41</v>
      </c>
    </row>
    <row r="3459" spans="1:25" ht="60.75" x14ac:dyDescent="0.25">
      <c r="A3459" s="3" t="s">
        <v>26</v>
      </c>
      <c r="B3459" s="3" t="s">
        <v>27</v>
      </c>
      <c r="C3459" s="3" t="s">
        <v>28</v>
      </c>
      <c r="D3459" s="3" t="s">
        <v>29</v>
      </c>
      <c r="E3459" s="3" t="s">
        <v>136</v>
      </c>
      <c r="F3459" s="3" t="s">
        <v>31</v>
      </c>
      <c r="G3459" s="3" t="s">
        <v>136</v>
      </c>
      <c r="H3459" s="3" t="s">
        <v>48</v>
      </c>
      <c r="I3459" s="3">
        <v>2025</v>
      </c>
      <c r="J3459" s="3" t="str">
        <f>CONCATENATE("54820196340")</f>
        <v>54820196340</v>
      </c>
      <c r="K3459" s="3" t="s">
        <v>33</v>
      </c>
      <c r="L3459" s="3"/>
      <c r="M3459" s="3" t="s">
        <v>131</v>
      </c>
      <c r="N3459" s="3" t="str">
        <f>CONCATENATE("SLVTMS45E08I461X")</f>
        <v>SLVTMS45E08I461X</v>
      </c>
      <c r="O3459" s="3" t="s">
        <v>3580</v>
      </c>
      <c r="P3459" s="3" t="s">
        <v>36</v>
      </c>
      <c r="Q3459" s="3"/>
      <c r="R3459" s="4">
        <v>45996</v>
      </c>
      <c r="S3459" s="3" t="s">
        <v>37</v>
      </c>
      <c r="T3459" s="3" t="s">
        <v>38</v>
      </c>
      <c r="U3459" s="3" t="s">
        <v>39</v>
      </c>
      <c r="V3459" s="3">
        <v>179.06</v>
      </c>
      <c r="W3459" s="3">
        <v>76.099999999999994</v>
      </c>
      <c r="X3459" s="3">
        <v>72.069999999999993</v>
      </c>
      <c r="Y3459" s="3">
        <v>30.89</v>
      </c>
    </row>
    <row r="3460" spans="1:25" ht="60.75" x14ac:dyDescent="0.25">
      <c r="A3460" s="3" t="s">
        <v>26</v>
      </c>
      <c r="B3460" s="3" t="s">
        <v>27</v>
      </c>
      <c r="C3460" s="3" t="s">
        <v>28</v>
      </c>
      <c r="D3460" s="3" t="s">
        <v>157</v>
      </c>
      <c r="E3460" s="3" t="s">
        <v>3581</v>
      </c>
      <c r="F3460" s="3" t="s">
        <v>159</v>
      </c>
      <c r="G3460" s="3" t="s">
        <v>3581</v>
      </c>
      <c r="H3460" s="3" t="s">
        <v>96</v>
      </c>
      <c r="I3460" s="3">
        <v>2025</v>
      </c>
      <c r="J3460" s="3" t="str">
        <f>CONCATENATE("54820298351")</f>
        <v>54820298351</v>
      </c>
      <c r="K3460" s="3" t="s">
        <v>33</v>
      </c>
      <c r="L3460" s="3"/>
      <c r="M3460" s="3" t="s">
        <v>131</v>
      </c>
      <c r="N3460" s="3" t="str">
        <f>CONCATENATE("RFOMRZ64E15A462B")</f>
        <v>RFOMRZ64E15A462B</v>
      </c>
      <c r="O3460" s="3" t="s">
        <v>3582</v>
      </c>
      <c r="P3460" s="3" t="s">
        <v>36</v>
      </c>
      <c r="Q3460" s="3"/>
      <c r="R3460" s="4">
        <v>45996</v>
      </c>
      <c r="S3460" s="3" t="s">
        <v>37</v>
      </c>
      <c r="T3460" s="3" t="s">
        <v>38</v>
      </c>
      <c r="U3460" s="3" t="s">
        <v>39</v>
      </c>
      <c r="V3460" s="3">
        <v>221.78</v>
      </c>
      <c r="W3460" s="3">
        <v>94.26</v>
      </c>
      <c r="X3460" s="3">
        <v>89.27</v>
      </c>
      <c r="Y3460" s="3">
        <v>38.25</v>
      </c>
    </row>
    <row r="3461" spans="1:25" ht="60.75" x14ac:dyDescent="0.25">
      <c r="A3461" s="3" t="s">
        <v>26</v>
      </c>
      <c r="B3461" s="3" t="s">
        <v>27</v>
      </c>
      <c r="C3461" s="3" t="s">
        <v>28</v>
      </c>
      <c r="D3461" s="3" t="s">
        <v>50</v>
      </c>
      <c r="E3461" s="3" t="s">
        <v>149</v>
      </c>
      <c r="F3461" s="3" t="s">
        <v>52</v>
      </c>
      <c r="G3461" s="3" t="s">
        <v>149</v>
      </c>
      <c r="H3461" s="3" t="s">
        <v>96</v>
      </c>
      <c r="I3461" s="3">
        <v>2025</v>
      </c>
      <c r="J3461" s="3" t="str">
        <f>CONCATENATE("54820031174")</f>
        <v>54820031174</v>
      </c>
      <c r="K3461" s="3" t="s">
        <v>33</v>
      </c>
      <c r="L3461" s="3"/>
      <c r="M3461" s="3" t="s">
        <v>131</v>
      </c>
      <c r="N3461" s="3" t="str">
        <f>CONCATENATE("BRRGNN64P04H769Q")</f>
        <v>BRRGNN64P04H769Q</v>
      </c>
      <c r="O3461" s="3" t="s">
        <v>3583</v>
      </c>
      <c r="P3461" s="3" t="s">
        <v>36</v>
      </c>
      <c r="Q3461" s="3"/>
      <c r="R3461" s="4">
        <v>45996</v>
      </c>
      <c r="S3461" s="3" t="s">
        <v>37</v>
      </c>
      <c r="T3461" s="3" t="s">
        <v>38</v>
      </c>
      <c r="U3461" s="3" t="s">
        <v>39</v>
      </c>
      <c r="V3461" s="3">
        <v>160.96</v>
      </c>
      <c r="W3461" s="3">
        <v>68.41</v>
      </c>
      <c r="X3461" s="3">
        <v>64.790000000000006</v>
      </c>
      <c r="Y3461" s="3">
        <v>27.76</v>
      </c>
    </row>
    <row r="3462" spans="1:25" ht="60.75" x14ac:dyDescent="0.25">
      <c r="A3462" s="3" t="s">
        <v>26</v>
      </c>
      <c r="B3462" s="3" t="s">
        <v>27</v>
      </c>
      <c r="C3462" s="3" t="s">
        <v>28</v>
      </c>
      <c r="D3462" s="3" t="s">
        <v>29</v>
      </c>
      <c r="E3462" s="3" t="s">
        <v>56</v>
      </c>
      <c r="F3462" s="3" t="s">
        <v>31</v>
      </c>
      <c r="G3462" s="3" t="s">
        <v>56</v>
      </c>
      <c r="H3462" s="3" t="s">
        <v>32</v>
      </c>
      <c r="I3462" s="3">
        <v>2025</v>
      </c>
      <c r="J3462" s="3" t="str">
        <f>CONCATENATE("54820115308")</f>
        <v>54820115308</v>
      </c>
      <c r="K3462" s="3" t="s">
        <v>33</v>
      </c>
      <c r="L3462" s="3"/>
      <c r="M3462" s="3" t="s">
        <v>131</v>
      </c>
      <c r="N3462" s="3" t="str">
        <f>CONCATENATE("RPLNRC64S25B474S")</f>
        <v>RPLNRC64S25B474S</v>
      </c>
      <c r="O3462" s="3" t="s">
        <v>3584</v>
      </c>
      <c r="P3462" s="3" t="s">
        <v>36</v>
      </c>
      <c r="Q3462" s="3"/>
      <c r="R3462" s="4">
        <v>45996</v>
      </c>
      <c r="S3462" s="3" t="s">
        <v>37</v>
      </c>
      <c r="T3462" s="3" t="s">
        <v>38</v>
      </c>
      <c r="U3462" s="3" t="s">
        <v>39</v>
      </c>
      <c r="V3462" s="3">
        <v>197.56</v>
      </c>
      <c r="W3462" s="3">
        <v>83.96</v>
      </c>
      <c r="X3462" s="3">
        <v>79.52</v>
      </c>
      <c r="Y3462" s="3">
        <v>34.08</v>
      </c>
    </row>
    <row r="3463" spans="1:25" ht="60.75" x14ac:dyDescent="0.25">
      <c r="A3463" s="3" t="s">
        <v>26</v>
      </c>
      <c r="B3463" s="3" t="s">
        <v>27</v>
      </c>
      <c r="C3463" s="3" t="s">
        <v>28</v>
      </c>
      <c r="D3463" s="3" t="s">
        <v>104</v>
      </c>
      <c r="E3463" s="3" t="s">
        <v>691</v>
      </c>
      <c r="F3463" s="3" t="s">
        <v>104</v>
      </c>
      <c r="G3463" s="3" t="s">
        <v>691</v>
      </c>
      <c r="H3463" s="3" t="s">
        <v>48</v>
      </c>
      <c r="I3463" s="3">
        <v>2025</v>
      </c>
      <c r="J3463" s="3" t="str">
        <f>CONCATENATE("54820075205")</f>
        <v>54820075205</v>
      </c>
      <c r="K3463" s="3" t="s">
        <v>33</v>
      </c>
      <c r="L3463" s="3"/>
      <c r="M3463" s="3" t="s">
        <v>131</v>
      </c>
      <c r="N3463" s="3" t="str">
        <f>CONCATENATE("PLLMRA65E31D451J")</f>
        <v>PLLMRA65E31D451J</v>
      </c>
      <c r="O3463" s="3" t="s">
        <v>3585</v>
      </c>
      <c r="P3463" s="3" t="s">
        <v>36</v>
      </c>
      <c r="Q3463" s="3"/>
      <c r="R3463" s="4">
        <v>45996</v>
      </c>
      <c r="S3463" s="3" t="s">
        <v>37</v>
      </c>
      <c r="T3463" s="3" t="s">
        <v>38</v>
      </c>
      <c r="U3463" s="3" t="s">
        <v>39</v>
      </c>
      <c r="V3463" s="3">
        <v>85.55</v>
      </c>
      <c r="W3463" s="3">
        <v>36.36</v>
      </c>
      <c r="X3463" s="3">
        <v>34.43</v>
      </c>
      <c r="Y3463" s="3">
        <v>14.76</v>
      </c>
    </row>
    <row r="3464" spans="1:25" ht="60.75" x14ac:dyDescent="0.25">
      <c r="A3464" s="3" t="s">
        <v>26</v>
      </c>
      <c r="B3464" s="3" t="s">
        <v>27</v>
      </c>
      <c r="C3464" s="3" t="s">
        <v>28</v>
      </c>
      <c r="D3464" s="3" t="s">
        <v>29</v>
      </c>
      <c r="E3464" s="3" t="s">
        <v>136</v>
      </c>
      <c r="F3464" s="3" t="s">
        <v>31</v>
      </c>
      <c r="G3464" s="3" t="s">
        <v>136</v>
      </c>
      <c r="H3464" s="3" t="s">
        <v>48</v>
      </c>
      <c r="I3464" s="3">
        <v>2025</v>
      </c>
      <c r="J3464" s="3" t="str">
        <f>CONCATENATE("54820120928")</f>
        <v>54820120928</v>
      </c>
      <c r="K3464" s="3" t="s">
        <v>33</v>
      </c>
      <c r="L3464" s="3"/>
      <c r="M3464" s="3" t="s">
        <v>131</v>
      </c>
      <c r="N3464" s="3" t="str">
        <f>CONCATENATE("BDCDNL89P20D451P")</f>
        <v>BDCDNL89P20D451P</v>
      </c>
      <c r="O3464" s="3" t="s">
        <v>3586</v>
      </c>
      <c r="P3464" s="3" t="s">
        <v>36</v>
      </c>
      <c r="Q3464" s="3"/>
      <c r="R3464" s="4">
        <v>45996</v>
      </c>
      <c r="S3464" s="3" t="s">
        <v>37</v>
      </c>
      <c r="T3464" s="3" t="s">
        <v>38</v>
      </c>
      <c r="U3464" s="3" t="s">
        <v>39</v>
      </c>
      <c r="V3464" s="3">
        <v>509.64</v>
      </c>
      <c r="W3464" s="3">
        <v>216.6</v>
      </c>
      <c r="X3464" s="3">
        <v>205.13</v>
      </c>
      <c r="Y3464" s="3">
        <v>87.91</v>
      </c>
    </row>
    <row r="3465" spans="1:25" ht="48.75" x14ac:dyDescent="0.25">
      <c r="A3465" s="3" t="s">
        <v>26</v>
      </c>
      <c r="B3465" s="3" t="s">
        <v>27</v>
      </c>
      <c r="C3465" s="3" t="s">
        <v>28</v>
      </c>
      <c r="D3465" s="3" t="s">
        <v>40</v>
      </c>
      <c r="E3465" s="3" t="s">
        <v>41</v>
      </c>
      <c r="F3465" s="3" t="s">
        <v>42</v>
      </c>
      <c r="G3465" s="3" t="s">
        <v>41</v>
      </c>
      <c r="H3465" s="3" t="s">
        <v>32</v>
      </c>
      <c r="I3465" s="3">
        <v>2025</v>
      </c>
      <c r="J3465" s="3" t="str">
        <f>CONCATENATE("54820066279")</f>
        <v>54820066279</v>
      </c>
      <c r="K3465" s="3" t="s">
        <v>33</v>
      </c>
      <c r="L3465" s="3"/>
      <c r="M3465" s="3" t="s">
        <v>131</v>
      </c>
      <c r="N3465" s="3" t="str">
        <f>CONCATENATE("PZZPLA69L26B474L")</f>
        <v>PZZPLA69L26B474L</v>
      </c>
      <c r="O3465" s="3" t="s">
        <v>3587</v>
      </c>
      <c r="P3465" s="3" t="s">
        <v>36</v>
      </c>
      <c r="Q3465" s="3"/>
      <c r="R3465" s="4">
        <v>45996</v>
      </c>
      <c r="S3465" s="3" t="s">
        <v>37</v>
      </c>
      <c r="T3465" s="3" t="s">
        <v>38</v>
      </c>
      <c r="U3465" s="3" t="s">
        <v>39</v>
      </c>
      <c r="V3465" s="3">
        <v>888.75</v>
      </c>
      <c r="W3465" s="3">
        <v>377.72</v>
      </c>
      <c r="X3465" s="3">
        <v>357.72</v>
      </c>
      <c r="Y3465" s="3">
        <v>153.31</v>
      </c>
    </row>
    <row r="3466" spans="1:25" ht="60.75" x14ac:dyDescent="0.25">
      <c r="A3466" s="3" t="s">
        <v>26</v>
      </c>
      <c r="B3466" s="3" t="s">
        <v>27</v>
      </c>
      <c r="C3466" s="3" t="s">
        <v>28</v>
      </c>
      <c r="D3466" s="3" t="s">
        <v>50</v>
      </c>
      <c r="E3466" s="3" t="s">
        <v>60</v>
      </c>
      <c r="F3466" s="3" t="s">
        <v>52</v>
      </c>
      <c r="G3466" s="3" t="s">
        <v>60</v>
      </c>
      <c r="H3466" s="3" t="s">
        <v>45</v>
      </c>
      <c r="I3466" s="3">
        <v>2025</v>
      </c>
      <c r="J3466" s="3" t="str">
        <f>CONCATENATE("54820086343")</f>
        <v>54820086343</v>
      </c>
      <c r="K3466" s="3" t="s">
        <v>33</v>
      </c>
      <c r="L3466" s="3"/>
      <c r="M3466" s="3" t="s">
        <v>131</v>
      </c>
      <c r="N3466" s="3" t="str">
        <f>CONCATENATE("FRNPLA74E70G453E")</f>
        <v>FRNPLA74E70G453E</v>
      </c>
      <c r="O3466" s="3" t="s">
        <v>3588</v>
      </c>
      <c r="P3466" s="3" t="s">
        <v>36</v>
      </c>
      <c r="Q3466" s="3"/>
      <c r="R3466" s="4">
        <v>45996</v>
      </c>
      <c r="S3466" s="3" t="s">
        <v>37</v>
      </c>
      <c r="T3466" s="3" t="s">
        <v>38</v>
      </c>
      <c r="U3466" s="3" t="s">
        <v>39</v>
      </c>
      <c r="V3466" s="3">
        <v>58.21</v>
      </c>
      <c r="W3466" s="3">
        <v>24.74</v>
      </c>
      <c r="X3466" s="3">
        <v>23.43</v>
      </c>
      <c r="Y3466" s="3">
        <v>10.039999999999999</v>
      </c>
    </row>
    <row r="3467" spans="1:25" ht="60.75" x14ac:dyDescent="0.25">
      <c r="A3467" s="3" t="s">
        <v>26</v>
      </c>
      <c r="B3467" s="3" t="s">
        <v>27</v>
      </c>
      <c r="C3467" s="3" t="s">
        <v>28</v>
      </c>
      <c r="D3467" s="3" t="s">
        <v>29</v>
      </c>
      <c r="E3467" s="3" t="s">
        <v>68</v>
      </c>
      <c r="F3467" s="3" t="s">
        <v>31</v>
      </c>
      <c r="G3467" s="3" t="s">
        <v>68</v>
      </c>
      <c r="H3467" s="3" t="s">
        <v>32</v>
      </c>
      <c r="I3467" s="3">
        <v>2025</v>
      </c>
      <c r="J3467" s="3" t="str">
        <f>CONCATENATE("54820105804")</f>
        <v>54820105804</v>
      </c>
      <c r="K3467" s="3" t="s">
        <v>33</v>
      </c>
      <c r="L3467" s="3"/>
      <c r="M3467" s="3" t="s">
        <v>131</v>
      </c>
      <c r="N3467" s="3" t="str">
        <f>CONCATENATE("SNRTZN66H50H876Y")</f>
        <v>SNRTZN66H50H876Y</v>
      </c>
      <c r="O3467" s="3" t="s">
        <v>3589</v>
      </c>
      <c r="P3467" s="3" t="s">
        <v>36</v>
      </c>
      <c r="Q3467" s="3"/>
      <c r="R3467" s="4">
        <v>45996</v>
      </c>
      <c r="S3467" s="3" t="s">
        <v>37</v>
      </c>
      <c r="T3467" s="3" t="s">
        <v>38</v>
      </c>
      <c r="U3467" s="3" t="s">
        <v>39</v>
      </c>
      <c r="V3467" s="3">
        <v>134.83000000000001</v>
      </c>
      <c r="W3467" s="3">
        <v>57.3</v>
      </c>
      <c r="X3467" s="3">
        <v>54.27</v>
      </c>
      <c r="Y3467" s="3">
        <v>23.26</v>
      </c>
    </row>
    <row r="3468" spans="1:25" ht="60.75" x14ac:dyDescent="0.25">
      <c r="A3468" s="3" t="s">
        <v>26</v>
      </c>
      <c r="B3468" s="3" t="s">
        <v>27</v>
      </c>
      <c r="C3468" s="3" t="s">
        <v>28</v>
      </c>
      <c r="D3468" s="3" t="s">
        <v>29</v>
      </c>
      <c r="E3468" s="3" t="s">
        <v>68</v>
      </c>
      <c r="F3468" s="3" t="s">
        <v>31</v>
      </c>
      <c r="G3468" s="3" t="s">
        <v>68</v>
      </c>
      <c r="H3468" s="3" t="s">
        <v>32</v>
      </c>
      <c r="I3468" s="3">
        <v>2025</v>
      </c>
      <c r="J3468" s="3" t="str">
        <f>CONCATENATE("54820105838")</f>
        <v>54820105838</v>
      </c>
      <c r="K3468" s="3" t="s">
        <v>33</v>
      </c>
      <c r="L3468" s="3"/>
      <c r="M3468" s="3" t="s">
        <v>131</v>
      </c>
      <c r="N3468" s="3" t="str">
        <f>CONCATENATE("SBSGNN54M29I436B")</f>
        <v>SBSGNN54M29I436B</v>
      </c>
      <c r="O3468" s="3" t="s">
        <v>3590</v>
      </c>
      <c r="P3468" s="3" t="s">
        <v>36</v>
      </c>
      <c r="Q3468" s="3"/>
      <c r="R3468" s="4">
        <v>45996</v>
      </c>
      <c r="S3468" s="3" t="s">
        <v>37</v>
      </c>
      <c r="T3468" s="3" t="s">
        <v>38</v>
      </c>
      <c r="U3468" s="3" t="s">
        <v>39</v>
      </c>
      <c r="V3468" s="3">
        <v>85.32</v>
      </c>
      <c r="W3468" s="3">
        <v>36.26</v>
      </c>
      <c r="X3468" s="3">
        <v>34.340000000000003</v>
      </c>
      <c r="Y3468" s="3">
        <v>14.72</v>
      </c>
    </row>
    <row r="3469" spans="1:25" ht="60.75" x14ac:dyDescent="0.25">
      <c r="A3469" s="3" t="s">
        <v>26</v>
      </c>
      <c r="B3469" s="3" t="s">
        <v>27</v>
      </c>
      <c r="C3469" s="3" t="s">
        <v>28</v>
      </c>
      <c r="D3469" s="3" t="s">
        <v>40</v>
      </c>
      <c r="E3469" s="3" t="s">
        <v>44</v>
      </c>
      <c r="F3469" s="3" t="s">
        <v>42</v>
      </c>
      <c r="G3469" s="3" t="s">
        <v>44</v>
      </c>
      <c r="H3469" s="3" t="s">
        <v>32</v>
      </c>
      <c r="I3469" s="3">
        <v>2025</v>
      </c>
      <c r="J3469" s="3" t="str">
        <f>CONCATENATE("54820114061")</f>
        <v>54820114061</v>
      </c>
      <c r="K3469" s="3" t="s">
        <v>33</v>
      </c>
      <c r="L3469" s="3"/>
      <c r="M3469" s="3" t="s">
        <v>131</v>
      </c>
      <c r="N3469" s="3" t="str">
        <f>CONCATENATE("GTTDNC48H24B398Y")</f>
        <v>GTTDNC48H24B398Y</v>
      </c>
      <c r="O3469" s="3" t="s">
        <v>3591</v>
      </c>
      <c r="P3469" s="3" t="s">
        <v>36</v>
      </c>
      <c r="Q3469" s="3"/>
      <c r="R3469" s="4">
        <v>45996</v>
      </c>
      <c r="S3469" s="3" t="s">
        <v>37</v>
      </c>
      <c r="T3469" s="3" t="s">
        <v>38</v>
      </c>
      <c r="U3469" s="3" t="s">
        <v>39</v>
      </c>
      <c r="V3469" s="3">
        <v>425.31</v>
      </c>
      <c r="W3469" s="3">
        <v>180.76</v>
      </c>
      <c r="X3469" s="3">
        <v>171.19</v>
      </c>
      <c r="Y3469" s="3">
        <v>73.36</v>
      </c>
    </row>
    <row r="3470" spans="1:25" ht="60.75" x14ac:dyDescent="0.25">
      <c r="A3470" s="3" t="s">
        <v>26</v>
      </c>
      <c r="B3470" s="3" t="s">
        <v>27</v>
      </c>
      <c r="C3470" s="3" t="s">
        <v>28</v>
      </c>
      <c r="D3470" s="3" t="s">
        <v>50</v>
      </c>
      <c r="E3470" s="3" t="s">
        <v>60</v>
      </c>
      <c r="F3470" s="3" t="s">
        <v>52</v>
      </c>
      <c r="G3470" s="3" t="s">
        <v>60</v>
      </c>
      <c r="H3470" s="3" t="s">
        <v>45</v>
      </c>
      <c r="I3470" s="3">
        <v>2025</v>
      </c>
      <c r="J3470" s="3" t="str">
        <f>CONCATENATE("54820117601")</f>
        <v>54820117601</v>
      </c>
      <c r="K3470" s="3" t="s">
        <v>33</v>
      </c>
      <c r="L3470" s="3"/>
      <c r="M3470" s="3" t="s">
        <v>131</v>
      </c>
      <c r="N3470" s="3" t="str">
        <f>CONCATENATE("HMNNJL72B56Z126T")</f>
        <v>HMNNJL72B56Z126T</v>
      </c>
      <c r="O3470" s="3" t="s">
        <v>3592</v>
      </c>
      <c r="P3470" s="3" t="s">
        <v>36</v>
      </c>
      <c r="Q3470" s="3"/>
      <c r="R3470" s="4">
        <v>45996</v>
      </c>
      <c r="S3470" s="3" t="s">
        <v>37</v>
      </c>
      <c r="T3470" s="3" t="s">
        <v>38</v>
      </c>
      <c r="U3470" s="3" t="s">
        <v>39</v>
      </c>
      <c r="V3470" s="3">
        <v>57.67</v>
      </c>
      <c r="W3470" s="3">
        <v>24.51</v>
      </c>
      <c r="X3470" s="3">
        <v>23.21</v>
      </c>
      <c r="Y3470" s="3">
        <v>9.9499999999999993</v>
      </c>
    </row>
    <row r="3471" spans="1:25" ht="36.75" x14ac:dyDescent="0.25">
      <c r="A3471" s="3" t="s">
        <v>26</v>
      </c>
      <c r="B3471" s="3" t="s">
        <v>27</v>
      </c>
      <c r="C3471" s="3" t="s">
        <v>28</v>
      </c>
      <c r="D3471" s="3" t="s">
        <v>29</v>
      </c>
      <c r="E3471" s="3" t="s">
        <v>186</v>
      </c>
      <c r="F3471" s="3" t="s">
        <v>31</v>
      </c>
      <c r="G3471" s="3" t="s">
        <v>186</v>
      </c>
      <c r="H3471" s="3" t="s">
        <v>45</v>
      </c>
      <c r="I3471" s="3">
        <v>2025</v>
      </c>
      <c r="J3471" s="3" t="str">
        <f>CONCATENATE("54820139886")</f>
        <v>54820139886</v>
      </c>
      <c r="K3471" s="3" t="s">
        <v>33</v>
      </c>
      <c r="L3471" s="3"/>
      <c r="M3471" s="3" t="s">
        <v>131</v>
      </c>
      <c r="N3471" s="3" t="str">
        <f>CONCATENATE("00409290418")</f>
        <v>00409290418</v>
      </c>
      <c r="O3471" s="3" t="s">
        <v>3593</v>
      </c>
      <c r="P3471" s="3" t="s">
        <v>36</v>
      </c>
      <c r="Q3471" s="3"/>
      <c r="R3471" s="4">
        <v>45996</v>
      </c>
      <c r="S3471" s="3" t="s">
        <v>37</v>
      </c>
      <c r="T3471" s="3" t="s">
        <v>38</v>
      </c>
      <c r="U3471" s="3" t="s">
        <v>39</v>
      </c>
      <c r="V3471" s="3">
        <v>248.61</v>
      </c>
      <c r="W3471" s="3">
        <v>105.66</v>
      </c>
      <c r="X3471" s="3">
        <v>100.07</v>
      </c>
      <c r="Y3471" s="3">
        <v>42.88</v>
      </c>
    </row>
    <row r="3472" spans="1:25" ht="60.75" x14ac:dyDescent="0.25">
      <c r="A3472" s="3" t="s">
        <v>26</v>
      </c>
      <c r="B3472" s="3" t="s">
        <v>27</v>
      </c>
      <c r="C3472" s="3" t="s">
        <v>28</v>
      </c>
      <c r="D3472" s="3" t="s">
        <v>91</v>
      </c>
      <c r="E3472" s="3" t="s">
        <v>522</v>
      </c>
      <c r="F3472" s="3" t="s">
        <v>93</v>
      </c>
      <c r="G3472" s="3" t="s">
        <v>522</v>
      </c>
      <c r="H3472" s="3" t="s">
        <v>32</v>
      </c>
      <c r="I3472" s="3">
        <v>2025</v>
      </c>
      <c r="J3472" s="3" t="str">
        <f>CONCATENATE("54820213459")</f>
        <v>54820213459</v>
      </c>
      <c r="K3472" s="3" t="s">
        <v>33</v>
      </c>
      <c r="L3472" s="3"/>
      <c r="M3472" s="3" t="s">
        <v>131</v>
      </c>
      <c r="N3472" s="3" t="str">
        <f>CONCATENATE("BCCLCU96H09B474E")</f>
        <v>BCCLCU96H09B474E</v>
      </c>
      <c r="O3472" s="3" t="s">
        <v>3594</v>
      </c>
      <c r="P3472" s="3" t="s">
        <v>36</v>
      </c>
      <c r="Q3472" s="3"/>
      <c r="R3472" s="4">
        <v>45996</v>
      </c>
      <c r="S3472" s="3" t="s">
        <v>37</v>
      </c>
      <c r="T3472" s="3" t="s">
        <v>38</v>
      </c>
      <c r="U3472" s="3" t="s">
        <v>39</v>
      </c>
      <c r="V3472" s="3">
        <v>441.34</v>
      </c>
      <c r="W3472" s="3">
        <v>187.57</v>
      </c>
      <c r="X3472" s="3">
        <v>177.64</v>
      </c>
      <c r="Y3472" s="3">
        <v>76.13</v>
      </c>
    </row>
    <row r="3473" spans="1:25" ht="60.75" x14ac:dyDescent="0.25">
      <c r="A3473" s="3" t="s">
        <v>26</v>
      </c>
      <c r="B3473" s="3" t="s">
        <v>27</v>
      </c>
      <c r="C3473" s="3" t="s">
        <v>28</v>
      </c>
      <c r="D3473" s="3" t="s">
        <v>29</v>
      </c>
      <c r="E3473" s="3" t="s">
        <v>182</v>
      </c>
      <c r="F3473" s="3" t="s">
        <v>31</v>
      </c>
      <c r="G3473" s="3" t="s">
        <v>182</v>
      </c>
      <c r="H3473" s="3" t="s">
        <v>45</v>
      </c>
      <c r="I3473" s="3">
        <v>2025</v>
      </c>
      <c r="J3473" s="3" t="str">
        <f>CONCATENATE("54820114012")</f>
        <v>54820114012</v>
      </c>
      <c r="K3473" s="3" t="s">
        <v>33</v>
      </c>
      <c r="L3473" s="3"/>
      <c r="M3473" s="3" t="s">
        <v>131</v>
      </c>
      <c r="N3473" s="3" t="str">
        <f>CONCATENATE("FLCMHL74A30E785H")</f>
        <v>FLCMHL74A30E785H</v>
      </c>
      <c r="O3473" s="3" t="s">
        <v>3595</v>
      </c>
      <c r="P3473" s="3" t="s">
        <v>36</v>
      </c>
      <c r="Q3473" s="3"/>
      <c r="R3473" s="4">
        <v>45996</v>
      </c>
      <c r="S3473" s="3" t="s">
        <v>37</v>
      </c>
      <c r="T3473" s="3" t="s">
        <v>38</v>
      </c>
      <c r="U3473" s="3" t="s">
        <v>39</v>
      </c>
      <c r="V3473" s="3">
        <v>110.64</v>
      </c>
      <c r="W3473" s="3">
        <v>47.02</v>
      </c>
      <c r="X3473" s="3">
        <v>44.53</v>
      </c>
      <c r="Y3473" s="3">
        <v>19.09</v>
      </c>
    </row>
    <row r="3474" spans="1:25" ht="60.75" x14ac:dyDescent="0.25">
      <c r="A3474" s="3" t="s">
        <v>26</v>
      </c>
      <c r="B3474" s="3" t="s">
        <v>27</v>
      </c>
      <c r="C3474" s="3" t="s">
        <v>28</v>
      </c>
      <c r="D3474" s="3" t="s">
        <v>40</v>
      </c>
      <c r="E3474" s="3" t="s">
        <v>41</v>
      </c>
      <c r="F3474" s="3" t="s">
        <v>42</v>
      </c>
      <c r="G3474" s="3" t="s">
        <v>41</v>
      </c>
      <c r="H3474" s="3" t="s">
        <v>32</v>
      </c>
      <c r="I3474" s="3">
        <v>2025</v>
      </c>
      <c r="J3474" s="3" t="str">
        <f>CONCATENATE("54820086624")</f>
        <v>54820086624</v>
      </c>
      <c r="K3474" s="3" t="s">
        <v>33</v>
      </c>
      <c r="L3474" s="3"/>
      <c r="M3474" s="3" t="s">
        <v>131</v>
      </c>
      <c r="N3474" s="3" t="str">
        <f>CONCATENATE("PRSMHL86S54I156V")</f>
        <v>PRSMHL86S54I156V</v>
      </c>
      <c r="O3474" s="3" t="s">
        <v>43</v>
      </c>
      <c r="P3474" s="3" t="s">
        <v>36</v>
      </c>
      <c r="Q3474" s="3"/>
      <c r="R3474" s="4">
        <v>45996</v>
      </c>
      <c r="S3474" s="3" t="s">
        <v>37</v>
      </c>
      <c r="T3474" s="3" t="s">
        <v>38</v>
      </c>
      <c r="U3474" s="3" t="s">
        <v>39</v>
      </c>
      <c r="V3474" s="3">
        <v>807.89</v>
      </c>
      <c r="W3474" s="3">
        <v>343.35</v>
      </c>
      <c r="X3474" s="3">
        <v>325.18</v>
      </c>
      <c r="Y3474" s="3">
        <v>139.36000000000001</v>
      </c>
    </row>
    <row r="3475" spans="1:25" ht="60.75" x14ac:dyDescent="0.25">
      <c r="A3475" s="3" t="s">
        <v>26</v>
      </c>
      <c r="B3475" s="3" t="s">
        <v>27</v>
      </c>
      <c r="C3475" s="3" t="s">
        <v>28</v>
      </c>
      <c r="D3475" s="3" t="s">
        <v>40</v>
      </c>
      <c r="E3475" s="3" t="s">
        <v>287</v>
      </c>
      <c r="F3475" s="3" t="s">
        <v>42</v>
      </c>
      <c r="G3475" s="3" t="s">
        <v>287</v>
      </c>
      <c r="H3475" s="3" t="s">
        <v>32</v>
      </c>
      <c r="I3475" s="3">
        <v>2025</v>
      </c>
      <c r="J3475" s="3" t="str">
        <f>CONCATENATE("54820025341")</f>
        <v>54820025341</v>
      </c>
      <c r="K3475" s="3" t="s">
        <v>33</v>
      </c>
      <c r="L3475" s="3"/>
      <c r="M3475" s="3" t="s">
        <v>131</v>
      </c>
      <c r="N3475" s="3" t="str">
        <f>CONCATENATE("BLDNDR77P22B474L")</f>
        <v>BLDNDR77P22B474L</v>
      </c>
      <c r="O3475" s="3" t="s">
        <v>3596</v>
      </c>
      <c r="P3475" s="3" t="s">
        <v>36</v>
      </c>
      <c r="Q3475" s="3"/>
      <c r="R3475" s="4">
        <v>45996</v>
      </c>
      <c r="S3475" s="3" t="s">
        <v>37</v>
      </c>
      <c r="T3475" s="3" t="s">
        <v>38</v>
      </c>
      <c r="U3475" s="3" t="s">
        <v>39</v>
      </c>
      <c r="V3475" s="3">
        <v>620.54</v>
      </c>
      <c r="W3475" s="3">
        <v>263.73</v>
      </c>
      <c r="X3475" s="3">
        <v>249.77</v>
      </c>
      <c r="Y3475" s="3">
        <v>107.04</v>
      </c>
    </row>
    <row r="3476" spans="1:25" ht="60.75" x14ac:dyDescent="0.25">
      <c r="A3476" s="3" t="s">
        <v>26</v>
      </c>
      <c r="B3476" s="3" t="s">
        <v>27</v>
      </c>
      <c r="C3476" s="3" t="s">
        <v>28</v>
      </c>
      <c r="D3476" s="3" t="s">
        <v>50</v>
      </c>
      <c r="E3476" s="3" t="s">
        <v>173</v>
      </c>
      <c r="F3476" s="3" t="s">
        <v>52</v>
      </c>
      <c r="G3476" s="3" t="s">
        <v>173</v>
      </c>
      <c r="H3476" s="3" t="s">
        <v>45</v>
      </c>
      <c r="I3476" s="3">
        <v>2025</v>
      </c>
      <c r="J3476" s="3" t="str">
        <f>CONCATENATE("54820050968")</f>
        <v>54820050968</v>
      </c>
      <c r="K3476" s="3" t="s">
        <v>33</v>
      </c>
      <c r="L3476" s="3"/>
      <c r="M3476" s="3" t="s">
        <v>131</v>
      </c>
      <c r="N3476" s="3" t="str">
        <f>CONCATENATE("CNGLCU80T06H294R")</f>
        <v>CNGLCU80T06H294R</v>
      </c>
      <c r="O3476" s="3" t="s">
        <v>3597</v>
      </c>
      <c r="P3476" s="3" t="s">
        <v>36</v>
      </c>
      <c r="Q3476" s="3"/>
      <c r="R3476" s="4">
        <v>45996</v>
      </c>
      <c r="S3476" s="3" t="s">
        <v>37</v>
      </c>
      <c r="T3476" s="3" t="s">
        <v>38</v>
      </c>
      <c r="U3476" s="3" t="s">
        <v>39</v>
      </c>
      <c r="V3476" s="3">
        <v>112.52</v>
      </c>
      <c r="W3476" s="3">
        <v>47.82</v>
      </c>
      <c r="X3476" s="3">
        <v>45.29</v>
      </c>
      <c r="Y3476" s="3">
        <v>19.41</v>
      </c>
    </row>
    <row r="3477" spans="1:25" ht="60.75" x14ac:dyDescent="0.25">
      <c r="A3477" s="3" t="s">
        <v>26</v>
      </c>
      <c r="B3477" s="3" t="s">
        <v>27</v>
      </c>
      <c r="C3477" s="3" t="s">
        <v>28</v>
      </c>
      <c r="D3477" s="3" t="s">
        <v>29</v>
      </c>
      <c r="E3477" s="3" t="s">
        <v>136</v>
      </c>
      <c r="F3477" s="3" t="s">
        <v>31</v>
      </c>
      <c r="G3477" s="3" t="s">
        <v>136</v>
      </c>
      <c r="H3477" s="3" t="s">
        <v>48</v>
      </c>
      <c r="I3477" s="3">
        <v>2025</v>
      </c>
      <c r="J3477" s="3" t="str">
        <f>CONCATENATE("54820032719")</f>
        <v>54820032719</v>
      </c>
      <c r="K3477" s="3" t="s">
        <v>33</v>
      </c>
      <c r="L3477" s="3"/>
      <c r="M3477" s="3" t="s">
        <v>131</v>
      </c>
      <c r="N3477" s="3" t="str">
        <f>CONCATENATE("VVNMLL59R64D965K")</f>
        <v>VVNMLL59R64D965K</v>
      </c>
      <c r="O3477" s="3" t="s">
        <v>3598</v>
      </c>
      <c r="P3477" s="3" t="s">
        <v>36</v>
      </c>
      <c r="Q3477" s="3"/>
      <c r="R3477" s="4">
        <v>45996</v>
      </c>
      <c r="S3477" s="3" t="s">
        <v>37</v>
      </c>
      <c r="T3477" s="3" t="s">
        <v>38</v>
      </c>
      <c r="U3477" s="3" t="s">
        <v>39</v>
      </c>
      <c r="V3477" s="3">
        <v>78.12</v>
      </c>
      <c r="W3477" s="3">
        <v>33.200000000000003</v>
      </c>
      <c r="X3477" s="3">
        <v>31.44</v>
      </c>
      <c r="Y3477" s="3">
        <v>13.48</v>
      </c>
    </row>
    <row r="3478" spans="1:25" ht="60.75" x14ac:dyDescent="0.25">
      <c r="A3478" s="3" t="s">
        <v>26</v>
      </c>
      <c r="B3478" s="3" t="s">
        <v>27</v>
      </c>
      <c r="C3478" s="3" t="s">
        <v>28</v>
      </c>
      <c r="D3478" s="3" t="s">
        <v>104</v>
      </c>
      <c r="E3478" s="3" t="s">
        <v>141</v>
      </c>
      <c r="F3478" s="3" t="s">
        <v>104</v>
      </c>
      <c r="G3478" s="3" t="s">
        <v>141</v>
      </c>
      <c r="H3478" s="3" t="s">
        <v>32</v>
      </c>
      <c r="I3478" s="3">
        <v>2025</v>
      </c>
      <c r="J3478" s="3" t="str">
        <f>CONCATENATE("54820047311")</f>
        <v>54820047311</v>
      </c>
      <c r="K3478" s="3" t="s">
        <v>33</v>
      </c>
      <c r="L3478" s="3"/>
      <c r="M3478" s="3" t="s">
        <v>131</v>
      </c>
      <c r="N3478" s="3" t="str">
        <f>CONCATENATE("PSAMNL74R22H211K")</f>
        <v>PSAMNL74R22H211K</v>
      </c>
      <c r="O3478" s="3" t="s">
        <v>3599</v>
      </c>
      <c r="P3478" s="3" t="s">
        <v>36</v>
      </c>
      <c r="Q3478" s="3"/>
      <c r="R3478" s="4">
        <v>45996</v>
      </c>
      <c r="S3478" s="3" t="s">
        <v>37</v>
      </c>
      <c r="T3478" s="3" t="s">
        <v>38</v>
      </c>
      <c r="U3478" s="3" t="s">
        <v>39</v>
      </c>
      <c r="V3478" s="3">
        <v>69.16</v>
      </c>
      <c r="W3478" s="3">
        <v>29.39</v>
      </c>
      <c r="X3478" s="3">
        <v>27.84</v>
      </c>
      <c r="Y3478" s="3">
        <v>11.93</v>
      </c>
    </row>
    <row r="3479" spans="1:25" ht="72.75" x14ac:dyDescent="0.25">
      <c r="A3479" s="3" t="s">
        <v>26</v>
      </c>
      <c r="B3479" s="3" t="s">
        <v>27</v>
      </c>
      <c r="C3479" s="3" t="s">
        <v>28</v>
      </c>
      <c r="D3479" s="3" t="s">
        <v>29</v>
      </c>
      <c r="E3479" s="3" t="s">
        <v>80</v>
      </c>
      <c r="F3479" s="3" t="s">
        <v>31</v>
      </c>
      <c r="G3479" s="3" t="s">
        <v>80</v>
      </c>
      <c r="H3479" s="3" t="s">
        <v>45</v>
      </c>
      <c r="I3479" s="3">
        <v>2025</v>
      </c>
      <c r="J3479" s="3" t="str">
        <f>CONCATENATE("54820084793")</f>
        <v>54820084793</v>
      </c>
      <c r="K3479" s="3" t="s">
        <v>33</v>
      </c>
      <c r="L3479" s="3"/>
      <c r="M3479" s="3" t="s">
        <v>131</v>
      </c>
      <c r="N3479" s="3" t="str">
        <f>CONCATENATE("RCCSRA53D03G453U")</f>
        <v>RCCSRA53D03G453U</v>
      </c>
      <c r="O3479" s="3" t="s">
        <v>3600</v>
      </c>
      <c r="P3479" s="3" t="s">
        <v>36</v>
      </c>
      <c r="Q3479" s="3"/>
      <c r="R3479" s="4">
        <v>45996</v>
      </c>
      <c r="S3479" s="3" t="s">
        <v>37</v>
      </c>
      <c r="T3479" s="3" t="s">
        <v>38</v>
      </c>
      <c r="U3479" s="3" t="s">
        <v>39</v>
      </c>
      <c r="V3479" s="3">
        <v>240.25</v>
      </c>
      <c r="W3479" s="3">
        <v>102.11</v>
      </c>
      <c r="X3479" s="3">
        <v>96.7</v>
      </c>
      <c r="Y3479" s="3">
        <v>41.44</v>
      </c>
    </row>
    <row r="3480" spans="1:25" ht="60.75" x14ac:dyDescent="0.25">
      <c r="A3480" s="3" t="s">
        <v>26</v>
      </c>
      <c r="B3480" s="3" t="s">
        <v>27</v>
      </c>
      <c r="C3480" s="3" t="s">
        <v>28</v>
      </c>
      <c r="D3480" s="3" t="s">
        <v>29</v>
      </c>
      <c r="E3480" s="3" t="s">
        <v>72</v>
      </c>
      <c r="F3480" s="3" t="s">
        <v>31</v>
      </c>
      <c r="G3480" s="3" t="s">
        <v>72</v>
      </c>
      <c r="H3480" s="3" t="s">
        <v>45</v>
      </c>
      <c r="I3480" s="3">
        <v>2025</v>
      </c>
      <c r="J3480" s="3" t="str">
        <f>CONCATENATE("54820052345")</f>
        <v>54820052345</v>
      </c>
      <c r="K3480" s="3" t="s">
        <v>33</v>
      </c>
      <c r="L3480" s="3"/>
      <c r="M3480" s="3" t="s">
        <v>131</v>
      </c>
      <c r="N3480" s="3" t="str">
        <f>CONCATENATE("SPRFNC49E26L498Y")</f>
        <v>SPRFNC49E26L498Y</v>
      </c>
      <c r="O3480" s="3" t="s">
        <v>3601</v>
      </c>
      <c r="P3480" s="3" t="s">
        <v>36</v>
      </c>
      <c r="Q3480" s="3"/>
      <c r="R3480" s="4">
        <v>45996</v>
      </c>
      <c r="S3480" s="3" t="s">
        <v>37</v>
      </c>
      <c r="T3480" s="3" t="s">
        <v>38</v>
      </c>
      <c r="U3480" s="3" t="s">
        <v>39</v>
      </c>
      <c r="V3480" s="3">
        <v>196.39</v>
      </c>
      <c r="W3480" s="3">
        <v>83.47</v>
      </c>
      <c r="X3480" s="3">
        <v>79.05</v>
      </c>
      <c r="Y3480" s="3">
        <v>33.869999999999997</v>
      </c>
    </row>
    <row r="3481" spans="1:25" ht="60.75" x14ac:dyDescent="0.25">
      <c r="A3481" s="3" t="s">
        <v>26</v>
      </c>
      <c r="B3481" s="3" t="s">
        <v>27</v>
      </c>
      <c r="C3481" s="3" t="s">
        <v>28</v>
      </c>
      <c r="D3481" s="3" t="s">
        <v>29</v>
      </c>
      <c r="E3481" s="3" t="s">
        <v>119</v>
      </c>
      <c r="F3481" s="3" t="s">
        <v>31</v>
      </c>
      <c r="G3481" s="3" t="s">
        <v>119</v>
      </c>
      <c r="H3481" s="3" t="s">
        <v>96</v>
      </c>
      <c r="I3481" s="3">
        <v>2025</v>
      </c>
      <c r="J3481" s="3" t="str">
        <f>CONCATENATE("54820039888")</f>
        <v>54820039888</v>
      </c>
      <c r="K3481" s="3" t="s">
        <v>33</v>
      </c>
      <c r="L3481" s="3"/>
      <c r="M3481" s="3" t="s">
        <v>131</v>
      </c>
      <c r="N3481" s="3" t="str">
        <f>CONCATENATE("PCTMCL70S09F509G")</f>
        <v>PCTMCL70S09F509G</v>
      </c>
      <c r="O3481" s="3" t="s">
        <v>3602</v>
      </c>
      <c r="P3481" s="3" t="s">
        <v>36</v>
      </c>
      <c r="Q3481" s="3"/>
      <c r="R3481" s="4">
        <v>45996</v>
      </c>
      <c r="S3481" s="3" t="s">
        <v>37</v>
      </c>
      <c r="T3481" s="3" t="s">
        <v>38</v>
      </c>
      <c r="U3481" s="3" t="s">
        <v>39</v>
      </c>
      <c r="V3481" s="3">
        <v>307.87</v>
      </c>
      <c r="W3481" s="3">
        <v>130.84</v>
      </c>
      <c r="X3481" s="3">
        <v>123.92</v>
      </c>
      <c r="Y3481" s="3">
        <v>53.11</v>
      </c>
    </row>
    <row r="3482" spans="1:25" ht="60.75" x14ac:dyDescent="0.25">
      <c r="A3482" s="3" t="s">
        <v>26</v>
      </c>
      <c r="B3482" s="3" t="s">
        <v>27</v>
      </c>
      <c r="C3482" s="3" t="s">
        <v>28</v>
      </c>
      <c r="D3482" s="3" t="s">
        <v>40</v>
      </c>
      <c r="E3482" s="3" t="s">
        <v>218</v>
      </c>
      <c r="F3482" s="3" t="s">
        <v>42</v>
      </c>
      <c r="G3482" s="3" t="s">
        <v>218</v>
      </c>
      <c r="H3482" s="3" t="s">
        <v>45</v>
      </c>
      <c r="I3482" s="3">
        <v>2025</v>
      </c>
      <c r="J3482" s="3" t="str">
        <f>CONCATENATE("54820067079")</f>
        <v>54820067079</v>
      </c>
      <c r="K3482" s="3" t="s">
        <v>33</v>
      </c>
      <c r="L3482" s="3"/>
      <c r="M3482" s="3" t="s">
        <v>131</v>
      </c>
      <c r="N3482" s="3" t="str">
        <f>CONCATENATE("RSTGNI45B22E743X")</f>
        <v>RSTGNI45B22E743X</v>
      </c>
      <c r="O3482" s="3" t="s">
        <v>3603</v>
      </c>
      <c r="P3482" s="3" t="s">
        <v>36</v>
      </c>
      <c r="Q3482" s="3"/>
      <c r="R3482" s="4">
        <v>45996</v>
      </c>
      <c r="S3482" s="3" t="s">
        <v>37</v>
      </c>
      <c r="T3482" s="3" t="s">
        <v>38</v>
      </c>
      <c r="U3482" s="3" t="s">
        <v>39</v>
      </c>
      <c r="V3482" s="3">
        <v>503.11</v>
      </c>
      <c r="W3482" s="3">
        <v>213.82</v>
      </c>
      <c r="X3482" s="3">
        <v>202.5</v>
      </c>
      <c r="Y3482" s="3">
        <v>86.79</v>
      </c>
    </row>
    <row r="3483" spans="1:25" ht="60.75" x14ac:dyDescent="0.25">
      <c r="A3483" s="3" t="s">
        <v>26</v>
      </c>
      <c r="B3483" s="3" t="s">
        <v>27</v>
      </c>
      <c r="C3483" s="3" t="s">
        <v>28</v>
      </c>
      <c r="D3483" s="3" t="s">
        <v>50</v>
      </c>
      <c r="E3483" s="3" t="s">
        <v>51</v>
      </c>
      <c r="F3483" s="3" t="s">
        <v>52</v>
      </c>
      <c r="G3483" s="3" t="s">
        <v>51</v>
      </c>
      <c r="H3483" s="3" t="s">
        <v>48</v>
      </c>
      <c r="I3483" s="3">
        <v>2025</v>
      </c>
      <c r="J3483" s="3" t="str">
        <f>CONCATENATE("54820067723")</f>
        <v>54820067723</v>
      </c>
      <c r="K3483" s="3" t="s">
        <v>33</v>
      </c>
      <c r="L3483" s="3"/>
      <c r="M3483" s="3" t="s">
        <v>131</v>
      </c>
      <c r="N3483" s="3" t="str">
        <f>CONCATENATE("BNALGN55C27A366T")</f>
        <v>BNALGN55C27A366T</v>
      </c>
      <c r="O3483" s="3" t="s">
        <v>3604</v>
      </c>
      <c r="P3483" s="3" t="s">
        <v>36</v>
      </c>
      <c r="Q3483" s="3"/>
      <c r="R3483" s="4">
        <v>45996</v>
      </c>
      <c r="S3483" s="3" t="s">
        <v>37</v>
      </c>
      <c r="T3483" s="3" t="s">
        <v>38</v>
      </c>
      <c r="U3483" s="3" t="s">
        <v>39</v>
      </c>
      <c r="V3483" s="3">
        <v>278.8</v>
      </c>
      <c r="W3483" s="3">
        <v>118.49</v>
      </c>
      <c r="X3483" s="3">
        <v>112.22</v>
      </c>
      <c r="Y3483" s="3">
        <v>48.09</v>
      </c>
    </row>
    <row r="3484" spans="1:25" ht="60.75" x14ac:dyDescent="0.25">
      <c r="A3484" s="3" t="s">
        <v>26</v>
      </c>
      <c r="B3484" s="3" t="s">
        <v>27</v>
      </c>
      <c r="C3484" s="3" t="s">
        <v>28</v>
      </c>
      <c r="D3484" s="3" t="s">
        <v>50</v>
      </c>
      <c r="E3484" s="3" t="s">
        <v>173</v>
      </c>
      <c r="F3484" s="3" t="s">
        <v>52</v>
      </c>
      <c r="G3484" s="3" t="s">
        <v>173</v>
      </c>
      <c r="H3484" s="3" t="s">
        <v>45</v>
      </c>
      <c r="I3484" s="3">
        <v>2025</v>
      </c>
      <c r="J3484" s="3" t="str">
        <f>CONCATENATE("54820032198")</f>
        <v>54820032198</v>
      </c>
      <c r="K3484" s="3" t="s">
        <v>33</v>
      </c>
      <c r="L3484" s="3"/>
      <c r="M3484" s="3" t="s">
        <v>131</v>
      </c>
      <c r="N3484" s="3" t="str">
        <f>CONCATENATE("DGLNMR54S59L078C")</f>
        <v>DGLNMR54S59L078C</v>
      </c>
      <c r="O3484" s="3" t="s">
        <v>3605</v>
      </c>
      <c r="P3484" s="3" t="s">
        <v>36</v>
      </c>
      <c r="Q3484" s="3"/>
      <c r="R3484" s="4">
        <v>45996</v>
      </c>
      <c r="S3484" s="3" t="s">
        <v>37</v>
      </c>
      <c r="T3484" s="3" t="s">
        <v>38</v>
      </c>
      <c r="U3484" s="3" t="s">
        <v>39</v>
      </c>
      <c r="V3484" s="3">
        <v>131.41</v>
      </c>
      <c r="W3484" s="3">
        <v>55.85</v>
      </c>
      <c r="X3484" s="3">
        <v>52.89</v>
      </c>
      <c r="Y3484" s="3">
        <v>22.67</v>
      </c>
    </row>
    <row r="3485" spans="1:25" ht="60.75" x14ac:dyDescent="0.25">
      <c r="A3485" s="3" t="s">
        <v>26</v>
      </c>
      <c r="B3485" s="3" t="s">
        <v>27</v>
      </c>
      <c r="C3485" s="3" t="s">
        <v>28</v>
      </c>
      <c r="D3485" s="3" t="s">
        <v>50</v>
      </c>
      <c r="E3485" s="3" t="s">
        <v>173</v>
      </c>
      <c r="F3485" s="3" t="s">
        <v>52</v>
      </c>
      <c r="G3485" s="3" t="s">
        <v>173</v>
      </c>
      <c r="H3485" s="3" t="s">
        <v>45</v>
      </c>
      <c r="I3485" s="3">
        <v>2025</v>
      </c>
      <c r="J3485" s="3" t="str">
        <f>CONCATENATE("54820021969")</f>
        <v>54820021969</v>
      </c>
      <c r="K3485" s="3" t="s">
        <v>33</v>
      </c>
      <c r="L3485" s="3"/>
      <c r="M3485" s="3" t="s">
        <v>131</v>
      </c>
      <c r="N3485" s="3" t="str">
        <f>CONCATENATE("VNTCRD39B17G551E")</f>
        <v>VNTCRD39B17G551E</v>
      </c>
      <c r="O3485" s="3" t="s">
        <v>3606</v>
      </c>
      <c r="P3485" s="3" t="s">
        <v>36</v>
      </c>
      <c r="Q3485" s="3"/>
      <c r="R3485" s="4">
        <v>45996</v>
      </c>
      <c r="S3485" s="3" t="s">
        <v>37</v>
      </c>
      <c r="T3485" s="3" t="s">
        <v>38</v>
      </c>
      <c r="U3485" s="3" t="s">
        <v>39</v>
      </c>
      <c r="V3485" s="3">
        <v>63.77</v>
      </c>
      <c r="W3485" s="3">
        <v>27.1</v>
      </c>
      <c r="X3485" s="3">
        <v>25.67</v>
      </c>
      <c r="Y3485" s="3">
        <v>11</v>
      </c>
    </row>
    <row r="3486" spans="1:25" ht="60.75" x14ac:dyDescent="0.25">
      <c r="A3486" s="3" t="s">
        <v>26</v>
      </c>
      <c r="B3486" s="3" t="s">
        <v>27</v>
      </c>
      <c r="C3486" s="3" t="s">
        <v>28</v>
      </c>
      <c r="D3486" s="3" t="s">
        <v>50</v>
      </c>
      <c r="E3486" s="3" t="s">
        <v>173</v>
      </c>
      <c r="F3486" s="3" t="s">
        <v>52</v>
      </c>
      <c r="G3486" s="3" t="s">
        <v>173</v>
      </c>
      <c r="H3486" s="3" t="s">
        <v>45</v>
      </c>
      <c r="I3486" s="3">
        <v>2025</v>
      </c>
      <c r="J3486" s="3" t="str">
        <f>CONCATENATE("54820076450")</f>
        <v>54820076450</v>
      </c>
      <c r="K3486" s="3" t="s">
        <v>33</v>
      </c>
      <c r="L3486" s="3"/>
      <c r="M3486" s="3" t="s">
        <v>131</v>
      </c>
      <c r="N3486" s="3" t="str">
        <f>CONCATENATE("RCCNGL73L04E785Z")</f>
        <v>RCCNGL73L04E785Z</v>
      </c>
      <c r="O3486" s="3" t="s">
        <v>3607</v>
      </c>
      <c r="P3486" s="3" t="s">
        <v>36</v>
      </c>
      <c r="Q3486" s="3"/>
      <c r="R3486" s="4">
        <v>45996</v>
      </c>
      <c r="S3486" s="3" t="s">
        <v>37</v>
      </c>
      <c r="T3486" s="3" t="s">
        <v>38</v>
      </c>
      <c r="U3486" s="3" t="s">
        <v>39</v>
      </c>
      <c r="V3486" s="3">
        <v>106.09</v>
      </c>
      <c r="W3486" s="3">
        <v>45.09</v>
      </c>
      <c r="X3486" s="3">
        <v>42.7</v>
      </c>
      <c r="Y3486" s="3">
        <v>18.3</v>
      </c>
    </row>
    <row r="3487" spans="1:25" ht="60.75" x14ac:dyDescent="0.25">
      <c r="A3487" s="3" t="s">
        <v>26</v>
      </c>
      <c r="B3487" s="3" t="s">
        <v>27</v>
      </c>
      <c r="C3487" s="3" t="s">
        <v>28</v>
      </c>
      <c r="D3487" s="3" t="s">
        <v>29</v>
      </c>
      <c r="E3487" s="3" t="s">
        <v>119</v>
      </c>
      <c r="F3487" s="3" t="s">
        <v>31</v>
      </c>
      <c r="G3487" s="3" t="s">
        <v>119</v>
      </c>
      <c r="H3487" s="3" t="s">
        <v>96</v>
      </c>
      <c r="I3487" s="3">
        <v>2025</v>
      </c>
      <c r="J3487" s="3" t="str">
        <f>CONCATENATE("54820054754")</f>
        <v>54820054754</v>
      </c>
      <c r="K3487" s="3" t="s">
        <v>33</v>
      </c>
      <c r="L3487" s="3"/>
      <c r="M3487" s="3" t="s">
        <v>131</v>
      </c>
      <c r="N3487" s="3" t="str">
        <f>CONCATENATE("BNCDNC62M13L103A")</f>
        <v>BNCDNC62M13L103A</v>
      </c>
      <c r="O3487" s="3" t="s">
        <v>3608</v>
      </c>
      <c r="P3487" s="3" t="s">
        <v>36</v>
      </c>
      <c r="Q3487" s="3"/>
      <c r="R3487" s="4">
        <v>45996</v>
      </c>
      <c r="S3487" s="3" t="s">
        <v>37</v>
      </c>
      <c r="T3487" s="3" t="s">
        <v>38</v>
      </c>
      <c r="U3487" s="3" t="s">
        <v>39</v>
      </c>
      <c r="V3487" s="3">
        <v>523.64</v>
      </c>
      <c r="W3487" s="3">
        <v>222.55</v>
      </c>
      <c r="X3487" s="3">
        <v>210.77</v>
      </c>
      <c r="Y3487" s="3">
        <v>90.32</v>
      </c>
    </row>
    <row r="3488" spans="1:25" ht="60.75" x14ac:dyDescent="0.25">
      <c r="A3488" s="3" t="s">
        <v>26</v>
      </c>
      <c r="B3488" s="3" t="s">
        <v>27</v>
      </c>
      <c r="C3488" s="3" t="s">
        <v>28</v>
      </c>
      <c r="D3488" s="3" t="s">
        <v>29</v>
      </c>
      <c r="E3488" s="3" t="s">
        <v>119</v>
      </c>
      <c r="F3488" s="3" t="s">
        <v>31</v>
      </c>
      <c r="G3488" s="3" t="s">
        <v>119</v>
      </c>
      <c r="H3488" s="3" t="s">
        <v>96</v>
      </c>
      <c r="I3488" s="3">
        <v>2025</v>
      </c>
      <c r="J3488" s="3" t="str">
        <f>CONCATENATE("54820026349")</f>
        <v>54820026349</v>
      </c>
      <c r="K3488" s="3" t="s">
        <v>33</v>
      </c>
      <c r="L3488" s="3"/>
      <c r="M3488" s="3" t="s">
        <v>131</v>
      </c>
      <c r="N3488" s="3" t="str">
        <f>CONCATENATE("CRZTNN57C16A252X")</f>
        <v>CRZTNN57C16A252X</v>
      </c>
      <c r="O3488" s="3" t="s">
        <v>3609</v>
      </c>
      <c r="P3488" s="3" t="s">
        <v>36</v>
      </c>
      <c r="Q3488" s="3"/>
      <c r="R3488" s="4">
        <v>45996</v>
      </c>
      <c r="S3488" s="3" t="s">
        <v>37</v>
      </c>
      <c r="T3488" s="3" t="s">
        <v>38</v>
      </c>
      <c r="U3488" s="3" t="s">
        <v>39</v>
      </c>
      <c r="V3488" s="3">
        <v>62.99</v>
      </c>
      <c r="W3488" s="3">
        <v>26.77</v>
      </c>
      <c r="X3488" s="3">
        <v>25.35</v>
      </c>
      <c r="Y3488" s="3">
        <v>10.87</v>
      </c>
    </row>
    <row r="3489" spans="1:25" ht="60.75" x14ac:dyDescent="0.25">
      <c r="A3489" s="3" t="s">
        <v>26</v>
      </c>
      <c r="B3489" s="3" t="s">
        <v>27</v>
      </c>
      <c r="C3489" s="3" t="s">
        <v>28</v>
      </c>
      <c r="D3489" s="3" t="s">
        <v>29</v>
      </c>
      <c r="E3489" s="3" t="s">
        <v>228</v>
      </c>
      <c r="F3489" s="3" t="s">
        <v>31</v>
      </c>
      <c r="G3489" s="3" t="s">
        <v>228</v>
      </c>
      <c r="H3489" s="3" t="s">
        <v>45</v>
      </c>
      <c r="I3489" s="3">
        <v>2025</v>
      </c>
      <c r="J3489" s="3" t="str">
        <f>CONCATENATE("54820039763")</f>
        <v>54820039763</v>
      </c>
      <c r="K3489" s="3" t="s">
        <v>33</v>
      </c>
      <c r="L3489" s="3"/>
      <c r="M3489" s="3" t="s">
        <v>131</v>
      </c>
      <c r="N3489" s="3" t="str">
        <f>CONCATENATE("MSCLSU46S58D749Y")</f>
        <v>MSCLSU46S58D749Y</v>
      </c>
      <c r="O3489" s="3" t="s">
        <v>3610</v>
      </c>
      <c r="P3489" s="3" t="s">
        <v>36</v>
      </c>
      <c r="Q3489" s="3"/>
      <c r="R3489" s="4">
        <v>45996</v>
      </c>
      <c r="S3489" s="3" t="s">
        <v>37</v>
      </c>
      <c r="T3489" s="3" t="s">
        <v>38</v>
      </c>
      <c r="U3489" s="3" t="s">
        <v>39</v>
      </c>
      <c r="V3489" s="3">
        <v>66.19</v>
      </c>
      <c r="W3489" s="3">
        <v>28.13</v>
      </c>
      <c r="X3489" s="3">
        <v>26.64</v>
      </c>
      <c r="Y3489" s="3">
        <v>11.42</v>
      </c>
    </row>
    <row r="3490" spans="1:25" ht="36.75" x14ac:dyDescent="0.25">
      <c r="A3490" s="3" t="s">
        <v>26</v>
      </c>
      <c r="B3490" s="3" t="s">
        <v>27</v>
      </c>
      <c r="C3490" s="3" t="s">
        <v>28</v>
      </c>
      <c r="D3490" s="3" t="s">
        <v>91</v>
      </c>
      <c r="E3490" s="3" t="s">
        <v>95</v>
      </c>
      <c r="F3490" s="3" t="s">
        <v>93</v>
      </c>
      <c r="G3490" s="3" t="s">
        <v>95</v>
      </c>
      <c r="H3490" s="3" t="s">
        <v>32</v>
      </c>
      <c r="I3490" s="3">
        <v>2025</v>
      </c>
      <c r="J3490" s="3" t="str">
        <f>CONCATENATE("54820070008")</f>
        <v>54820070008</v>
      </c>
      <c r="K3490" s="3" t="s">
        <v>33</v>
      </c>
      <c r="L3490" s="3"/>
      <c r="M3490" s="3" t="s">
        <v>131</v>
      </c>
      <c r="N3490" s="3" t="str">
        <f>CONCATENATE("01941310433")</f>
        <v>01941310433</v>
      </c>
      <c r="O3490" s="3" t="s">
        <v>3611</v>
      </c>
      <c r="P3490" s="3" t="s">
        <v>36</v>
      </c>
      <c r="Q3490" s="3"/>
      <c r="R3490" s="4">
        <v>45996</v>
      </c>
      <c r="S3490" s="3" t="s">
        <v>37</v>
      </c>
      <c r="T3490" s="3" t="s">
        <v>38</v>
      </c>
      <c r="U3490" s="3" t="s">
        <v>39</v>
      </c>
      <c r="V3490" s="3">
        <v>158.85</v>
      </c>
      <c r="W3490" s="3">
        <v>67.510000000000005</v>
      </c>
      <c r="X3490" s="3">
        <v>63.94</v>
      </c>
      <c r="Y3490" s="3">
        <v>27.4</v>
      </c>
    </row>
    <row r="3491" spans="1:25" ht="60.75" x14ac:dyDescent="0.25">
      <c r="A3491" s="3" t="s">
        <v>26</v>
      </c>
      <c r="B3491" s="3" t="s">
        <v>27</v>
      </c>
      <c r="C3491" s="3" t="s">
        <v>28</v>
      </c>
      <c r="D3491" s="3" t="s">
        <v>40</v>
      </c>
      <c r="E3491" s="3" t="s">
        <v>54</v>
      </c>
      <c r="F3491" s="3" t="s">
        <v>42</v>
      </c>
      <c r="G3491" s="3" t="s">
        <v>54</v>
      </c>
      <c r="H3491" s="3" t="s">
        <v>45</v>
      </c>
      <c r="I3491" s="3">
        <v>2025</v>
      </c>
      <c r="J3491" s="3" t="str">
        <f>CONCATENATE("54820029251")</f>
        <v>54820029251</v>
      </c>
      <c r="K3491" s="3" t="s">
        <v>33</v>
      </c>
      <c r="L3491" s="3"/>
      <c r="M3491" s="3" t="s">
        <v>131</v>
      </c>
      <c r="N3491" s="3" t="str">
        <f>CONCATENATE("BRVMSM69L28E785Y")</f>
        <v>BRVMSM69L28E785Y</v>
      </c>
      <c r="O3491" s="3" t="s">
        <v>3612</v>
      </c>
      <c r="P3491" s="3" t="s">
        <v>36</v>
      </c>
      <c r="Q3491" s="3"/>
      <c r="R3491" s="4">
        <v>45996</v>
      </c>
      <c r="S3491" s="3" t="s">
        <v>37</v>
      </c>
      <c r="T3491" s="3" t="s">
        <v>38</v>
      </c>
      <c r="U3491" s="3" t="s">
        <v>39</v>
      </c>
      <c r="V3491" s="3">
        <v>136.27000000000001</v>
      </c>
      <c r="W3491" s="3">
        <v>57.91</v>
      </c>
      <c r="X3491" s="3">
        <v>54.85</v>
      </c>
      <c r="Y3491" s="3">
        <v>23.51</v>
      </c>
    </row>
    <row r="3492" spans="1:25" ht="72.75" x14ac:dyDescent="0.25">
      <c r="A3492" s="3" t="s">
        <v>26</v>
      </c>
      <c r="B3492" s="3" t="s">
        <v>27</v>
      </c>
      <c r="C3492" s="3" t="s">
        <v>28</v>
      </c>
      <c r="D3492" s="3" t="s">
        <v>29</v>
      </c>
      <c r="E3492" s="3" t="s">
        <v>119</v>
      </c>
      <c r="F3492" s="3" t="s">
        <v>31</v>
      </c>
      <c r="G3492" s="3" t="s">
        <v>119</v>
      </c>
      <c r="H3492" s="3" t="s">
        <v>96</v>
      </c>
      <c r="I3492" s="3">
        <v>2025</v>
      </c>
      <c r="J3492" s="3" t="str">
        <f>CONCATENATE("54820022645")</f>
        <v>54820022645</v>
      </c>
      <c r="K3492" s="3" t="s">
        <v>33</v>
      </c>
      <c r="L3492" s="3"/>
      <c r="M3492" s="3" t="s">
        <v>131</v>
      </c>
      <c r="N3492" s="3" t="str">
        <f>CONCATENATE("CTTMSM61P23I774N")</f>
        <v>CTTMSM61P23I774N</v>
      </c>
      <c r="O3492" s="3" t="s">
        <v>3613</v>
      </c>
      <c r="P3492" s="3" t="s">
        <v>36</v>
      </c>
      <c r="Q3492" s="3"/>
      <c r="R3492" s="4">
        <v>45996</v>
      </c>
      <c r="S3492" s="3" t="s">
        <v>37</v>
      </c>
      <c r="T3492" s="3" t="s">
        <v>38</v>
      </c>
      <c r="U3492" s="3" t="s">
        <v>39</v>
      </c>
      <c r="V3492" s="3">
        <v>60.75</v>
      </c>
      <c r="W3492" s="3">
        <v>25.82</v>
      </c>
      <c r="X3492" s="3">
        <v>24.45</v>
      </c>
      <c r="Y3492" s="3">
        <v>10.48</v>
      </c>
    </row>
    <row r="3493" spans="1:25" ht="60.75" x14ac:dyDescent="0.25">
      <c r="A3493" s="3" t="s">
        <v>26</v>
      </c>
      <c r="B3493" s="3" t="s">
        <v>27</v>
      </c>
      <c r="C3493" s="3" t="s">
        <v>28</v>
      </c>
      <c r="D3493" s="3" t="s">
        <v>50</v>
      </c>
      <c r="E3493" s="3" t="s">
        <v>173</v>
      </c>
      <c r="F3493" s="3" t="s">
        <v>52</v>
      </c>
      <c r="G3493" s="3" t="s">
        <v>173</v>
      </c>
      <c r="H3493" s="3" t="s">
        <v>45</v>
      </c>
      <c r="I3493" s="3">
        <v>2025</v>
      </c>
      <c r="J3493" s="3" t="str">
        <f>CONCATENATE("54820050034")</f>
        <v>54820050034</v>
      </c>
      <c r="K3493" s="3" t="s">
        <v>33</v>
      </c>
      <c r="L3493" s="3"/>
      <c r="M3493" s="3" t="s">
        <v>131</v>
      </c>
      <c r="N3493" s="3" t="str">
        <f>CONCATENATE("DNGTZN59H41F524G")</f>
        <v>DNGTZN59H41F524G</v>
      </c>
      <c r="O3493" s="3" t="s">
        <v>3614</v>
      </c>
      <c r="P3493" s="3" t="s">
        <v>36</v>
      </c>
      <c r="Q3493" s="3"/>
      <c r="R3493" s="4">
        <v>45996</v>
      </c>
      <c r="S3493" s="3" t="s">
        <v>37</v>
      </c>
      <c r="T3493" s="3" t="s">
        <v>38</v>
      </c>
      <c r="U3493" s="3" t="s">
        <v>39</v>
      </c>
      <c r="V3493" s="3">
        <v>241.2</v>
      </c>
      <c r="W3493" s="3">
        <v>102.51</v>
      </c>
      <c r="X3493" s="3">
        <v>97.08</v>
      </c>
      <c r="Y3493" s="3">
        <v>41.61</v>
      </c>
    </row>
    <row r="3494" spans="1:25" ht="36.75" x14ac:dyDescent="0.25">
      <c r="A3494" s="3" t="s">
        <v>26</v>
      </c>
      <c r="B3494" s="3" t="s">
        <v>27</v>
      </c>
      <c r="C3494" s="3" t="s">
        <v>28</v>
      </c>
      <c r="D3494" s="3" t="s">
        <v>40</v>
      </c>
      <c r="E3494" s="3" t="s">
        <v>287</v>
      </c>
      <c r="F3494" s="3" t="s">
        <v>42</v>
      </c>
      <c r="G3494" s="3" t="s">
        <v>287</v>
      </c>
      <c r="H3494" s="3" t="s">
        <v>32</v>
      </c>
      <c r="I3494" s="3">
        <v>2025</v>
      </c>
      <c r="J3494" s="3" t="str">
        <f>CONCATENATE("54820071444")</f>
        <v>54820071444</v>
      </c>
      <c r="K3494" s="3" t="s">
        <v>33</v>
      </c>
      <c r="L3494" s="3"/>
      <c r="M3494" s="3" t="s">
        <v>131</v>
      </c>
      <c r="N3494" s="3" t="str">
        <f>CONCATENATE("02003040439")</f>
        <v>02003040439</v>
      </c>
      <c r="O3494" s="3" t="s">
        <v>3615</v>
      </c>
      <c r="P3494" s="3" t="s">
        <v>36</v>
      </c>
      <c r="Q3494" s="3"/>
      <c r="R3494" s="4">
        <v>45996</v>
      </c>
      <c r="S3494" s="3" t="s">
        <v>37</v>
      </c>
      <c r="T3494" s="3" t="s">
        <v>38</v>
      </c>
      <c r="U3494" s="3" t="s">
        <v>39</v>
      </c>
      <c r="V3494" s="5">
        <v>1054.69</v>
      </c>
      <c r="W3494" s="3">
        <v>448.24</v>
      </c>
      <c r="X3494" s="3">
        <v>424.51</v>
      </c>
      <c r="Y3494" s="3">
        <v>181.94</v>
      </c>
    </row>
    <row r="3495" spans="1:25" ht="36.75" x14ac:dyDescent="0.25">
      <c r="A3495" s="3" t="s">
        <v>26</v>
      </c>
      <c r="B3495" s="3" t="s">
        <v>27</v>
      </c>
      <c r="C3495" s="3" t="s">
        <v>28</v>
      </c>
      <c r="D3495" s="3" t="s">
        <v>29</v>
      </c>
      <c r="E3495" s="3" t="s">
        <v>119</v>
      </c>
      <c r="F3495" s="3" t="s">
        <v>31</v>
      </c>
      <c r="G3495" s="3" t="s">
        <v>119</v>
      </c>
      <c r="H3495" s="3" t="s">
        <v>96</v>
      </c>
      <c r="I3495" s="3">
        <v>2025</v>
      </c>
      <c r="J3495" s="3" t="str">
        <f>CONCATENATE("54820044243")</f>
        <v>54820044243</v>
      </c>
      <c r="K3495" s="3" t="s">
        <v>33</v>
      </c>
      <c r="L3495" s="3"/>
      <c r="M3495" s="3" t="s">
        <v>131</v>
      </c>
      <c r="N3495" s="3" t="str">
        <f>CONCATENATE("00708180443")</f>
        <v>00708180443</v>
      </c>
      <c r="O3495" s="3" t="s">
        <v>3616</v>
      </c>
      <c r="P3495" s="3" t="s">
        <v>36</v>
      </c>
      <c r="Q3495" s="3"/>
      <c r="R3495" s="4">
        <v>45996</v>
      </c>
      <c r="S3495" s="3" t="s">
        <v>37</v>
      </c>
      <c r="T3495" s="3" t="s">
        <v>38</v>
      </c>
      <c r="U3495" s="3" t="s">
        <v>39</v>
      </c>
      <c r="V3495" s="3">
        <v>401.04</v>
      </c>
      <c r="W3495" s="3">
        <v>170.44</v>
      </c>
      <c r="X3495" s="3">
        <v>161.41999999999999</v>
      </c>
      <c r="Y3495" s="3">
        <v>69.180000000000007</v>
      </c>
    </row>
    <row r="3496" spans="1:25" ht="60.75" x14ac:dyDescent="0.25">
      <c r="A3496" s="3" t="s">
        <v>26</v>
      </c>
      <c r="B3496" s="3" t="s">
        <v>27</v>
      </c>
      <c r="C3496" s="3" t="s">
        <v>28</v>
      </c>
      <c r="D3496" s="3" t="s">
        <v>50</v>
      </c>
      <c r="E3496" s="3" t="s">
        <v>60</v>
      </c>
      <c r="F3496" s="3" t="s">
        <v>52</v>
      </c>
      <c r="G3496" s="3" t="s">
        <v>60</v>
      </c>
      <c r="H3496" s="3" t="s">
        <v>45</v>
      </c>
      <c r="I3496" s="3">
        <v>2025</v>
      </c>
      <c r="J3496" s="3" t="str">
        <f>CONCATENATE("54820094735")</f>
        <v>54820094735</v>
      </c>
      <c r="K3496" s="3" t="s">
        <v>33</v>
      </c>
      <c r="L3496" s="3"/>
      <c r="M3496" s="3" t="s">
        <v>131</v>
      </c>
      <c r="N3496" s="3" t="str">
        <f>CONCATENATE("FLPPTR46M10I654P")</f>
        <v>FLPPTR46M10I654P</v>
      </c>
      <c r="O3496" s="3" t="s">
        <v>3617</v>
      </c>
      <c r="P3496" s="3" t="s">
        <v>36</v>
      </c>
      <c r="Q3496" s="3"/>
      <c r="R3496" s="4">
        <v>45996</v>
      </c>
      <c r="S3496" s="3" t="s">
        <v>37</v>
      </c>
      <c r="T3496" s="3" t="s">
        <v>38</v>
      </c>
      <c r="U3496" s="3" t="s">
        <v>39</v>
      </c>
      <c r="V3496" s="3">
        <v>225.76</v>
      </c>
      <c r="W3496" s="3">
        <v>95.95</v>
      </c>
      <c r="X3496" s="3">
        <v>90.87</v>
      </c>
      <c r="Y3496" s="3">
        <v>38.94</v>
      </c>
    </row>
    <row r="3497" spans="1:25" ht="60.75" x14ac:dyDescent="0.25">
      <c r="A3497" s="3" t="s">
        <v>26</v>
      </c>
      <c r="B3497" s="3" t="s">
        <v>27</v>
      </c>
      <c r="C3497" s="3" t="s">
        <v>28</v>
      </c>
      <c r="D3497" s="3" t="s">
        <v>40</v>
      </c>
      <c r="E3497" s="3" t="s">
        <v>122</v>
      </c>
      <c r="F3497" s="3" t="s">
        <v>42</v>
      </c>
      <c r="G3497" s="3" t="s">
        <v>122</v>
      </c>
      <c r="H3497" s="3" t="s">
        <v>32</v>
      </c>
      <c r="I3497" s="3">
        <v>2025</v>
      </c>
      <c r="J3497" s="3" t="str">
        <f>CONCATENATE("54820082391")</f>
        <v>54820082391</v>
      </c>
      <c r="K3497" s="3" t="s">
        <v>33</v>
      </c>
      <c r="L3497" s="3"/>
      <c r="M3497" s="3" t="s">
        <v>131</v>
      </c>
      <c r="N3497" s="3" t="str">
        <f>CONCATENATE("VRLRSO49S70I436R")</f>
        <v>VRLRSO49S70I436R</v>
      </c>
      <c r="O3497" s="3" t="s">
        <v>3618</v>
      </c>
      <c r="P3497" s="3" t="s">
        <v>36</v>
      </c>
      <c r="Q3497" s="3"/>
      <c r="R3497" s="4">
        <v>45996</v>
      </c>
      <c r="S3497" s="3" t="s">
        <v>37</v>
      </c>
      <c r="T3497" s="3" t="s">
        <v>38</v>
      </c>
      <c r="U3497" s="3" t="s">
        <v>39</v>
      </c>
      <c r="V3497" s="3">
        <v>79.680000000000007</v>
      </c>
      <c r="W3497" s="3">
        <v>33.86</v>
      </c>
      <c r="X3497" s="3">
        <v>32.07</v>
      </c>
      <c r="Y3497" s="3">
        <v>13.75</v>
      </c>
    </row>
    <row r="3498" spans="1:25" ht="72.75" x14ac:dyDescent="0.25">
      <c r="A3498" s="3" t="s">
        <v>26</v>
      </c>
      <c r="B3498" s="3" t="s">
        <v>27</v>
      </c>
      <c r="C3498" s="3" t="s">
        <v>28</v>
      </c>
      <c r="D3498" s="3" t="s">
        <v>104</v>
      </c>
      <c r="E3498" s="3" t="s">
        <v>661</v>
      </c>
      <c r="F3498" s="3" t="s">
        <v>104</v>
      </c>
      <c r="G3498" s="3" t="s">
        <v>661</v>
      </c>
      <c r="H3498" s="3" t="s">
        <v>45</v>
      </c>
      <c r="I3498" s="3">
        <v>2025</v>
      </c>
      <c r="J3498" s="3" t="str">
        <f>CONCATENATE("54820008008")</f>
        <v>54820008008</v>
      </c>
      <c r="K3498" s="3" t="s">
        <v>33</v>
      </c>
      <c r="L3498" s="3"/>
      <c r="M3498" s="3" t="s">
        <v>131</v>
      </c>
      <c r="N3498" s="3" t="str">
        <f>CONCATENATE("GLNNMR38B47F137Z")</f>
        <v>GLNNMR38B47F137Z</v>
      </c>
      <c r="O3498" s="3" t="s">
        <v>3619</v>
      </c>
      <c r="P3498" s="3" t="s">
        <v>36</v>
      </c>
      <c r="Q3498" s="3"/>
      <c r="R3498" s="4">
        <v>45996</v>
      </c>
      <c r="S3498" s="3" t="s">
        <v>37</v>
      </c>
      <c r="T3498" s="3" t="s">
        <v>38</v>
      </c>
      <c r="U3498" s="3" t="s">
        <v>39</v>
      </c>
      <c r="V3498" s="3">
        <v>579.47</v>
      </c>
      <c r="W3498" s="3">
        <v>246.27</v>
      </c>
      <c r="X3498" s="3">
        <v>233.24</v>
      </c>
      <c r="Y3498" s="3">
        <v>99.96</v>
      </c>
    </row>
    <row r="3499" spans="1:25" ht="60.75" x14ac:dyDescent="0.25">
      <c r="A3499" s="3" t="s">
        <v>26</v>
      </c>
      <c r="B3499" s="3" t="s">
        <v>27</v>
      </c>
      <c r="C3499" s="3" t="s">
        <v>28</v>
      </c>
      <c r="D3499" s="3" t="s">
        <v>40</v>
      </c>
      <c r="E3499" s="3" t="s">
        <v>99</v>
      </c>
      <c r="F3499" s="3" t="s">
        <v>42</v>
      </c>
      <c r="G3499" s="3" t="s">
        <v>99</v>
      </c>
      <c r="H3499" s="3" t="s">
        <v>32</v>
      </c>
      <c r="I3499" s="3">
        <v>2025</v>
      </c>
      <c r="J3499" s="3" t="str">
        <f>CONCATENATE("54820081591")</f>
        <v>54820081591</v>
      </c>
      <c r="K3499" s="3" t="s">
        <v>33</v>
      </c>
      <c r="L3499" s="3"/>
      <c r="M3499" s="3" t="s">
        <v>131</v>
      </c>
      <c r="N3499" s="3" t="str">
        <f>CONCATENATE("CRLFRC82H26L191M")</f>
        <v>CRLFRC82H26L191M</v>
      </c>
      <c r="O3499" s="3" t="s">
        <v>3620</v>
      </c>
      <c r="P3499" s="3" t="s">
        <v>36</v>
      </c>
      <c r="Q3499" s="3"/>
      <c r="R3499" s="4">
        <v>45996</v>
      </c>
      <c r="S3499" s="3" t="s">
        <v>37</v>
      </c>
      <c r="T3499" s="3" t="s">
        <v>38</v>
      </c>
      <c r="U3499" s="3" t="s">
        <v>39</v>
      </c>
      <c r="V3499" s="3">
        <v>315.55</v>
      </c>
      <c r="W3499" s="3">
        <v>134.11000000000001</v>
      </c>
      <c r="X3499" s="3">
        <v>127.01</v>
      </c>
      <c r="Y3499" s="3">
        <v>54.43</v>
      </c>
    </row>
    <row r="3500" spans="1:25" ht="60.75" x14ac:dyDescent="0.25">
      <c r="A3500" s="3" t="s">
        <v>26</v>
      </c>
      <c r="B3500" s="3" t="s">
        <v>27</v>
      </c>
      <c r="C3500" s="3" t="s">
        <v>28</v>
      </c>
      <c r="D3500" s="3" t="s">
        <v>29</v>
      </c>
      <c r="E3500" s="3" t="s">
        <v>47</v>
      </c>
      <c r="F3500" s="3" t="s">
        <v>31</v>
      </c>
      <c r="G3500" s="3" t="s">
        <v>47</v>
      </c>
      <c r="H3500" s="3" t="s">
        <v>48</v>
      </c>
      <c r="I3500" s="3">
        <v>2025</v>
      </c>
      <c r="J3500" s="3" t="str">
        <f>CONCATENATE("54820047352")</f>
        <v>54820047352</v>
      </c>
      <c r="K3500" s="3" t="s">
        <v>33</v>
      </c>
      <c r="L3500" s="3"/>
      <c r="M3500" s="3" t="s">
        <v>131</v>
      </c>
      <c r="N3500" s="3" t="str">
        <f>CONCATENATE("LBRLVO72D54D451B")</f>
        <v>LBRLVO72D54D451B</v>
      </c>
      <c r="O3500" s="3" t="s">
        <v>3621</v>
      </c>
      <c r="P3500" s="3" t="s">
        <v>36</v>
      </c>
      <c r="Q3500" s="3"/>
      <c r="R3500" s="4">
        <v>45996</v>
      </c>
      <c r="S3500" s="3" t="s">
        <v>37</v>
      </c>
      <c r="T3500" s="3" t="s">
        <v>38</v>
      </c>
      <c r="U3500" s="3" t="s">
        <v>39</v>
      </c>
      <c r="V3500" s="3">
        <v>55.08</v>
      </c>
      <c r="W3500" s="3">
        <v>23.41</v>
      </c>
      <c r="X3500" s="3">
        <v>22.17</v>
      </c>
      <c r="Y3500" s="3">
        <v>9.5</v>
      </c>
    </row>
    <row r="3501" spans="1:25" ht="60.75" x14ac:dyDescent="0.25">
      <c r="A3501" s="3" t="s">
        <v>26</v>
      </c>
      <c r="B3501" s="3" t="s">
        <v>27</v>
      </c>
      <c r="C3501" s="3" t="s">
        <v>28</v>
      </c>
      <c r="D3501" s="3" t="s">
        <v>50</v>
      </c>
      <c r="E3501" s="3" t="s">
        <v>60</v>
      </c>
      <c r="F3501" s="3" t="s">
        <v>52</v>
      </c>
      <c r="G3501" s="3" t="s">
        <v>60</v>
      </c>
      <c r="H3501" s="3" t="s">
        <v>45</v>
      </c>
      <c r="I3501" s="3">
        <v>2025</v>
      </c>
      <c r="J3501" s="3" t="str">
        <f>CONCATENATE("54820101472")</f>
        <v>54820101472</v>
      </c>
      <c r="K3501" s="3" t="s">
        <v>33</v>
      </c>
      <c r="L3501" s="3"/>
      <c r="M3501" s="3" t="s">
        <v>131</v>
      </c>
      <c r="N3501" s="3" t="str">
        <f>CONCATENATE("SDRRRT71C22Z133C")</f>
        <v>SDRRRT71C22Z133C</v>
      </c>
      <c r="O3501" s="3" t="s">
        <v>3622</v>
      </c>
      <c r="P3501" s="3" t="s">
        <v>36</v>
      </c>
      <c r="Q3501" s="3"/>
      <c r="R3501" s="4">
        <v>45996</v>
      </c>
      <c r="S3501" s="3" t="s">
        <v>37</v>
      </c>
      <c r="T3501" s="3" t="s">
        <v>38</v>
      </c>
      <c r="U3501" s="3" t="s">
        <v>39</v>
      </c>
      <c r="V3501" s="3">
        <v>80.33</v>
      </c>
      <c r="W3501" s="3">
        <v>34.14</v>
      </c>
      <c r="X3501" s="3">
        <v>32.33</v>
      </c>
      <c r="Y3501" s="3">
        <v>13.86</v>
      </c>
    </row>
    <row r="3502" spans="1:25" ht="72.75" x14ac:dyDescent="0.25">
      <c r="A3502" s="3" t="s">
        <v>26</v>
      </c>
      <c r="B3502" s="3" t="s">
        <v>27</v>
      </c>
      <c r="C3502" s="3" t="s">
        <v>28</v>
      </c>
      <c r="D3502" s="3" t="s">
        <v>50</v>
      </c>
      <c r="E3502" s="3" t="s">
        <v>252</v>
      </c>
      <c r="F3502" s="3" t="s">
        <v>52</v>
      </c>
      <c r="G3502" s="3" t="s">
        <v>252</v>
      </c>
      <c r="H3502" s="3" t="s">
        <v>45</v>
      </c>
      <c r="I3502" s="3">
        <v>2025</v>
      </c>
      <c r="J3502" s="3" t="str">
        <f>CONCATENATE("54820191515")</f>
        <v>54820191515</v>
      </c>
      <c r="K3502" s="3" t="s">
        <v>33</v>
      </c>
      <c r="L3502" s="3"/>
      <c r="M3502" s="3" t="s">
        <v>131</v>
      </c>
      <c r="N3502" s="3" t="str">
        <f>CONCATENATE("LCRMGS50D54G453Q")</f>
        <v>LCRMGS50D54G453Q</v>
      </c>
      <c r="O3502" s="3" t="s">
        <v>3623</v>
      </c>
      <c r="P3502" s="3" t="s">
        <v>36</v>
      </c>
      <c r="Q3502" s="3"/>
      <c r="R3502" s="4">
        <v>45996</v>
      </c>
      <c r="S3502" s="3" t="s">
        <v>37</v>
      </c>
      <c r="T3502" s="3" t="s">
        <v>38</v>
      </c>
      <c r="U3502" s="3" t="s">
        <v>39</v>
      </c>
      <c r="V3502" s="3">
        <v>119.21</v>
      </c>
      <c r="W3502" s="3">
        <v>50.66</v>
      </c>
      <c r="X3502" s="3">
        <v>47.98</v>
      </c>
      <c r="Y3502" s="3">
        <v>20.57</v>
      </c>
    </row>
    <row r="3503" spans="1:25" ht="60.75" x14ac:dyDescent="0.25">
      <c r="A3503" s="3" t="s">
        <v>26</v>
      </c>
      <c r="B3503" s="3" t="s">
        <v>27</v>
      </c>
      <c r="C3503" s="3" t="s">
        <v>28</v>
      </c>
      <c r="D3503" s="3" t="s">
        <v>50</v>
      </c>
      <c r="E3503" s="3" t="s">
        <v>252</v>
      </c>
      <c r="F3503" s="3" t="s">
        <v>52</v>
      </c>
      <c r="G3503" s="3" t="s">
        <v>252</v>
      </c>
      <c r="H3503" s="3" t="s">
        <v>45</v>
      </c>
      <c r="I3503" s="3">
        <v>2025</v>
      </c>
      <c r="J3503" s="3" t="str">
        <f>CONCATENATE("54820213517")</f>
        <v>54820213517</v>
      </c>
      <c r="K3503" s="3" t="s">
        <v>33</v>
      </c>
      <c r="L3503" s="3"/>
      <c r="M3503" s="3" t="s">
        <v>131</v>
      </c>
      <c r="N3503" s="3" t="str">
        <f>CONCATENATE("VLNGCR52P05F497K")</f>
        <v>VLNGCR52P05F497K</v>
      </c>
      <c r="O3503" s="3" t="s">
        <v>3624</v>
      </c>
      <c r="P3503" s="3" t="s">
        <v>36</v>
      </c>
      <c r="Q3503" s="3"/>
      <c r="R3503" s="4">
        <v>45996</v>
      </c>
      <c r="S3503" s="3" t="s">
        <v>37</v>
      </c>
      <c r="T3503" s="3" t="s">
        <v>38</v>
      </c>
      <c r="U3503" s="3" t="s">
        <v>39</v>
      </c>
      <c r="V3503" s="3">
        <v>100.66</v>
      </c>
      <c r="W3503" s="3">
        <v>42.78</v>
      </c>
      <c r="X3503" s="3">
        <v>40.520000000000003</v>
      </c>
      <c r="Y3503" s="3">
        <v>17.36</v>
      </c>
    </row>
    <row r="3504" spans="1:25" ht="36.75" x14ac:dyDescent="0.25">
      <c r="A3504" s="3" t="s">
        <v>26</v>
      </c>
      <c r="B3504" s="3" t="s">
        <v>27</v>
      </c>
      <c r="C3504" s="3" t="s">
        <v>28</v>
      </c>
      <c r="D3504" s="3" t="s">
        <v>91</v>
      </c>
      <c r="E3504" s="3" t="s">
        <v>151</v>
      </c>
      <c r="F3504" s="3" t="s">
        <v>93</v>
      </c>
      <c r="G3504" s="3" t="s">
        <v>151</v>
      </c>
      <c r="H3504" s="3" t="s">
        <v>45</v>
      </c>
      <c r="I3504" s="3">
        <v>2025</v>
      </c>
      <c r="J3504" s="3" t="str">
        <f>CONCATENATE("54820174784")</f>
        <v>54820174784</v>
      </c>
      <c r="K3504" s="3" t="s">
        <v>33</v>
      </c>
      <c r="L3504" s="3"/>
      <c r="M3504" s="3" t="s">
        <v>131</v>
      </c>
      <c r="N3504" s="3" t="str">
        <f>CONCATENATE("00935200410")</f>
        <v>00935200410</v>
      </c>
      <c r="O3504" s="3" t="s">
        <v>3625</v>
      </c>
      <c r="P3504" s="3" t="s">
        <v>36</v>
      </c>
      <c r="Q3504" s="3"/>
      <c r="R3504" s="4">
        <v>45996</v>
      </c>
      <c r="S3504" s="3" t="s">
        <v>37</v>
      </c>
      <c r="T3504" s="3" t="s">
        <v>38</v>
      </c>
      <c r="U3504" s="3" t="s">
        <v>39</v>
      </c>
      <c r="V3504" s="3">
        <v>212.92</v>
      </c>
      <c r="W3504" s="3">
        <v>90.49</v>
      </c>
      <c r="X3504" s="3">
        <v>85.7</v>
      </c>
      <c r="Y3504" s="3">
        <v>36.729999999999997</v>
      </c>
    </row>
    <row r="3505" spans="1:25" ht="36.75" x14ac:dyDescent="0.25">
      <c r="A3505" s="3" t="s">
        <v>26</v>
      </c>
      <c r="B3505" s="3" t="s">
        <v>27</v>
      </c>
      <c r="C3505" s="3" t="s">
        <v>28</v>
      </c>
      <c r="D3505" s="3" t="s">
        <v>29</v>
      </c>
      <c r="E3505" s="3" t="s">
        <v>476</v>
      </c>
      <c r="F3505" s="3" t="s">
        <v>31</v>
      </c>
      <c r="G3505" s="3" t="s">
        <v>476</v>
      </c>
      <c r="H3505" s="3" t="s">
        <v>48</v>
      </c>
      <c r="I3505" s="3">
        <v>2025</v>
      </c>
      <c r="J3505" s="3" t="str">
        <f>CONCATENATE("54820155858")</f>
        <v>54820155858</v>
      </c>
      <c r="K3505" s="3" t="s">
        <v>33</v>
      </c>
      <c r="L3505" s="3"/>
      <c r="M3505" s="3" t="s">
        <v>131</v>
      </c>
      <c r="N3505" s="3" t="str">
        <f>CONCATENATE("01808070435")</f>
        <v>01808070435</v>
      </c>
      <c r="O3505" s="3" t="s">
        <v>3626</v>
      </c>
      <c r="P3505" s="3" t="s">
        <v>36</v>
      </c>
      <c r="Q3505" s="3"/>
      <c r="R3505" s="4">
        <v>45996</v>
      </c>
      <c r="S3505" s="3" t="s">
        <v>37</v>
      </c>
      <c r="T3505" s="3" t="s">
        <v>38</v>
      </c>
      <c r="U3505" s="3" t="s">
        <v>39</v>
      </c>
      <c r="V3505" s="3">
        <v>379.73</v>
      </c>
      <c r="W3505" s="3">
        <v>161.38999999999999</v>
      </c>
      <c r="X3505" s="3">
        <v>152.84</v>
      </c>
      <c r="Y3505" s="3">
        <v>65.5</v>
      </c>
    </row>
    <row r="3506" spans="1:25" ht="60.75" x14ac:dyDescent="0.25">
      <c r="A3506" s="3" t="s">
        <v>26</v>
      </c>
      <c r="B3506" s="3" t="s">
        <v>27</v>
      </c>
      <c r="C3506" s="3" t="s">
        <v>28</v>
      </c>
      <c r="D3506" s="3" t="s">
        <v>50</v>
      </c>
      <c r="E3506" s="3" t="s">
        <v>147</v>
      </c>
      <c r="F3506" s="3" t="s">
        <v>52</v>
      </c>
      <c r="G3506" s="3" t="s">
        <v>147</v>
      </c>
      <c r="H3506" s="3" t="s">
        <v>45</v>
      </c>
      <c r="I3506" s="3">
        <v>2025</v>
      </c>
      <c r="J3506" s="3" t="str">
        <f>CONCATENATE("54820184072")</f>
        <v>54820184072</v>
      </c>
      <c r="K3506" s="3" t="s">
        <v>33</v>
      </c>
      <c r="L3506" s="3"/>
      <c r="M3506" s="3" t="s">
        <v>131</v>
      </c>
      <c r="N3506" s="3" t="str">
        <f>CONCATENATE("LPULEO56R23L500A")</f>
        <v>LPULEO56R23L500A</v>
      </c>
      <c r="O3506" s="3" t="s">
        <v>3627</v>
      </c>
      <c r="P3506" s="3" t="s">
        <v>36</v>
      </c>
      <c r="Q3506" s="3"/>
      <c r="R3506" s="4">
        <v>45996</v>
      </c>
      <c r="S3506" s="3" t="s">
        <v>37</v>
      </c>
      <c r="T3506" s="3" t="s">
        <v>38</v>
      </c>
      <c r="U3506" s="3" t="s">
        <v>39</v>
      </c>
      <c r="V3506" s="3">
        <v>980.95</v>
      </c>
      <c r="W3506" s="3">
        <v>416.9</v>
      </c>
      <c r="X3506" s="3">
        <v>394.83</v>
      </c>
      <c r="Y3506" s="3">
        <v>169.22</v>
      </c>
    </row>
    <row r="3507" spans="1:25" ht="60.75" x14ac:dyDescent="0.25">
      <c r="A3507" s="3" t="s">
        <v>26</v>
      </c>
      <c r="B3507" s="3" t="s">
        <v>27</v>
      </c>
      <c r="C3507" s="3" t="s">
        <v>28</v>
      </c>
      <c r="D3507" s="3" t="s">
        <v>50</v>
      </c>
      <c r="E3507" s="3" t="s">
        <v>252</v>
      </c>
      <c r="F3507" s="3" t="s">
        <v>52</v>
      </c>
      <c r="G3507" s="3" t="s">
        <v>252</v>
      </c>
      <c r="H3507" s="3" t="s">
        <v>45</v>
      </c>
      <c r="I3507" s="3">
        <v>2025</v>
      </c>
      <c r="J3507" s="3" t="str">
        <f>CONCATENATE("54820184973")</f>
        <v>54820184973</v>
      </c>
      <c r="K3507" s="3" t="s">
        <v>33</v>
      </c>
      <c r="L3507" s="3"/>
      <c r="M3507" s="3" t="s">
        <v>131</v>
      </c>
      <c r="N3507" s="3" t="str">
        <f>CONCATENATE("LZTLRA52T43D749R")</f>
        <v>LZTLRA52T43D749R</v>
      </c>
      <c r="O3507" s="3" t="s">
        <v>3628</v>
      </c>
      <c r="P3507" s="3" t="s">
        <v>36</v>
      </c>
      <c r="Q3507" s="3"/>
      <c r="R3507" s="4">
        <v>45996</v>
      </c>
      <c r="S3507" s="3" t="s">
        <v>37</v>
      </c>
      <c r="T3507" s="3" t="s">
        <v>38</v>
      </c>
      <c r="U3507" s="3" t="s">
        <v>39</v>
      </c>
      <c r="V3507" s="3">
        <v>47.14</v>
      </c>
      <c r="W3507" s="3">
        <v>20.03</v>
      </c>
      <c r="X3507" s="3">
        <v>18.97</v>
      </c>
      <c r="Y3507" s="3">
        <v>8.14</v>
      </c>
    </row>
    <row r="3508" spans="1:25" ht="36.75" x14ac:dyDescent="0.25">
      <c r="A3508" s="3" t="s">
        <v>26</v>
      </c>
      <c r="B3508" s="3" t="s">
        <v>27</v>
      </c>
      <c r="C3508" s="3" t="s">
        <v>28</v>
      </c>
      <c r="D3508" s="3" t="s">
        <v>50</v>
      </c>
      <c r="E3508" s="3" t="s">
        <v>60</v>
      </c>
      <c r="F3508" s="3" t="s">
        <v>52</v>
      </c>
      <c r="G3508" s="3" t="s">
        <v>60</v>
      </c>
      <c r="H3508" s="3" t="s">
        <v>45</v>
      </c>
      <c r="I3508" s="3">
        <v>2025</v>
      </c>
      <c r="J3508" s="3" t="str">
        <f>CONCATENATE("54820171863")</f>
        <v>54820171863</v>
      </c>
      <c r="K3508" s="3" t="s">
        <v>33</v>
      </c>
      <c r="L3508" s="3"/>
      <c r="M3508" s="3" t="s">
        <v>131</v>
      </c>
      <c r="N3508" s="3" t="str">
        <f>CONCATENATE("02167940416")</f>
        <v>02167940416</v>
      </c>
      <c r="O3508" s="3" t="s">
        <v>3629</v>
      </c>
      <c r="P3508" s="3" t="s">
        <v>36</v>
      </c>
      <c r="Q3508" s="3"/>
      <c r="R3508" s="4">
        <v>45996</v>
      </c>
      <c r="S3508" s="3" t="s">
        <v>37</v>
      </c>
      <c r="T3508" s="3" t="s">
        <v>38</v>
      </c>
      <c r="U3508" s="3" t="s">
        <v>39</v>
      </c>
      <c r="V3508" s="3">
        <v>400.57</v>
      </c>
      <c r="W3508" s="3">
        <v>170.24</v>
      </c>
      <c r="X3508" s="3">
        <v>161.22999999999999</v>
      </c>
      <c r="Y3508" s="3">
        <v>69.099999999999994</v>
      </c>
    </row>
    <row r="3509" spans="1:25" ht="60.75" x14ac:dyDescent="0.25">
      <c r="A3509" s="3" t="s">
        <v>26</v>
      </c>
      <c r="B3509" s="3" t="s">
        <v>27</v>
      </c>
      <c r="C3509" s="3" t="s">
        <v>28</v>
      </c>
      <c r="D3509" s="3" t="s">
        <v>29</v>
      </c>
      <c r="E3509" s="3" t="s">
        <v>119</v>
      </c>
      <c r="F3509" s="3" t="s">
        <v>31</v>
      </c>
      <c r="G3509" s="3" t="s">
        <v>119</v>
      </c>
      <c r="H3509" s="3" t="s">
        <v>96</v>
      </c>
      <c r="I3509" s="3">
        <v>2025</v>
      </c>
      <c r="J3509" s="3" t="str">
        <f>CONCATENATE("54820167366")</f>
        <v>54820167366</v>
      </c>
      <c r="K3509" s="3" t="s">
        <v>33</v>
      </c>
      <c r="L3509" s="3"/>
      <c r="M3509" s="3" t="s">
        <v>131</v>
      </c>
      <c r="N3509" s="3" t="str">
        <f>CONCATENATE("RSSMTN62S11D691E")</f>
        <v>RSSMTN62S11D691E</v>
      </c>
      <c r="O3509" s="3" t="s">
        <v>3630</v>
      </c>
      <c r="P3509" s="3" t="s">
        <v>36</v>
      </c>
      <c r="Q3509" s="3"/>
      <c r="R3509" s="4">
        <v>45996</v>
      </c>
      <c r="S3509" s="3" t="s">
        <v>37</v>
      </c>
      <c r="T3509" s="3" t="s">
        <v>38</v>
      </c>
      <c r="U3509" s="3" t="s">
        <v>39</v>
      </c>
      <c r="V3509" s="3">
        <v>912.52</v>
      </c>
      <c r="W3509" s="3">
        <v>387.82</v>
      </c>
      <c r="X3509" s="3">
        <v>367.29</v>
      </c>
      <c r="Y3509" s="3">
        <v>157.41</v>
      </c>
    </row>
    <row r="3510" spans="1:25" ht="60.75" x14ac:dyDescent="0.25">
      <c r="A3510" s="3" t="s">
        <v>26</v>
      </c>
      <c r="B3510" s="3" t="s">
        <v>27</v>
      </c>
      <c r="C3510" s="3" t="s">
        <v>28</v>
      </c>
      <c r="D3510" s="3" t="s">
        <v>29</v>
      </c>
      <c r="E3510" s="3" t="s">
        <v>47</v>
      </c>
      <c r="F3510" s="3" t="s">
        <v>31</v>
      </c>
      <c r="G3510" s="3" t="s">
        <v>47</v>
      </c>
      <c r="H3510" s="3" t="s">
        <v>48</v>
      </c>
      <c r="I3510" s="3">
        <v>2025</v>
      </c>
      <c r="J3510" s="3" t="str">
        <f>CONCATENATE("54820200290")</f>
        <v>54820200290</v>
      </c>
      <c r="K3510" s="3" t="s">
        <v>33</v>
      </c>
      <c r="L3510" s="3"/>
      <c r="M3510" s="3" t="s">
        <v>131</v>
      </c>
      <c r="N3510" s="3" t="str">
        <f>CONCATENATE("MNCRNZ89A24E388U")</f>
        <v>MNCRNZ89A24E388U</v>
      </c>
      <c r="O3510" s="3" t="s">
        <v>3631</v>
      </c>
      <c r="P3510" s="3" t="s">
        <v>36</v>
      </c>
      <c r="Q3510" s="3"/>
      <c r="R3510" s="4">
        <v>45996</v>
      </c>
      <c r="S3510" s="3" t="s">
        <v>37</v>
      </c>
      <c r="T3510" s="3" t="s">
        <v>38</v>
      </c>
      <c r="U3510" s="3" t="s">
        <v>39</v>
      </c>
      <c r="V3510" s="3">
        <v>152.11000000000001</v>
      </c>
      <c r="W3510" s="3">
        <v>64.650000000000006</v>
      </c>
      <c r="X3510" s="3">
        <v>61.22</v>
      </c>
      <c r="Y3510" s="3">
        <v>26.24</v>
      </c>
    </row>
    <row r="3511" spans="1:25" ht="60.75" x14ac:dyDescent="0.25">
      <c r="A3511" s="3" t="s">
        <v>26</v>
      </c>
      <c r="B3511" s="3" t="s">
        <v>27</v>
      </c>
      <c r="C3511" s="3" t="s">
        <v>28</v>
      </c>
      <c r="D3511" s="3" t="s">
        <v>29</v>
      </c>
      <c r="E3511" s="3" t="s">
        <v>47</v>
      </c>
      <c r="F3511" s="3" t="s">
        <v>31</v>
      </c>
      <c r="G3511" s="3" t="s">
        <v>47</v>
      </c>
      <c r="H3511" s="3" t="s">
        <v>48</v>
      </c>
      <c r="I3511" s="3">
        <v>2025</v>
      </c>
      <c r="J3511" s="3" t="str">
        <f>CONCATENATE("54820200340")</f>
        <v>54820200340</v>
      </c>
      <c r="K3511" s="3" t="s">
        <v>33</v>
      </c>
      <c r="L3511" s="3"/>
      <c r="M3511" s="3" t="s">
        <v>131</v>
      </c>
      <c r="N3511" s="3" t="str">
        <f>CONCATENATE("MRSLRT62S70D451J")</f>
        <v>MRSLRT62S70D451J</v>
      </c>
      <c r="O3511" s="3" t="s">
        <v>3632</v>
      </c>
      <c r="P3511" s="3" t="s">
        <v>36</v>
      </c>
      <c r="Q3511" s="3"/>
      <c r="R3511" s="4">
        <v>45996</v>
      </c>
      <c r="S3511" s="3" t="s">
        <v>37</v>
      </c>
      <c r="T3511" s="3" t="s">
        <v>38</v>
      </c>
      <c r="U3511" s="3" t="s">
        <v>39</v>
      </c>
      <c r="V3511" s="3">
        <v>142.47</v>
      </c>
      <c r="W3511" s="3">
        <v>60.55</v>
      </c>
      <c r="X3511" s="3">
        <v>57.34</v>
      </c>
      <c r="Y3511" s="3">
        <v>24.58</v>
      </c>
    </row>
    <row r="3512" spans="1:25" ht="60.75" x14ac:dyDescent="0.25">
      <c r="A3512" s="3" t="s">
        <v>26</v>
      </c>
      <c r="B3512" s="3" t="s">
        <v>27</v>
      </c>
      <c r="C3512" s="3" t="s">
        <v>28</v>
      </c>
      <c r="D3512" s="3" t="s">
        <v>91</v>
      </c>
      <c r="E3512" s="3" t="s">
        <v>151</v>
      </c>
      <c r="F3512" s="3" t="s">
        <v>93</v>
      </c>
      <c r="G3512" s="3" t="s">
        <v>151</v>
      </c>
      <c r="H3512" s="3" t="s">
        <v>45</v>
      </c>
      <c r="I3512" s="3">
        <v>2025</v>
      </c>
      <c r="J3512" s="3" t="str">
        <f>CONCATENATE("54820207683")</f>
        <v>54820207683</v>
      </c>
      <c r="K3512" s="3" t="s">
        <v>33</v>
      </c>
      <c r="L3512" s="3"/>
      <c r="M3512" s="3" t="s">
        <v>131</v>
      </c>
      <c r="N3512" s="3" t="str">
        <f>CONCATENATE("SLVNRC46T41I461I")</f>
        <v>SLVNRC46T41I461I</v>
      </c>
      <c r="O3512" s="3" t="s">
        <v>3633</v>
      </c>
      <c r="P3512" s="3" t="s">
        <v>36</v>
      </c>
      <c r="Q3512" s="3"/>
      <c r="R3512" s="4">
        <v>45996</v>
      </c>
      <c r="S3512" s="3" t="s">
        <v>37</v>
      </c>
      <c r="T3512" s="3" t="s">
        <v>38</v>
      </c>
      <c r="U3512" s="3" t="s">
        <v>39</v>
      </c>
      <c r="V3512" s="3">
        <v>86.13</v>
      </c>
      <c r="W3512" s="3">
        <v>36.61</v>
      </c>
      <c r="X3512" s="3">
        <v>34.67</v>
      </c>
      <c r="Y3512" s="3">
        <v>14.85</v>
      </c>
    </row>
    <row r="3513" spans="1:25" ht="72.75" x14ac:dyDescent="0.25">
      <c r="A3513" s="3" t="s">
        <v>26</v>
      </c>
      <c r="B3513" s="3" t="s">
        <v>27</v>
      </c>
      <c r="C3513" s="3" t="s">
        <v>28</v>
      </c>
      <c r="D3513" s="3" t="s">
        <v>50</v>
      </c>
      <c r="E3513" s="3" t="s">
        <v>60</v>
      </c>
      <c r="F3513" s="3" t="s">
        <v>52</v>
      </c>
      <c r="G3513" s="3" t="s">
        <v>60</v>
      </c>
      <c r="H3513" s="3" t="s">
        <v>45</v>
      </c>
      <c r="I3513" s="3">
        <v>2025</v>
      </c>
      <c r="J3513" s="3" t="str">
        <f>CONCATENATE("54820091699")</f>
        <v>54820091699</v>
      </c>
      <c r="K3513" s="3" t="s">
        <v>33</v>
      </c>
      <c r="L3513" s="3"/>
      <c r="M3513" s="3" t="s">
        <v>131</v>
      </c>
      <c r="N3513" s="3" t="str">
        <f>CONCATENATE("BNCNTN50R22B636Q")</f>
        <v>BNCNTN50R22B636Q</v>
      </c>
      <c r="O3513" s="3" t="s">
        <v>3634</v>
      </c>
      <c r="P3513" s="3" t="s">
        <v>36</v>
      </c>
      <c r="Q3513" s="3"/>
      <c r="R3513" s="4">
        <v>45996</v>
      </c>
      <c r="S3513" s="3" t="s">
        <v>37</v>
      </c>
      <c r="T3513" s="3" t="s">
        <v>38</v>
      </c>
      <c r="U3513" s="3" t="s">
        <v>39</v>
      </c>
      <c r="V3513" s="3">
        <v>236.14</v>
      </c>
      <c r="W3513" s="3">
        <v>100.36</v>
      </c>
      <c r="X3513" s="3">
        <v>95.05</v>
      </c>
      <c r="Y3513" s="3">
        <v>40.729999999999997</v>
      </c>
    </row>
    <row r="3514" spans="1:25" ht="60.75" x14ac:dyDescent="0.25">
      <c r="A3514" s="3" t="s">
        <v>26</v>
      </c>
      <c r="B3514" s="3" t="s">
        <v>27</v>
      </c>
      <c r="C3514" s="3" t="s">
        <v>28</v>
      </c>
      <c r="D3514" s="3" t="s">
        <v>50</v>
      </c>
      <c r="E3514" s="3" t="s">
        <v>173</v>
      </c>
      <c r="F3514" s="3" t="s">
        <v>52</v>
      </c>
      <c r="G3514" s="3" t="s">
        <v>173</v>
      </c>
      <c r="H3514" s="3" t="s">
        <v>45</v>
      </c>
      <c r="I3514" s="3">
        <v>2025</v>
      </c>
      <c r="J3514" s="3" t="str">
        <f>CONCATENATE("54820065230")</f>
        <v>54820065230</v>
      </c>
      <c r="K3514" s="3" t="s">
        <v>33</v>
      </c>
      <c r="L3514" s="3"/>
      <c r="M3514" s="3" t="s">
        <v>131</v>
      </c>
      <c r="N3514" s="3" t="str">
        <f>CONCATENATE("MTAVNT61T57E785K")</f>
        <v>MTAVNT61T57E785K</v>
      </c>
      <c r="O3514" s="3" t="s">
        <v>3635</v>
      </c>
      <c r="P3514" s="3" t="s">
        <v>36</v>
      </c>
      <c r="Q3514" s="3"/>
      <c r="R3514" s="4">
        <v>45996</v>
      </c>
      <c r="S3514" s="3" t="s">
        <v>37</v>
      </c>
      <c r="T3514" s="3" t="s">
        <v>38</v>
      </c>
      <c r="U3514" s="3" t="s">
        <v>39</v>
      </c>
      <c r="V3514" s="3">
        <v>231.1</v>
      </c>
      <c r="W3514" s="3">
        <v>98.22</v>
      </c>
      <c r="X3514" s="3">
        <v>93.02</v>
      </c>
      <c r="Y3514" s="3">
        <v>39.86</v>
      </c>
    </row>
    <row r="3515" spans="1:25" ht="60.75" x14ac:dyDescent="0.25">
      <c r="A3515" s="3" t="s">
        <v>26</v>
      </c>
      <c r="B3515" s="3" t="s">
        <v>27</v>
      </c>
      <c r="C3515" s="3" t="s">
        <v>28</v>
      </c>
      <c r="D3515" s="3" t="s">
        <v>50</v>
      </c>
      <c r="E3515" s="3" t="s">
        <v>149</v>
      </c>
      <c r="F3515" s="3" t="s">
        <v>52</v>
      </c>
      <c r="G3515" s="3" t="s">
        <v>149</v>
      </c>
      <c r="H3515" s="3" t="s">
        <v>96</v>
      </c>
      <c r="I3515" s="3">
        <v>2025</v>
      </c>
      <c r="J3515" s="3" t="str">
        <f>CONCATENATE("54820062278")</f>
        <v>54820062278</v>
      </c>
      <c r="K3515" s="3" t="s">
        <v>33</v>
      </c>
      <c r="L3515" s="3"/>
      <c r="M3515" s="3" t="s">
        <v>131</v>
      </c>
      <c r="N3515" s="3" t="str">
        <f>CONCATENATE("TRGSFN61C24A252H")</f>
        <v>TRGSFN61C24A252H</v>
      </c>
      <c r="O3515" s="3" t="s">
        <v>3636</v>
      </c>
      <c r="P3515" s="3" t="s">
        <v>36</v>
      </c>
      <c r="Q3515" s="3"/>
      <c r="R3515" s="4">
        <v>45996</v>
      </c>
      <c r="S3515" s="3" t="s">
        <v>37</v>
      </c>
      <c r="T3515" s="3" t="s">
        <v>38</v>
      </c>
      <c r="U3515" s="3" t="s">
        <v>39</v>
      </c>
      <c r="V3515" s="3">
        <v>41.87</v>
      </c>
      <c r="W3515" s="3">
        <v>17.79</v>
      </c>
      <c r="X3515" s="3">
        <v>16.850000000000001</v>
      </c>
      <c r="Y3515" s="3">
        <v>7.23</v>
      </c>
    </row>
    <row r="3516" spans="1:25" ht="60.75" x14ac:dyDescent="0.25">
      <c r="A3516" s="3" t="s">
        <v>26</v>
      </c>
      <c r="B3516" s="3" t="s">
        <v>27</v>
      </c>
      <c r="C3516" s="3" t="s">
        <v>28</v>
      </c>
      <c r="D3516" s="3" t="s">
        <v>29</v>
      </c>
      <c r="E3516" s="3" t="s">
        <v>208</v>
      </c>
      <c r="F3516" s="3" t="s">
        <v>31</v>
      </c>
      <c r="G3516" s="3" t="s">
        <v>208</v>
      </c>
      <c r="H3516" s="3" t="s">
        <v>45</v>
      </c>
      <c r="I3516" s="3">
        <v>2025</v>
      </c>
      <c r="J3516" s="3" t="str">
        <f>CONCATENATE("54820148465")</f>
        <v>54820148465</v>
      </c>
      <c r="K3516" s="3" t="s">
        <v>33</v>
      </c>
      <c r="L3516" s="3"/>
      <c r="M3516" s="3" t="s">
        <v>131</v>
      </c>
      <c r="N3516" s="3" t="str">
        <f>CONCATENATE("MZZGRG74M13L498Z")</f>
        <v>MZZGRG74M13L498Z</v>
      </c>
      <c r="O3516" s="3" t="s">
        <v>3637</v>
      </c>
      <c r="P3516" s="3" t="s">
        <v>36</v>
      </c>
      <c r="Q3516" s="3"/>
      <c r="R3516" s="4">
        <v>45996</v>
      </c>
      <c r="S3516" s="3" t="s">
        <v>37</v>
      </c>
      <c r="T3516" s="3" t="s">
        <v>38</v>
      </c>
      <c r="U3516" s="3" t="s">
        <v>39</v>
      </c>
      <c r="V3516" s="3">
        <v>352.55</v>
      </c>
      <c r="W3516" s="3">
        <v>149.83000000000001</v>
      </c>
      <c r="X3516" s="3">
        <v>141.9</v>
      </c>
      <c r="Y3516" s="3">
        <v>60.82</v>
      </c>
    </row>
    <row r="3517" spans="1:25" ht="36.75" x14ac:dyDescent="0.25">
      <c r="A3517" s="3" t="s">
        <v>26</v>
      </c>
      <c r="B3517" s="3" t="s">
        <v>27</v>
      </c>
      <c r="C3517" s="3" t="s">
        <v>28</v>
      </c>
      <c r="D3517" s="3" t="s">
        <v>40</v>
      </c>
      <c r="E3517" s="3" t="s">
        <v>54</v>
      </c>
      <c r="F3517" s="3" t="s">
        <v>42</v>
      </c>
      <c r="G3517" s="3" t="s">
        <v>54</v>
      </c>
      <c r="H3517" s="3" t="s">
        <v>45</v>
      </c>
      <c r="I3517" s="3">
        <v>2025</v>
      </c>
      <c r="J3517" s="3" t="str">
        <f>CONCATENATE("54820058359")</f>
        <v>54820058359</v>
      </c>
      <c r="K3517" s="3" t="s">
        <v>33</v>
      </c>
      <c r="L3517" s="3"/>
      <c r="M3517" s="3" t="s">
        <v>131</v>
      </c>
      <c r="N3517" s="3" t="str">
        <f>CONCATENATE("02573370414")</f>
        <v>02573370414</v>
      </c>
      <c r="O3517" s="3" t="s">
        <v>3638</v>
      </c>
      <c r="P3517" s="3" t="s">
        <v>36</v>
      </c>
      <c r="Q3517" s="3"/>
      <c r="R3517" s="4">
        <v>45996</v>
      </c>
      <c r="S3517" s="3" t="s">
        <v>37</v>
      </c>
      <c r="T3517" s="3" t="s">
        <v>38</v>
      </c>
      <c r="U3517" s="3" t="s">
        <v>39</v>
      </c>
      <c r="V3517" s="3">
        <v>199.84</v>
      </c>
      <c r="W3517" s="3">
        <v>84.93</v>
      </c>
      <c r="X3517" s="3">
        <v>80.44</v>
      </c>
      <c r="Y3517" s="3">
        <v>34.47</v>
      </c>
    </row>
    <row r="3518" spans="1:25" ht="60.75" x14ac:dyDescent="0.25">
      <c r="A3518" s="3" t="s">
        <v>26</v>
      </c>
      <c r="B3518" s="3" t="s">
        <v>27</v>
      </c>
      <c r="C3518" s="3" t="s">
        <v>28</v>
      </c>
      <c r="D3518" s="3" t="s">
        <v>50</v>
      </c>
      <c r="E3518" s="3" t="s">
        <v>60</v>
      </c>
      <c r="F3518" s="3" t="s">
        <v>52</v>
      </c>
      <c r="G3518" s="3" t="s">
        <v>60</v>
      </c>
      <c r="H3518" s="3" t="s">
        <v>45</v>
      </c>
      <c r="I3518" s="3">
        <v>2025</v>
      </c>
      <c r="J3518" s="3" t="str">
        <f>CONCATENATE("54820110341")</f>
        <v>54820110341</v>
      </c>
      <c r="K3518" s="3" t="s">
        <v>33</v>
      </c>
      <c r="L3518" s="3"/>
      <c r="M3518" s="3" t="s">
        <v>131</v>
      </c>
      <c r="N3518" s="3" t="str">
        <f>CONCATENATE("BGNLSN63C05B352M")</f>
        <v>BGNLSN63C05B352M</v>
      </c>
      <c r="O3518" s="3" t="s">
        <v>3639</v>
      </c>
      <c r="P3518" s="3" t="s">
        <v>36</v>
      </c>
      <c r="Q3518" s="3"/>
      <c r="R3518" s="4">
        <v>45996</v>
      </c>
      <c r="S3518" s="3" t="s">
        <v>37</v>
      </c>
      <c r="T3518" s="3" t="s">
        <v>38</v>
      </c>
      <c r="U3518" s="3" t="s">
        <v>39</v>
      </c>
      <c r="V3518" s="3">
        <v>68.650000000000006</v>
      </c>
      <c r="W3518" s="3">
        <v>29.18</v>
      </c>
      <c r="X3518" s="3">
        <v>27.63</v>
      </c>
      <c r="Y3518" s="3">
        <v>11.84</v>
      </c>
    </row>
    <row r="3519" spans="1:25" ht="60.75" x14ac:dyDescent="0.25">
      <c r="A3519" s="3" t="s">
        <v>26</v>
      </c>
      <c r="B3519" s="3" t="s">
        <v>27</v>
      </c>
      <c r="C3519" s="3" t="s">
        <v>28</v>
      </c>
      <c r="D3519" s="3" t="s">
        <v>50</v>
      </c>
      <c r="E3519" s="3" t="s">
        <v>147</v>
      </c>
      <c r="F3519" s="3" t="s">
        <v>52</v>
      </c>
      <c r="G3519" s="3" t="s">
        <v>147</v>
      </c>
      <c r="H3519" s="3" t="s">
        <v>45</v>
      </c>
      <c r="I3519" s="3">
        <v>2025</v>
      </c>
      <c r="J3519" s="3" t="str">
        <f>CONCATENATE("54820102009")</f>
        <v>54820102009</v>
      </c>
      <c r="K3519" s="3" t="s">
        <v>33</v>
      </c>
      <c r="L3519" s="3"/>
      <c r="M3519" s="3" t="s">
        <v>131</v>
      </c>
      <c r="N3519" s="3" t="str">
        <f>CONCATENATE("SNTMCL45A63B026K")</f>
        <v>SNTMCL45A63B026K</v>
      </c>
      <c r="O3519" s="3" t="s">
        <v>3640</v>
      </c>
      <c r="P3519" s="3" t="s">
        <v>36</v>
      </c>
      <c r="Q3519" s="3"/>
      <c r="R3519" s="4">
        <v>45996</v>
      </c>
      <c r="S3519" s="3" t="s">
        <v>37</v>
      </c>
      <c r="T3519" s="3" t="s">
        <v>38</v>
      </c>
      <c r="U3519" s="3" t="s">
        <v>39</v>
      </c>
      <c r="V3519" s="3">
        <v>228.24</v>
      </c>
      <c r="W3519" s="3">
        <v>97</v>
      </c>
      <c r="X3519" s="3">
        <v>91.87</v>
      </c>
      <c r="Y3519" s="3">
        <v>39.369999999999997</v>
      </c>
    </row>
    <row r="3520" spans="1:25" ht="60.75" x14ac:dyDescent="0.25">
      <c r="A3520" s="3" t="s">
        <v>26</v>
      </c>
      <c r="B3520" s="3" t="s">
        <v>27</v>
      </c>
      <c r="C3520" s="3" t="s">
        <v>28</v>
      </c>
      <c r="D3520" s="3" t="s">
        <v>29</v>
      </c>
      <c r="E3520" s="3" t="s">
        <v>56</v>
      </c>
      <c r="F3520" s="3" t="s">
        <v>31</v>
      </c>
      <c r="G3520" s="3" t="s">
        <v>56</v>
      </c>
      <c r="H3520" s="3" t="s">
        <v>32</v>
      </c>
      <c r="I3520" s="3">
        <v>2025</v>
      </c>
      <c r="J3520" s="3" t="str">
        <f>CONCATENATE("54820115969")</f>
        <v>54820115969</v>
      </c>
      <c r="K3520" s="3" t="s">
        <v>33</v>
      </c>
      <c r="L3520" s="3"/>
      <c r="M3520" s="3" t="s">
        <v>131</v>
      </c>
      <c r="N3520" s="3" t="str">
        <f>CONCATENATE("PGLLCU61E24D653L")</f>
        <v>PGLLCU61E24D653L</v>
      </c>
      <c r="O3520" s="3" t="s">
        <v>3641</v>
      </c>
      <c r="P3520" s="3" t="s">
        <v>36</v>
      </c>
      <c r="Q3520" s="3"/>
      <c r="R3520" s="4">
        <v>45996</v>
      </c>
      <c r="S3520" s="3" t="s">
        <v>37</v>
      </c>
      <c r="T3520" s="3" t="s">
        <v>38</v>
      </c>
      <c r="U3520" s="3" t="s">
        <v>39</v>
      </c>
      <c r="V3520" s="3">
        <v>71.599999999999994</v>
      </c>
      <c r="W3520" s="3">
        <v>30.43</v>
      </c>
      <c r="X3520" s="3">
        <v>28.82</v>
      </c>
      <c r="Y3520" s="3">
        <v>12.35</v>
      </c>
    </row>
    <row r="3521" spans="1:25" ht="60.75" x14ac:dyDescent="0.25">
      <c r="A3521" s="3" t="s">
        <v>26</v>
      </c>
      <c r="B3521" s="3" t="s">
        <v>27</v>
      </c>
      <c r="C3521" s="3" t="s">
        <v>28</v>
      </c>
      <c r="D3521" s="3" t="s">
        <v>50</v>
      </c>
      <c r="E3521" s="3" t="s">
        <v>252</v>
      </c>
      <c r="F3521" s="3" t="s">
        <v>52</v>
      </c>
      <c r="G3521" s="3" t="s">
        <v>252</v>
      </c>
      <c r="H3521" s="3" t="s">
        <v>45</v>
      </c>
      <c r="I3521" s="3">
        <v>2025</v>
      </c>
      <c r="J3521" s="3" t="str">
        <f>CONCATENATE("54820071063")</f>
        <v>54820071063</v>
      </c>
      <c r="K3521" s="3" t="s">
        <v>33</v>
      </c>
      <c r="L3521" s="3"/>
      <c r="M3521" s="3" t="s">
        <v>131</v>
      </c>
      <c r="N3521" s="3" t="str">
        <f>CONCATENATE("FNCRRA42C71D749U")</f>
        <v>FNCRRA42C71D749U</v>
      </c>
      <c r="O3521" s="3" t="s">
        <v>3642</v>
      </c>
      <c r="P3521" s="3" t="s">
        <v>36</v>
      </c>
      <c r="Q3521" s="3"/>
      <c r="R3521" s="4">
        <v>45996</v>
      </c>
      <c r="S3521" s="3" t="s">
        <v>37</v>
      </c>
      <c r="T3521" s="3" t="s">
        <v>38</v>
      </c>
      <c r="U3521" s="3" t="s">
        <v>39</v>
      </c>
      <c r="V3521" s="3">
        <v>303.02</v>
      </c>
      <c r="W3521" s="3">
        <v>128.78</v>
      </c>
      <c r="X3521" s="3">
        <v>121.97</v>
      </c>
      <c r="Y3521" s="3">
        <v>52.27</v>
      </c>
    </row>
    <row r="3522" spans="1:25" ht="60.75" x14ac:dyDescent="0.25">
      <c r="A3522" s="3" t="s">
        <v>26</v>
      </c>
      <c r="B3522" s="3" t="s">
        <v>27</v>
      </c>
      <c r="C3522" s="3" t="s">
        <v>28</v>
      </c>
      <c r="D3522" s="3" t="s">
        <v>50</v>
      </c>
      <c r="E3522" s="3" t="s">
        <v>173</v>
      </c>
      <c r="F3522" s="3" t="s">
        <v>52</v>
      </c>
      <c r="G3522" s="3" t="s">
        <v>173</v>
      </c>
      <c r="H3522" s="3" t="s">
        <v>45</v>
      </c>
      <c r="I3522" s="3">
        <v>2025</v>
      </c>
      <c r="J3522" s="3" t="str">
        <f>CONCATENATE("54820050927")</f>
        <v>54820050927</v>
      </c>
      <c r="K3522" s="3" t="s">
        <v>33</v>
      </c>
      <c r="L3522" s="3"/>
      <c r="M3522" s="3" t="s">
        <v>131</v>
      </c>
      <c r="N3522" s="3" t="str">
        <f>CONCATENATE("GSTDNC44E47G551J")</f>
        <v>GSTDNC44E47G551J</v>
      </c>
      <c r="O3522" s="3" t="s">
        <v>3643</v>
      </c>
      <c r="P3522" s="3" t="s">
        <v>36</v>
      </c>
      <c r="Q3522" s="3"/>
      <c r="R3522" s="4">
        <v>45996</v>
      </c>
      <c r="S3522" s="3" t="s">
        <v>37</v>
      </c>
      <c r="T3522" s="3" t="s">
        <v>38</v>
      </c>
      <c r="U3522" s="3" t="s">
        <v>39</v>
      </c>
      <c r="V3522" s="3">
        <v>711.25</v>
      </c>
      <c r="W3522" s="3">
        <v>302.27999999999997</v>
      </c>
      <c r="X3522" s="3">
        <v>286.27999999999997</v>
      </c>
      <c r="Y3522" s="3">
        <v>122.69</v>
      </c>
    </row>
    <row r="3523" spans="1:25" ht="72.75" x14ac:dyDescent="0.25">
      <c r="A3523" s="3" t="s">
        <v>26</v>
      </c>
      <c r="B3523" s="3" t="s">
        <v>27</v>
      </c>
      <c r="C3523" s="3" t="s">
        <v>28</v>
      </c>
      <c r="D3523" s="3" t="s">
        <v>50</v>
      </c>
      <c r="E3523" s="3" t="s">
        <v>51</v>
      </c>
      <c r="F3523" s="3" t="s">
        <v>52</v>
      </c>
      <c r="G3523" s="3" t="s">
        <v>51</v>
      </c>
      <c r="H3523" s="3" t="s">
        <v>48</v>
      </c>
      <c r="I3523" s="3">
        <v>2025</v>
      </c>
      <c r="J3523" s="3" t="str">
        <f>CONCATENATE("54820061437")</f>
        <v>54820061437</v>
      </c>
      <c r="K3523" s="3" t="s">
        <v>33</v>
      </c>
      <c r="L3523" s="3"/>
      <c r="M3523" s="3" t="s">
        <v>131</v>
      </c>
      <c r="N3523" s="3" t="str">
        <f>CONCATENATE("BCCMRN76S08A366S")</f>
        <v>BCCMRN76S08A366S</v>
      </c>
      <c r="O3523" s="3" t="s">
        <v>3644</v>
      </c>
      <c r="P3523" s="3" t="s">
        <v>36</v>
      </c>
      <c r="Q3523" s="3"/>
      <c r="R3523" s="4">
        <v>45996</v>
      </c>
      <c r="S3523" s="3" t="s">
        <v>37</v>
      </c>
      <c r="T3523" s="3" t="s">
        <v>38</v>
      </c>
      <c r="U3523" s="3" t="s">
        <v>39</v>
      </c>
      <c r="V3523" s="3">
        <v>690.72</v>
      </c>
      <c r="W3523" s="3">
        <v>293.56</v>
      </c>
      <c r="X3523" s="3">
        <v>278.01</v>
      </c>
      <c r="Y3523" s="3">
        <v>119.15</v>
      </c>
    </row>
    <row r="3524" spans="1:25" ht="36.75" x14ac:dyDescent="0.25">
      <c r="A3524" s="3" t="s">
        <v>26</v>
      </c>
      <c r="B3524" s="3" t="s">
        <v>27</v>
      </c>
      <c r="C3524" s="3" t="s">
        <v>28</v>
      </c>
      <c r="D3524" s="3" t="s">
        <v>29</v>
      </c>
      <c r="E3524" s="3" t="s">
        <v>208</v>
      </c>
      <c r="F3524" s="3" t="s">
        <v>31</v>
      </c>
      <c r="G3524" s="3" t="s">
        <v>208</v>
      </c>
      <c r="H3524" s="3" t="s">
        <v>45</v>
      </c>
      <c r="I3524" s="3">
        <v>2025</v>
      </c>
      <c r="J3524" s="3" t="str">
        <f>CONCATENATE("54820153275")</f>
        <v>54820153275</v>
      </c>
      <c r="K3524" s="3" t="s">
        <v>33</v>
      </c>
      <c r="L3524" s="3"/>
      <c r="M3524" s="3" t="s">
        <v>131</v>
      </c>
      <c r="N3524" s="3" t="str">
        <f>CONCATENATE("01180010413")</f>
        <v>01180010413</v>
      </c>
      <c r="O3524" s="3" t="s">
        <v>3645</v>
      </c>
      <c r="P3524" s="3" t="s">
        <v>36</v>
      </c>
      <c r="Q3524" s="3"/>
      <c r="R3524" s="4">
        <v>45996</v>
      </c>
      <c r="S3524" s="3" t="s">
        <v>37</v>
      </c>
      <c r="T3524" s="3" t="s">
        <v>38</v>
      </c>
      <c r="U3524" s="3" t="s">
        <v>39</v>
      </c>
      <c r="V3524" s="3">
        <v>991.81</v>
      </c>
      <c r="W3524" s="3">
        <v>421.52</v>
      </c>
      <c r="X3524" s="3">
        <v>399.2</v>
      </c>
      <c r="Y3524" s="3">
        <v>171.09</v>
      </c>
    </row>
    <row r="3525" spans="1:25" ht="36.75" x14ac:dyDescent="0.25">
      <c r="A3525" s="3" t="s">
        <v>26</v>
      </c>
      <c r="B3525" s="3" t="s">
        <v>27</v>
      </c>
      <c r="C3525" s="3" t="s">
        <v>28</v>
      </c>
      <c r="D3525" s="3" t="s">
        <v>29</v>
      </c>
      <c r="E3525" s="3" t="s">
        <v>56</v>
      </c>
      <c r="F3525" s="3" t="s">
        <v>31</v>
      </c>
      <c r="G3525" s="3" t="s">
        <v>56</v>
      </c>
      <c r="H3525" s="3" t="s">
        <v>32</v>
      </c>
      <c r="I3525" s="3">
        <v>2025</v>
      </c>
      <c r="J3525" s="3" t="str">
        <f>CONCATENATE("54820130125")</f>
        <v>54820130125</v>
      </c>
      <c r="K3525" s="3" t="s">
        <v>33</v>
      </c>
      <c r="L3525" s="3"/>
      <c r="M3525" s="3" t="s">
        <v>131</v>
      </c>
      <c r="N3525" s="3" t="str">
        <f>CONCATENATE("01058860436")</f>
        <v>01058860436</v>
      </c>
      <c r="O3525" s="3" t="s">
        <v>3646</v>
      </c>
      <c r="P3525" s="3" t="s">
        <v>36</v>
      </c>
      <c r="Q3525" s="3"/>
      <c r="R3525" s="4">
        <v>45996</v>
      </c>
      <c r="S3525" s="3" t="s">
        <v>37</v>
      </c>
      <c r="T3525" s="3" t="s">
        <v>38</v>
      </c>
      <c r="U3525" s="3" t="s">
        <v>39</v>
      </c>
      <c r="V3525" s="3">
        <v>197.54</v>
      </c>
      <c r="W3525" s="3">
        <v>83.95</v>
      </c>
      <c r="X3525" s="3">
        <v>79.510000000000005</v>
      </c>
      <c r="Y3525" s="3">
        <v>34.08</v>
      </c>
    </row>
    <row r="3526" spans="1:25" ht="60.75" x14ac:dyDescent="0.25">
      <c r="A3526" s="3" t="s">
        <v>26</v>
      </c>
      <c r="B3526" s="3" t="s">
        <v>27</v>
      </c>
      <c r="C3526" s="3" t="s">
        <v>28</v>
      </c>
      <c r="D3526" s="3" t="s">
        <v>50</v>
      </c>
      <c r="E3526" s="3" t="s">
        <v>173</v>
      </c>
      <c r="F3526" s="3" t="s">
        <v>52</v>
      </c>
      <c r="G3526" s="3" t="s">
        <v>173</v>
      </c>
      <c r="H3526" s="3" t="s">
        <v>45</v>
      </c>
      <c r="I3526" s="3">
        <v>2025</v>
      </c>
      <c r="J3526" s="3" t="str">
        <f>CONCATENATE("54820083159")</f>
        <v>54820083159</v>
      </c>
      <c r="K3526" s="3" t="s">
        <v>33</v>
      </c>
      <c r="L3526" s="3"/>
      <c r="M3526" s="3" t="s">
        <v>131</v>
      </c>
      <c r="N3526" s="3" t="str">
        <f>CONCATENATE("SPCSVN61P24Z130C")</f>
        <v>SPCSVN61P24Z130C</v>
      </c>
      <c r="O3526" s="3" t="s">
        <v>3647</v>
      </c>
      <c r="P3526" s="3" t="s">
        <v>36</v>
      </c>
      <c r="Q3526" s="3"/>
      <c r="R3526" s="4">
        <v>45996</v>
      </c>
      <c r="S3526" s="3" t="s">
        <v>37</v>
      </c>
      <c r="T3526" s="3" t="s">
        <v>38</v>
      </c>
      <c r="U3526" s="3" t="s">
        <v>39</v>
      </c>
      <c r="V3526" s="3">
        <v>63.91</v>
      </c>
      <c r="W3526" s="3">
        <v>27.16</v>
      </c>
      <c r="X3526" s="3">
        <v>25.72</v>
      </c>
      <c r="Y3526" s="3">
        <v>11.03</v>
      </c>
    </row>
    <row r="3527" spans="1:25" ht="36.75" x14ac:dyDescent="0.25">
      <c r="A3527" s="3" t="s">
        <v>26</v>
      </c>
      <c r="B3527" s="3" t="s">
        <v>27</v>
      </c>
      <c r="C3527" s="3" t="s">
        <v>28</v>
      </c>
      <c r="D3527" s="3" t="s">
        <v>104</v>
      </c>
      <c r="E3527" s="3" t="s">
        <v>141</v>
      </c>
      <c r="F3527" s="3" t="s">
        <v>104</v>
      </c>
      <c r="G3527" s="3" t="s">
        <v>141</v>
      </c>
      <c r="H3527" s="3" t="s">
        <v>96</v>
      </c>
      <c r="I3527" s="3">
        <v>2025</v>
      </c>
      <c r="J3527" s="3" t="str">
        <f>CONCATENATE("54820133145")</f>
        <v>54820133145</v>
      </c>
      <c r="K3527" s="3" t="s">
        <v>33</v>
      </c>
      <c r="L3527" s="3"/>
      <c r="M3527" s="3" t="s">
        <v>131</v>
      </c>
      <c r="N3527" s="3" t="str">
        <f>CONCATENATE("02182100442")</f>
        <v>02182100442</v>
      </c>
      <c r="O3527" s="3" t="s">
        <v>3648</v>
      </c>
      <c r="P3527" s="3" t="s">
        <v>36</v>
      </c>
      <c r="Q3527" s="3"/>
      <c r="R3527" s="4">
        <v>45996</v>
      </c>
      <c r="S3527" s="3" t="s">
        <v>37</v>
      </c>
      <c r="T3527" s="3" t="s">
        <v>38</v>
      </c>
      <c r="U3527" s="3" t="s">
        <v>39</v>
      </c>
      <c r="V3527" s="3">
        <v>81.319999999999993</v>
      </c>
      <c r="W3527" s="3">
        <v>34.56</v>
      </c>
      <c r="X3527" s="3">
        <v>32.729999999999997</v>
      </c>
      <c r="Y3527" s="3">
        <v>14.03</v>
      </c>
    </row>
    <row r="3528" spans="1:25" ht="72.75" x14ac:dyDescent="0.25">
      <c r="A3528" s="3" t="s">
        <v>26</v>
      </c>
      <c r="B3528" s="3" t="s">
        <v>27</v>
      </c>
      <c r="C3528" s="3" t="s">
        <v>28</v>
      </c>
      <c r="D3528" s="3" t="s">
        <v>29</v>
      </c>
      <c r="E3528" s="3" t="s">
        <v>72</v>
      </c>
      <c r="F3528" s="3" t="s">
        <v>31</v>
      </c>
      <c r="G3528" s="3" t="s">
        <v>72</v>
      </c>
      <c r="H3528" s="3" t="s">
        <v>45</v>
      </c>
      <c r="I3528" s="3">
        <v>2025</v>
      </c>
      <c r="J3528" s="3" t="str">
        <f>CONCATENATE("54820159512")</f>
        <v>54820159512</v>
      </c>
      <c r="K3528" s="3" t="s">
        <v>33</v>
      </c>
      <c r="L3528" s="3"/>
      <c r="M3528" s="3" t="s">
        <v>131</v>
      </c>
      <c r="N3528" s="3" t="str">
        <f>CONCATENATE("MRNLNZ81H25B352Z")</f>
        <v>MRNLNZ81H25B352Z</v>
      </c>
      <c r="O3528" s="3" t="s">
        <v>3079</v>
      </c>
      <c r="P3528" s="3" t="s">
        <v>36</v>
      </c>
      <c r="Q3528" s="3"/>
      <c r="R3528" s="4">
        <v>45996</v>
      </c>
      <c r="S3528" s="3" t="s">
        <v>37</v>
      </c>
      <c r="T3528" s="3" t="s">
        <v>38</v>
      </c>
      <c r="U3528" s="3" t="s">
        <v>39</v>
      </c>
      <c r="V3528" s="3">
        <v>135.16999999999999</v>
      </c>
      <c r="W3528" s="3">
        <v>57.45</v>
      </c>
      <c r="X3528" s="3">
        <v>54.41</v>
      </c>
      <c r="Y3528" s="3">
        <v>23.31</v>
      </c>
    </row>
    <row r="3529" spans="1:25" ht="60.75" x14ac:dyDescent="0.25">
      <c r="A3529" s="3" t="s">
        <v>26</v>
      </c>
      <c r="B3529" s="3" t="s">
        <v>27</v>
      </c>
      <c r="C3529" s="3" t="s">
        <v>28</v>
      </c>
      <c r="D3529" s="3" t="s">
        <v>29</v>
      </c>
      <c r="E3529" s="3" t="s">
        <v>186</v>
      </c>
      <c r="F3529" s="3" t="s">
        <v>31</v>
      </c>
      <c r="G3529" s="3" t="s">
        <v>186</v>
      </c>
      <c r="H3529" s="3" t="s">
        <v>45</v>
      </c>
      <c r="I3529" s="3">
        <v>2025</v>
      </c>
      <c r="J3529" s="3" t="str">
        <f>CONCATENATE("54820028311")</f>
        <v>54820028311</v>
      </c>
      <c r="K3529" s="3" t="s">
        <v>33</v>
      </c>
      <c r="L3529" s="3"/>
      <c r="M3529" s="3" t="s">
        <v>131</v>
      </c>
      <c r="N3529" s="3" t="str">
        <f>CONCATENATE("DTLMLV61M52H294L")</f>
        <v>DTLMLV61M52H294L</v>
      </c>
      <c r="O3529" s="3" t="s">
        <v>3649</v>
      </c>
      <c r="P3529" s="3" t="s">
        <v>36</v>
      </c>
      <c r="Q3529" s="3"/>
      <c r="R3529" s="4">
        <v>45996</v>
      </c>
      <c r="S3529" s="3" t="s">
        <v>37</v>
      </c>
      <c r="T3529" s="3" t="s">
        <v>38</v>
      </c>
      <c r="U3529" s="3" t="s">
        <v>39</v>
      </c>
      <c r="V3529" s="3">
        <v>439.66</v>
      </c>
      <c r="W3529" s="3">
        <v>186.86</v>
      </c>
      <c r="X3529" s="3">
        <v>176.96</v>
      </c>
      <c r="Y3529" s="3">
        <v>75.84</v>
      </c>
    </row>
    <row r="3530" spans="1:25" ht="60.75" x14ac:dyDescent="0.25">
      <c r="A3530" s="3" t="s">
        <v>26</v>
      </c>
      <c r="B3530" s="3" t="s">
        <v>27</v>
      </c>
      <c r="C3530" s="3" t="s">
        <v>28</v>
      </c>
      <c r="D3530" s="3" t="s">
        <v>29</v>
      </c>
      <c r="E3530" s="3" t="s">
        <v>119</v>
      </c>
      <c r="F3530" s="3" t="s">
        <v>31</v>
      </c>
      <c r="G3530" s="3" t="s">
        <v>119</v>
      </c>
      <c r="H3530" s="3" t="s">
        <v>96</v>
      </c>
      <c r="I3530" s="3">
        <v>2025</v>
      </c>
      <c r="J3530" s="3" t="str">
        <f>CONCATENATE("54820008784")</f>
        <v>54820008784</v>
      </c>
      <c r="K3530" s="3" t="s">
        <v>33</v>
      </c>
      <c r="L3530" s="3"/>
      <c r="M3530" s="3" t="s">
        <v>131</v>
      </c>
      <c r="N3530" s="3" t="str">
        <f>CONCATENATE("SGHPQL55A51H390L")</f>
        <v>SGHPQL55A51H390L</v>
      </c>
      <c r="O3530" s="3" t="s">
        <v>3650</v>
      </c>
      <c r="P3530" s="3" t="s">
        <v>36</v>
      </c>
      <c r="Q3530" s="3"/>
      <c r="R3530" s="4">
        <v>45996</v>
      </c>
      <c r="S3530" s="3" t="s">
        <v>37</v>
      </c>
      <c r="T3530" s="3" t="s">
        <v>38</v>
      </c>
      <c r="U3530" s="3" t="s">
        <v>39</v>
      </c>
      <c r="V3530" s="3">
        <v>52.77</v>
      </c>
      <c r="W3530" s="3">
        <v>22.43</v>
      </c>
      <c r="X3530" s="3">
        <v>21.24</v>
      </c>
      <c r="Y3530" s="3">
        <v>9.1</v>
      </c>
    </row>
    <row r="3531" spans="1:25" ht="60.75" x14ac:dyDescent="0.25">
      <c r="A3531" s="3" t="s">
        <v>26</v>
      </c>
      <c r="B3531" s="3" t="s">
        <v>27</v>
      </c>
      <c r="C3531" s="3" t="s">
        <v>28</v>
      </c>
      <c r="D3531" s="3" t="s">
        <v>29</v>
      </c>
      <c r="E3531" s="3" t="s">
        <v>119</v>
      </c>
      <c r="F3531" s="3" t="s">
        <v>31</v>
      </c>
      <c r="G3531" s="3" t="s">
        <v>119</v>
      </c>
      <c r="H3531" s="3" t="s">
        <v>96</v>
      </c>
      <c r="I3531" s="3">
        <v>2025</v>
      </c>
      <c r="J3531" s="3" t="str">
        <f>CONCATENATE("54820025101")</f>
        <v>54820025101</v>
      </c>
      <c r="K3531" s="3" t="s">
        <v>33</v>
      </c>
      <c r="L3531" s="3"/>
      <c r="M3531" s="3" t="s">
        <v>131</v>
      </c>
      <c r="N3531" s="3" t="str">
        <f>CONCATENATE("DSLTRS61R54A462C")</f>
        <v>DSLTRS61R54A462C</v>
      </c>
      <c r="O3531" s="3" t="s">
        <v>3651</v>
      </c>
      <c r="P3531" s="3" t="s">
        <v>36</v>
      </c>
      <c r="Q3531" s="3"/>
      <c r="R3531" s="4">
        <v>45996</v>
      </c>
      <c r="S3531" s="3" t="s">
        <v>37</v>
      </c>
      <c r="T3531" s="3" t="s">
        <v>38</v>
      </c>
      <c r="U3531" s="3" t="s">
        <v>39</v>
      </c>
      <c r="V3531" s="3">
        <v>47.16</v>
      </c>
      <c r="W3531" s="3">
        <v>20.04</v>
      </c>
      <c r="X3531" s="3">
        <v>18.98</v>
      </c>
      <c r="Y3531" s="3">
        <v>8.14</v>
      </c>
    </row>
    <row r="3532" spans="1:25" ht="60.75" x14ac:dyDescent="0.25">
      <c r="A3532" s="3" t="s">
        <v>26</v>
      </c>
      <c r="B3532" s="3" t="s">
        <v>27</v>
      </c>
      <c r="C3532" s="3" t="s">
        <v>28</v>
      </c>
      <c r="D3532" s="3" t="s">
        <v>29</v>
      </c>
      <c r="E3532" s="3" t="s">
        <v>72</v>
      </c>
      <c r="F3532" s="3" t="s">
        <v>31</v>
      </c>
      <c r="G3532" s="3" t="s">
        <v>72</v>
      </c>
      <c r="H3532" s="3" t="s">
        <v>45</v>
      </c>
      <c r="I3532" s="3">
        <v>2025</v>
      </c>
      <c r="J3532" s="3" t="str">
        <f>CONCATENATE("54820081054")</f>
        <v>54820081054</v>
      </c>
      <c r="K3532" s="3" t="s">
        <v>33</v>
      </c>
      <c r="L3532" s="3"/>
      <c r="M3532" s="3" t="s">
        <v>131</v>
      </c>
      <c r="N3532" s="3" t="str">
        <f>CONCATENATE("CNCGNN72L06C745G")</f>
        <v>CNCGNN72L06C745G</v>
      </c>
      <c r="O3532" s="3" t="s">
        <v>2612</v>
      </c>
      <c r="P3532" s="3" t="s">
        <v>36</v>
      </c>
      <c r="Q3532" s="3"/>
      <c r="R3532" s="4">
        <v>45996</v>
      </c>
      <c r="S3532" s="3" t="s">
        <v>37</v>
      </c>
      <c r="T3532" s="3" t="s">
        <v>38</v>
      </c>
      <c r="U3532" s="3" t="s">
        <v>39</v>
      </c>
      <c r="V3532" s="3">
        <v>257.95</v>
      </c>
      <c r="W3532" s="3">
        <v>109.63</v>
      </c>
      <c r="X3532" s="3">
        <v>103.82</v>
      </c>
      <c r="Y3532" s="3">
        <v>44.5</v>
      </c>
    </row>
    <row r="3533" spans="1:25" ht="60.75" x14ac:dyDescent="0.25">
      <c r="A3533" s="3" t="s">
        <v>26</v>
      </c>
      <c r="B3533" s="3" t="s">
        <v>27</v>
      </c>
      <c r="C3533" s="3" t="s">
        <v>28</v>
      </c>
      <c r="D3533" s="3" t="s">
        <v>50</v>
      </c>
      <c r="E3533" s="3" t="s">
        <v>1121</v>
      </c>
      <c r="F3533" s="3" t="s">
        <v>52</v>
      </c>
      <c r="G3533" s="3" t="s">
        <v>1121</v>
      </c>
      <c r="H3533" s="3" t="s">
        <v>48</v>
      </c>
      <c r="I3533" s="3">
        <v>2025</v>
      </c>
      <c r="J3533" s="3" t="str">
        <f>CONCATENATE("54820064407")</f>
        <v>54820064407</v>
      </c>
      <c r="K3533" s="3" t="s">
        <v>33</v>
      </c>
      <c r="L3533" s="3"/>
      <c r="M3533" s="3" t="s">
        <v>131</v>
      </c>
      <c r="N3533" s="3" t="str">
        <f>CONCATENATE("BNALSN75E47D451P")</f>
        <v>BNALSN75E47D451P</v>
      </c>
      <c r="O3533" s="3" t="s">
        <v>3652</v>
      </c>
      <c r="P3533" s="3" t="s">
        <v>36</v>
      </c>
      <c r="Q3533" s="3"/>
      <c r="R3533" s="4">
        <v>45996</v>
      </c>
      <c r="S3533" s="3" t="s">
        <v>37</v>
      </c>
      <c r="T3533" s="3" t="s">
        <v>38</v>
      </c>
      <c r="U3533" s="3" t="s">
        <v>39</v>
      </c>
      <c r="V3533" s="3">
        <v>466.39</v>
      </c>
      <c r="W3533" s="3">
        <v>198.22</v>
      </c>
      <c r="X3533" s="3">
        <v>187.72</v>
      </c>
      <c r="Y3533" s="3">
        <v>80.45</v>
      </c>
    </row>
    <row r="3534" spans="1:25" ht="60.75" x14ac:dyDescent="0.25">
      <c r="A3534" s="3" t="s">
        <v>26</v>
      </c>
      <c r="B3534" s="3" t="s">
        <v>27</v>
      </c>
      <c r="C3534" s="3" t="s">
        <v>28</v>
      </c>
      <c r="D3534" s="3" t="s">
        <v>29</v>
      </c>
      <c r="E3534" s="3" t="s">
        <v>233</v>
      </c>
      <c r="F3534" s="3" t="s">
        <v>31</v>
      </c>
      <c r="G3534" s="3" t="s">
        <v>233</v>
      </c>
      <c r="H3534" s="3" t="s">
        <v>96</v>
      </c>
      <c r="I3534" s="3">
        <v>2025</v>
      </c>
      <c r="J3534" s="3" t="str">
        <f>CONCATENATE("54820024419")</f>
        <v>54820024419</v>
      </c>
      <c r="K3534" s="3" t="s">
        <v>33</v>
      </c>
      <c r="L3534" s="3"/>
      <c r="M3534" s="3" t="s">
        <v>131</v>
      </c>
      <c r="N3534" s="3" t="str">
        <f>CONCATENATE("BSTLNZ89H26A462O")</f>
        <v>BSTLNZ89H26A462O</v>
      </c>
      <c r="O3534" s="3" t="s">
        <v>3653</v>
      </c>
      <c r="P3534" s="3" t="s">
        <v>36</v>
      </c>
      <c r="Q3534" s="3"/>
      <c r="R3534" s="4">
        <v>45996</v>
      </c>
      <c r="S3534" s="3" t="s">
        <v>37</v>
      </c>
      <c r="T3534" s="3" t="s">
        <v>38</v>
      </c>
      <c r="U3534" s="3" t="s">
        <v>39</v>
      </c>
      <c r="V3534" s="3">
        <v>146.22</v>
      </c>
      <c r="W3534" s="3">
        <v>62.14</v>
      </c>
      <c r="X3534" s="3">
        <v>58.85</v>
      </c>
      <c r="Y3534" s="3">
        <v>25.23</v>
      </c>
    </row>
    <row r="3535" spans="1:25" ht="60.75" x14ac:dyDescent="0.25">
      <c r="A3535" s="3" t="s">
        <v>26</v>
      </c>
      <c r="B3535" s="3" t="s">
        <v>27</v>
      </c>
      <c r="C3535" s="3" t="s">
        <v>28</v>
      </c>
      <c r="D3535" s="3" t="s">
        <v>29</v>
      </c>
      <c r="E3535" s="3" t="s">
        <v>119</v>
      </c>
      <c r="F3535" s="3" t="s">
        <v>31</v>
      </c>
      <c r="G3535" s="3" t="s">
        <v>119</v>
      </c>
      <c r="H3535" s="3" t="s">
        <v>96</v>
      </c>
      <c r="I3535" s="3">
        <v>2025</v>
      </c>
      <c r="J3535" s="3" t="str">
        <f>CONCATENATE("54820088018")</f>
        <v>54820088018</v>
      </c>
      <c r="K3535" s="3" t="s">
        <v>33</v>
      </c>
      <c r="L3535" s="3"/>
      <c r="M3535" s="3" t="s">
        <v>131</v>
      </c>
      <c r="N3535" s="3" t="str">
        <f>CONCATENATE("TRRPIA39C54C935R")</f>
        <v>TRRPIA39C54C935R</v>
      </c>
      <c r="O3535" s="3" t="s">
        <v>3654</v>
      </c>
      <c r="P3535" s="3" t="s">
        <v>36</v>
      </c>
      <c r="Q3535" s="3"/>
      <c r="R3535" s="4">
        <v>45996</v>
      </c>
      <c r="S3535" s="3" t="s">
        <v>37</v>
      </c>
      <c r="T3535" s="3" t="s">
        <v>38</v>
      </c>
      <c r="U3535" s="3" t="s">
        <v>39</v>
      </c>
      <c r="V3535" s="3">
        <v>93.27</v>
      </c>
      <c r="W3535" s="3">
        <v>39.64</v>
      </c>
      <c r="X3535" s="3">
        <v>37.54</v>
      </c>
      <c r="Y3535" s="3">
        <v>16.09</v>
      </c>
    </row>
    <row r="3536" spans="1:25" ht="60.75" x14ac:dyDescent="0.25">
      <c r="A3536" s="3" t="s">
        <v>26</v>
      </c>
      <c r="B3536" s="3" t="s">
        <v>27</v>
      </c>
      <c r="C3536" s="3" t="s">
        <v>28</v>
      </c>
      <c r="D3536" s="3" t="s">
        <v>29</v>
      </c>
      <c r="E3536" s="3" t="s">
        <v>68</v>
      </c>
      <c r="F3536" s="3" t="s">
        <v>31</v>
      </c>
      <c r="G3536" s="3" t="s">
        <v>68</v>
      </c>
      <c r="H3536" s="3" t="s">
        <v>32</v>
      </c>
      <c r="I3536" s="3">
        <v>2025</v>
      </c>
      <c r="J3536" s="3" t="str">
        <f>CONCATENATE("54820021472")</f>
        <v>54820021472</v>
      </c>
      <c r="K3536" s="3" t="s">
        <v>33</v>
      </c>
      <c r="L3536" s="3"/>
      <c r="M3536" s="3" t="s">
        <v>131</v>
      </c>
      <c r="N3536" s="3" t="str">
        <f>CONCATENATE("CLVLVR57B42I436Y")</f>
        <v>CLVLVR57B42I436Y</v>
      </c>
      <c r="O3536" s="3" t="s">
        <v>3655</v>
      </c>
      <c r="P3536" s="3" t="s">
        <v>36</v>
      </c>
      <c r="Q3536" s="3"/>
      <c r="R3536" s="4">
        <v>45996</v>
      </c>
      <c r="S3536" s="3" t="s">
        <v>37</v>
      </c>
      <c r="T3536" s="3" t="s">
        <v>38</v>
      </c>
      <c r="U3536" s="3" t="s">
        <v>39</v>
      </c>
      <c r="V3536" s="3">
        <v>71</v>
      </c>
      <c r="W3536" s="3">
        <v>30.18</v>
      </c>
      <c r="X3536" s="3">
        <v>28.58</v>
      </c>
      <c r="Y3536" s="3">
        <v>12.24</v>
      </c>
    </row>
    <row r="3537" spans="1:25" ht="72.75" x14ac:dyDescent="0.25">
      <c r="A3537" s="3" t="s">
        <v>26</v>
      </c>
      <c r="B3537" s="3" t="s">
        <v>27</v>
      </c>
      <c r="C3537" s="3" t="s">
        <v>28</v>
      </c>
      <c r="D3537" s="3" t="s">
        <v>29</v>
      </c>
      <c r="E3537" s="3" t="s">
        <v>186</v>
      </c>
      <c r="F3537" s="3" t="s">
        <v>31</v>
      </c>
      <c r="G3537" s="3" t="s">
        <v>186</v>
      </c>
      <c r="H3537" s="3" t="s">
        <v>45</v>
      </c>
      <c r="I3537" s="3">
        <v>2025</v>
      </c>
      <c r="J3537" s="3" t="str">
        <f>CONCATENATE("54820030465")</f>
        <v>54820030465</v>
      </c>
      <c r="K3537" s="3" t="s">
        <v>33</v>
      </c>
      <c r="L3537" s="3"/>
      <c r="M3537" s="3" t="s">
        <v>131</v>
      </c>
      <c r="N3537" s="3" t="str">
        <f>CONCATENATE("MNNMRC44D26L500F")</f>
        <v>MNNMRC44D26L500F</v>
      </c>
      <c r="O3537" s="3" t="s">
        <v>3656</v>
      </c>
      <c r="P3537" s="3" t="s">
        <v>36</v>
      </c>
      <c r="Q3537" s="3"/>
      <c r="R3537" s="4">
        <v>45996</v>
      </c>
      <c r="S3537" s="3" t="s">
        <v>37</v>
      </c>
      <c r="T3537" s="3" t="s">
        <v>38</v>
      </c>
      <c r="U3537" s="3" t="s">
        <v>39</v>
      </c>
      <c r="V3537" s="3">
        <v>780.07</v>
      </c>
      <c r="W3537" s="3">
        <v>331.53</v>
      </c>
      <c r="X3537" s="3">
        <v>313.98</v>
      </c>
      <c r="Y3537" s="3">
        <v>134.56</v>
      </c>
    </row>
    <row r="3538" spans="1:25" ht="60.75" x14ac:dyDescent="0.25">
      <c r="A3538" s="3" t="s">
        <v>26</v>
      </c>
      <c r="B3538" s="3" t="s">
        <v>27</v>
      </c>
      <c r="C3538" s="3" t="s">
        <v>28</v>
      </c>
      <c r="D3538" s="3" t="s">
        <v>29</v>
      </c>
      <c r="E3538" s="3" t="s">
        <v>101</v>
      </c>
      <c r="F3538" s="3" t="s">
        <v>31</v>
      </c>
      <c r="G3538" s="3" t="s">
        <v>101</v>
      </c>
      <c r="H3538" s="3" t="s">
        <v>32</v>
      </c>
      <c r="I3538" s="3">
        <v>2025</v>
      </c>
      <c r="J3538" s="3" t="str">
        <f>CONCATENATE("54820024021")</f>
        <v>54820024021</v>
      </c>
      <c r="K3538" s="3" t="s">
        <v>33</v>
      </c>
      <c r="L3538" s="3"/>
      <c r="M3538" s="3" t="s">
        <v>131</v>
      </c>
      <c r="N3538" s="3" t="str">
        <f>CONCATENATE("SCSMTT81R22L191W")</f>
        <v>SCSMTT81R22L191W</v>
      </c>
      <c r="O3538" s="3" t="s">
        <v>3657</v>
      </c>
      <c r="P3538" s="3" t="s">
        <v>36</v>
      </c>
      <c r="Q3538" s="3"/>
      <c r="R3538" s="4">
        <v>45996</v>
      </c>
      <c r="S3538" s="3" t="s">
        <v>37</v>
      </c>
      <c r="T3538" s="3" t="s">
        <v>38</v>
      </c>
      <c r="U3538" s="3" t="s">
        <v>39</v>
      </c>
      <c r="V3538" s="3">
        <v>897.61</v>
      </c>
      <c r="W3538" s="3">
        <v>381.48</v>
      </c>
      <c r="X3538" s="3">
        <v>361.29</v>
      </c>
      <c r="Y3538" s="3">
        <v>154.84</v>
      </c>
    </row>
    <row r="3539" spans="1:25" ht="60.75" x14ac:dyDescent="0.25">
      <c r="A3539" s="3" t="s">
        <v>26</v>
      </c>
      <c r="B3539" s="3" t="s">
        <v>27</v>
      </c>
      <c r="C3539" s="3" t="s">
        <v>28</v>
      </c>
      <c r="D3539" s="3" t="s">
        <v>29</v>
      </c>
      <c r="E3539" s="3" t="s">
        <v>72</v>
      </c>
      <c r="F3539" s="3" t="s">
        <v>31</v>
      </c>
      <c r="G3539" s="3" t="s">
        <v>72</v>
      </c>
      <c r="H3539" s="3" t="s">
        <v>45</v>
      </c>
      <c r="I3539" s="3">
        <v>2025</v>
      </c>
      <c r="J3539" s="3" t="str">
        <f>CONCATENATE("54820027768")</f>
        <v>54820027768</v>
      </c>
      <c r="K3539" s="3" t="s">
        <v>33</v>
      </c>
      <c r="L3539" s="3"/>
      <c r="M3539" s="3" t="s">
        <v>131</v>
      </c>
      <c r="N3539" s="3" t="str">
        <f>CONCATENATE("CRPGPP67S18G453A")</f>
        <v>CRPGPP67S18G453A</v>
      </c>
      <c r="O3539" s="3" t="s">
        <v>3658</v>
      </c>
      <c r="P3539" s="3" t="s">
        <v>36</v>
      </c>
      <c r="Q3539" s="3"/>
      <c r="R3539" s="4">
        <v>45996</v>
      </c>
      <c r="S3539" s="3" t="s">
        <v>37</v>
      </c>
      <c r="T3539" s="3" t="s">
        <v>38</v>
      </c>
      <c r="U3539" s="3" t="s">
        <v>39</v>
      </c>
      <c r="V3539" s="3">
        <v>42.33</v>
      </c>
      <c r="W3539" s="3">
        <v>17.989999999999998</v>
      </c>
      <c r="X3539" s="3">
        <v>17.04</v>
      </c>
      <c r="Y3539" s="3">
        <v>7.3</v>
      </c>
    </row>
    <row r="3540" spans="1:25" ht="36.75" x14ac:dyDescent="0.25">
      <c r="A3540" s="3" t="s">
        <v>26</v>
      </c>
      <c r="B3540" s="3" t="s">
        <v>27</v>
      </c>
      <c r="C3540" s="3" t="s">
        <v>28</v>
      </c>
      <c r="D3540" s="3" t="s">
        <v>29</v>
      </c>
      <c r="E3540" s="3" t="s">
        <v>233</v>
      </c>
      <c r="F3540" s="3" t="s">
        <v>31</v>
      </c>
      <c r="G3540" s="3" t="s">
        <v>233</v>
      </c>
      <c r="H3540" s="3" t="s">
        <v>96</v>
      </c>
      <c r="I3540" s="3">
        <v>2025</v>
      </c>
      <c r="J3540" s="3" t="str">
        <f>CONCATENATE("54820038179")</f>
        <v>54820038179</v>
      </c>
      <c r="K3540" s="3" t="s">
        <v>33</v>
      </c>
      <c r="L3540" s="3"/>
      <c r="M3540" s="3" t="s">
        <v>131</v>
      </c>
      <c r="N3540" s="3" t="str">
        <f>CONCATENATE("00705630440")</f>
        <v>00705630440</v>
      </c>
      <c r="O3540" s="3" t="s">
        <v>3659</v>
      </c>
      <c r="P3540" s="3" t="s">
        <v>36</v>
      </c>
      <c r="Q3540" s="3"/>
      <c r="R3540" s="4">
        <v>45996</v>
      </c>
      <c r="S3540" s="3" t="s">
        <v>37</v>
      </c>
      <c r="T3540" s="3" t="s">
        <v>38</v>
      </c>
      <c r="U3540" s="3" t="s">
        <v>39</v>
      </c>
      <c r="V3540" s="3">
        <v>381.77</v>
      </c>
      <c r="W3540" s="3">
        <v>162.25</v>
      </c>
      <c r="X3540" s="3">
        <v>153.66</v>
      </c>
      <c r="Y3540" s="3">
        <v>65.86</v>
      </c>
    </row>
    <row r="3541" spans="1:25" ht="60.75" x14ac:dyDescent="0.25">
      <c r="A3541" s="3" t="s">
        <v>26</v>
      </c>
      <c r="B3541" s="3" t="s">
        <v>27</v>
      </c>
      <c r="C3541" s="3" t="s">
        <v>28</v>
      </c>
      <c r="D3541" s="3" t="s">
        <v>29</v>
      </c>
      <c r="E3541" s="3" t="s">
        <v>47</v>
      </c>
      <c r="F3541" s="3" t="s">
        <v>31</v>
      </c>
      <c r="G3541" s="3" t="s">
        <v>47</v>
      </c>
      <c r="H3541" s="3" t="s">
        <v>48</v>
      </c>
      <c r="I3541" s="3">
        <v>2025</v>
      </c>
      <c r="J3541" s="3" t="str">
        <f>CONCATENATE("54820066832")</f>
        <v>54820066832</v>
      </c>
      <c r="K3541" s="3" t="s">
        <v>33</v>
      </c>
      <c r="L3541" s="3"/>
      <c r="M3541" s="3" t="s">
        <v>131</v>
      </c>
      <c r="N3541" s="3" t="str">
        <f>CONCATENATE("SBSMLA46L21D965B")</f>
        <v>SBSMLA46L21D965B</v>
      </c>
      <c r="O3541" s="3" t="s">
        <v>3660</v>
      </c>
      <c r="P3541" s="3" t="s">
        <v>36</v>
      </c>
      <c r="Q3541" s="3"/>
      <c r="R3541" s="4">
        <v>45996</v>
      </c>
      <c r="S3541" s="3" t="s">
        <v>37</v>
      </c>
      <c r="T3541" s="3" t="s">
        <v>38</v>
      </c>
      <c r="U3541" s="3" t="s">
        <v>39</v>
      </c>
      <c r="V3541" s="3">
        <v>59.66</v>
      </c>
      <c r="W3541" s="3">
        <v>25.36</v>
      </c>
      <c r="X3541" s="3">
        <v>24.01</v>
      </c>
      <c r="Y3541" s="3">
        <v>10.29</v>
      </c>
    </row>
    <row r="3542" spans="1:25" ht="72.75" x14ac:dyDescent="0.25">
      <c r="A3542" s="3" t="s">
        <v>26</v>
      </c>
      <c r="B3542" s="3" t="s">
        <v>27</v>
      </c>
      <c r="C3542" s="3" t="s">
        <v>28</v>
      </c>
      <c r="D3542" s="3" t="s">
        <v>50</v>
      </c>
      <c r="E3542" s="3" t="s">
        <v>173</v>
      </c>
      <c r="F3542" s="3" t="s">
        <v>52</v>
      </c>
      <c r="G3542" s="3" t="s">
        <v>173</v>
      </c>
      <c r="H3542" s="3" t="s">
        <v>45</v>
      </c>
      <c r="I3542" s="3">
        <v>2025</v>
      </c>
      <c r="J3542" s="3" t="str">
        <f>CONCATENATE("54820023502")</f>
        <v>54820023502</v>
      </c>
      <c r="K3542" s="3" t="s">
        <v>33</v>
      </c>
      <c r="L3542" s="3"/>
      <c r="M3542" s="3" t="s">
        <v>131</v>
      </c>
      <c r="N3542" s="3" t="str">
        <f>CONCATENATE("LMBGPP37B02B816R")</f>
        <v>LMBGPP37B02B816R</v>
      </c>
      <c r="O3542" s="3" t="s">
        <v>3661</v>
      </c>
      <c r="P3542" s="3" t="s">
        <v>36</v>
      </c>
      <c r="Q3542" s="3"/>
      <c r="R3542" s="4">
        <v>45996</v>
      </c>
      <c r="S3542" s="3" t="s">
        <v>37</v>
      </c>
      <c r="T3542" s="3" t="s">
        <v>38</v>
      </c>
      <c r="U3542" s="3" t="s">
        <v>39</v>
      </c>
      <c r="V3542" s="3">
        <v>160</v>
      </c>
      <c r="W3542" s="3">
        <v>68</v>
      </c>
      <c r="X3542" s="3">
        <v>64.400000000000006</v>
      </c>
      <c r="Y3542" s="3">
        <v>27.6</v>
      </c>
    </row>
    <row r="3543" spans="1:25" ht="36.75" x14ac:dyDescent="0.25">
      <c r="A3543" s="3" t="s">
        <v>26</v>
      </c>
      <c r="B3543" s="3" t="s">
        <v>27</v>
      </c>
      <c r="C3543" s="3" t="s">
        <v>28</v>
      </c>
      <c r="D3543" s="3" t="s">
        <v>40</v>
      </c>
      <c r="E3543" s="3" t="s">
        <v>54</v>
      </c>
      <c r="F3543" s="3" t="s">
        <v>42</v>
      </c>
      <c r="G3543" s="3" t="s">
        <v>54</v>
      </c>
      <c r="H3543" s="3" t="s">
        <v>45</v>
      </c>
      <c r="I3543" s="3">
        <v>2025</v>
      </c>
      <c r="J3543" s="3" t="str">
        <f>CONCATENATE("54820071196")</f>
        <v>54820071196</v>
      </c>
      <c r="K3543" s="3" t="s">
        <v>33</v>
      </c>
      <c r="L3543" s="3"/>
      <c r="M3543" s="3" t="s">
        <v>131</v>
      </c>
      <c r="N3543" s="3" t="str">
        <f>CONCATENATE("01048540411")</f>
        <v>01048540411</v>
      </c>
      <c r="O3543" s="3" t="s">
        <v>3662</v>
      </c>
      <c r="P3543" s="3" t="s">
        <v>36</v>
      </c>
      <c r="Q3543" s="3"/>
      <c r="R3543" s="4">
        <v>45996</v>
      </c>
      <c r="S3543" s="3" t="s">
        <v>37</v>
      </c>
      <c r="T3543" s="3" t="s">
        <v>38</v>
      </c>
      <c r="U3543" s="3" t="s">
        <v>39</v>
      </c>
      <c r="V3543" s="3">
        <v>837.41</v>
      </c>
      <c r="W3543" s="3">
        <v>355.9</v>
      </c>
      <c r="X3543" s="3">
        <v>337.06</v>
      </c>
      <c r="Y3543" s="3">
        <v>144.44999999999999</v>
      </c>
    </row>
    <row r="3544" spans="1:25" ht="60.75" x14ac:dyDescent="0.25">
      <c r="A3544" s="3" t="s">
        <v>26</v>
      </c>
      <c r="B3544" s="3" t="s">
        <v>27</v>
      </c>
      <c r="C3544" s="3" t="s">
        <v>28</v>
      </c>
      <c r="D3544" s="3" t="s">
        <v>29</v>
      </c>
      <c r="E3544" s="3" t="s">
        <v>72</v>
      </c>
      <c r="F3544" s="3" t="s">
        <v>31</v>
      </c>
      <c r="G3544" s="3" t="s">
        <v>72</v>
      </c>
      <c r="H3544" s="3" t="s">
        <v>45</v>
      </c>
      <c r="I3544" s="3">
        <v>2025</v>
      </c>
      <c r="J3544" s="3" t="str">
        <f>CONCATENATE("54820050166")</f>
        <v>54820050166</v>
      </c>
      <c r="K3544" s="3" t="s">
        <v>33</v>
      </c>
      <c r="L3544" s="3"/>
      <c r="M3544" s="3" t="s">
        <v>131</v>
      </c>
      <c r="N3544" s="3" t="str">
        <f>CONCATENATE("MNSLRT54D42B352C")</f>
        <v>MNSLRT54D42B352C</v>
      </c>
      <c r="O3544" s="3" t="s">
        <v>3663</v>
      </c>
      <c r="P3544" s="3" t="s">
        <v>36</v>
      </c>
      <c r="Q3544" s="3"/>
      <c r="R3544" s="4">
        <v>45996</v>
      </c>
      <c r="S3544" s="3" t="s">
        <v>37</v>
      </c>
      <c r="T3544" s="3" t="s">
        <v>38</v>
      </c>
      <c r="U3544" s="3" t="s">
        <v>39</v>
      </c>
      <c r="V3544" s="3">
        <v>515.4</v>
      </c>
      <c r="W3544" s="3">
        <v>219.05</v>
      </c>
      <c r="X3544" s="3">
        <v>207.45</v>
      </c>
      <c r="Y3544" s="3">
        <v>88.9</v>
      </c>
    </row>
    <row r="3545" spans="1:25" ht="60.75" x14ac:dyDescent="0.25">
      <c r="A3545" s="3" t="s">
        <v>26</v>
      </c>
      <c r="B3545" s="3" t="s">
        <v>27</v>
      </c>
      <c r="C3545" s="3" t="s">
        <v>28</v>
      </c>
      <c r="D3545" s="3" t="s">
        <v>29</v>
      </c>
      <c r="E3545" s="3" t="s">
        <v>119</v>
      </c>
      <c r="F3545" s="3" t="s">
        <v>31</v>
      </c>
      <c r="G3545" s="3" t="s">
        <v>119</v>
      </c>
      <c r="H3545" s="3" t="s">
        <v>96</v>
      </c>
      <c r="I3545" s="3">
        <v>2025</v>
      </c>
      <c r="J3545" s="3" t="str">
        <f>CONCATENATE("54820039227")</f>
        <v>54820039227</v>
      </c>
      <c r="K3545" s="3" t="s">
        <v>33</v>
      </c>
      <c r="L3545" s="3"/>
      <c r="M3545" s="3" t="s">
        <v>131</v>
      </c>
      <c r="N3545" s="3" t="str">
        <f>CONCATENATE("PLTTZN68M65F570N")</f>
        <v>PLTTZN68M65F570N</v>
      </c>
      <c r="O3545" s="3" t="s">
        <v>3664</v>
      </c>
      <c r="P3545" s="3" t="s">
        <v>36</v>
      </c>
      <c r="Q3545" s="3"/>
      <c r="R3545" s="4">
        <v>45996</v>
      </c>
      <c r="S3545" s="3" t="s">
        <v>37</v>
      </c>
      <c r="T3545" s="3" t="s">
        <v>38</v>
      </c>
      <c r="U3545" s="3" t="s">
        <v>39</v>
      </c>
      <c r="V3545" s="3">
        <v>149.41</v>
      </c>
      <c r="W3545" s="3">
        <v>63.5</v>
      </c>
      <c r="X3545" s="3">
        <v>60.14</v>
      </c>
      <c r="Y3545" s="3">
        <v>25.77</v>
      </c>
    </row>
    <row r="3546" spans="1:25" ht="60.75" x14ac:dyDescent="0.25">
      <c r="A3546" s="3" t="s">
        <v>26</v>
      </c>
      <c r="B3546" s="3" t="s">
        <v>27</v>
      </c>
      <c r="C3546" s="3" t="s">
        <v>28</v>
      </c>
      <c r="D3546" s="3" t="s">
        <v>29</v>
      </c>
      <c r="E3546" s="3" t="s">
        <v>136</v>
      </c>
      <c r="F3546" s="3" t="s">
        <v>31</v>
      </c>
      <c r="G3546" s="3" t="s">
        <v>136</v>
      </c>
      <c r="H3546" s="3" t="s">
        <v>48</v>
      </c>
      <c r="I3546" s="3">
        <v>2025</v>
      </c>
      <c r="J3546" s="3" t="str">
        <f>CONCATENATE("54820067889")</f>
        <v>54820067889</v>
      </c>
      <c r="K3546" s="3" t="s">
        <v>33</v>
      </c>
      <c r="L3546" s="3"/>
      <c r="M3546" s="3" t="s">
        <v>131</v>
      </c>
      <c r="N3546" s="3" t="str">
        <f>CONCATENATE("FRNDNI67T64I461Z")</f>
        <v>FRNDNI67T64I461Z</v>
      </c>
      <c r="O3546" s="3" t="s">
        <v>3665</v>
      </c>
      <c r="P3546" s="3" t="s">
        <v>36</v>
      </c>
      <c r="Q3546" s="3"/>
      <c r="R3546" s="4">
        <v>45996</v>
      </c>
      <c r="S3546" s="3" t="s">
        <v>37</v>
      </c>
      <c r="T3546" s="3" t="s">
        <v>38</v>
      </c>
      <c r="U3546" s="3" t="s">
        <v>39</v>
      </c>
      <c r="V3546" s="3">
        <v>89.02</v>
      </c>
      <c r="W3546" s="3">
        <v>37.83</v>
      </c>
      <c r="X3546" s="3">
        <v>35.83</v>
      </c>
      <c r="Y3546" s="3">
        <v>15.36</v>
      </c>
    </row>
    <row r="3547" spans="1:25" ht="60.75" x14ac:dyDescent="0.25">
      <c r="A3547" s="3" t="s">
        <v>26</v>
      </c>
      <c r="B3547" s="3" t="s">
        <v>27</v>
      </c>
      <c r="C3547" s="3" t="s">
        <v>28</v>
      </c>
      <c r="D3547" s="3" t="s">
        <v>50</v>
      </c>
      <c r="E3547" s="3" t="s">
        <v>51</v>
      </c>
      <c r="F3547" s="3" t="s">
        <v>52</v>
      </c>
      <c r="G3547" s="3" t="s">
        <v>51</v>
      </c>
      <c r="H3547" s="3" t="s">
        <v>48</v>
      </c>
      <c r="I3547" s="3">
        <v>2025</v>
      </c>
      <c r="J3547" s="3" t="str">
        <f>CONCATENATE("54820087937")</f>
        <v>54820087937</v>
      </c>
      <c r="K3547" s="3" t="s">
        <v>33</v>
      </c>
      <c r="L3547" s="3"/>
      <c r="M3547" s="3" t="s">
        <v>131</v>
      </c>
      <c r="N3547" s="3" t="str">
        <f>CONCATENATE("SNTGRG74T29A366P")</f>
        <v>SNTGRG74T29A366P</v>
      </c>
      <c r="O3547" s="3" t="s">
        <v>3666</v>
      </c>
      <c r="P3547" s="3" t="s">
        <v>36</v>
      </c>
      <c r="Q3547" s="3"/>
      <c r="R3547" s="4">
        <v>45996</v>
      </c>
      <c r="S3547" s="3" t="s">
        <v>37</v>
      </c>
      <c r="T3547" s="3" t="s">
        <v>38</v>
      </c>
      <c r="U3547" s="3" t="s">
        <v>39</v>
      </c>
      <c r="V3547" s="3">
        <v>390.6</v>
      </c>
      <c r="W3547" s="3">
        <v>166.01</v>
      </c>
      <c r="X3547" s="3">
        <v>157.22</v>
      </c>
      <c r="Y3547" s="3">
        <v>67.37</v>
      </c>
    </row>
    <row r="3548" spans="1:25" ht="36.75" x14ac:dyDescent="0.25">
      <c r="A3548" s="3" t="s">
        <v>26</v>
      </c>
      <c r="B3548" s="3" t="s">
        <v>27</v>
      </c>
      <c r="C3548" s="3" t="s">
        <v>28</v>
      </c>
      <c r="D3548" s="3" t="s">
        <v>40</v>
      </c>
      <c r="E3548" s="3" t="s">
        <v>218</v>
      </c>
      <c r="F3548" s="3" t="s">
        <v>42</v>
      </c>
      <c r="G3548" s="3" t="s">
        <v>218</v>
      </c>
      <c r="H3548" s="3" t="s">
        <v>45</v>
      </c>
      <c r="I3548" s="3">
        <v>2025</v>
      </c>
      <c r="J3548" s="3" t="str">
        <f>CONCATENATE("54820055678")</f>
        <v>54820055678</v>
      </c>
      <c r="K3548" s="3" t="s">
        <v>33</v>
      </c>
      <c r="L3548" s="3"/>
      <c r="M3548" s="3" t="s">
        <v>131</v>
      </c>
      <c r="N3548" s="3" t="str">
        <f>CONCATENATE("02496900412")</f>
        <v>02496900412</v>
      </c>
      <c r="O3548" s="3" t="s">
        <v>3667</v>
      </c>
      <c r="P3548" s="3" t="s">
        <v>36</v>
      </c>
      <c r="Q3548" s="3"/>
      <c r="R3548" s="4">
        <v>45996</v>
      </c>
      <c r="S3548" s="3" t="s">
        <v>37</v>
      </c>
      <c r="T3548" s="3" t="s">
        <v>38</v>
      </c>
      <c r="U3548" s="3" t="s">
        <v>39</v>
      </c>
      <c r="V3548" s="3">
        <v>78.58</v>
      </c>
      <c r="W3548" s="3">
        <v>33.4</v>
      </c>
      <c r="X3548" s="3">
        <v>31.63</v>
      </c>
      <c r="Y3548" s="3">
        <v>13.55</v>
      </c>
    </row>
    <row r="3549" spans="1:25" ht="60.75" x14ac:dyDescent="0.25">
      <c r="A3549" s="3" t="s">
        <v>26</v>
      </c>
      <c r="B3549" s="3" t="s">
        <v>27</v>
      </c>
      <c r="C3549" s="3" t="s">
        <v>28</v>
      </c>
      <c r="D3549" s="3" t="s">
        <v>29</v>
      </c>
      <c r="E3549" s="3" t="s">
        <v>47</v>
      </c>
      <c r="F3549" s="3" t="s">
        <v>31</v>
      </c>
      <c r="G3549" s="3" t="s">
        <v>47</v>
      </c>
      <c r="H3549" s="3" t="s">
        <v>48</v>
      </c>
      <c r="I3549" s="3">
        <v>2025</v>
      </c>
      <c r="J3549" s="3" t="str">
        <f>CONCATENATE("54820055843")</f>
        <v>54820055843</v>
      </c>
      <c r="K3549" s="3" t="s">
        <v>33</v>
      </c>
      <c r="L3549" s="3"/>
      <c r="M3549" s="3" t="s">
        <v>131</v>
      </c>
      <c r="N3549" s="3" t="str">
        <f>CONCATENATE("RCCLCU79S24D451N")</f>
        <v>RCCLCU79S24D451N</v>
      </c>
      <c r="O3549" s="3" t="s">
        <v>3668</v>
      </c>
      <c r="P3549" s="3" t="s">
        <v>36</v>
      </c>
      <c r="Q3549" s="3"/>
      <c r="R3549" s="4">
        <v>45996</v>
      </c>
      <c r="S3549" s="3" t="s">
        <v>37</v>
      </c>
      <c r="T3549" s="3" t="s">
        <v>38</v>
      </c>
      <c r="U3549" s="3" t="s">
        <v>39</v>
      </c>
      <c r="V3549" s="3">
        <v>52.63</v>
      </c>
      <c r="W3549" s="3">
        <v>22.37</v>
      </c>
      <c r="X3549" s="3">
        <v>21.18</v>
      </c>
      <c r="Y3549" s="3">
        <v>9.08</v>
      </c>
    </row>
    <row r="3550" spans="1:25" ht="72.75" x14ac:dyDescent="0.25">
      <c r="A3550" s="3" t="s">
        <v>26</v>
      </c>
      <c r="B3550" s="3" t="s">
        <v>27</v>
      </c>
      <c r="C3550" s="3" t="s">
        <v>28</v>
      </c>
      <c r="D3550" s="3" t="s">
        <v>29</v>
      </c>
      <c r="E3550" s="3" t="s">
        <v>228</v>
      </c>
      <c r="F3550" s="3" t="s">
        <v>31</v>
      </c>
      <c r="G3550" s="3" t="s">
        <v>228</v>
      </c>
      <c r="H3550" s="3" t="s">
        <v>45</v>
      </c>
      <c r="I3550" s="3">
        <v>2025</v>
      </c>
      <c r="J3550" s="3" t="str">
        <f>CONCATENATE("54820034384")</f>
        <v>54820034384</v>
      </c>
      <c r="K3550" s="3" t="s">
        <v>33</v>
      </c>
      <c r="L3550" s="3"/>
      <c r="M3550" s="3" t="s">
        <v>131</v>
      </c>
      <c r="N3550" s="3" t="str">
        <f>CONCATENATE("MSTVNT87M59D749R")</f>
        <v>MSTVNT87M59D749R</v>
      </c>
      <c r="O3550" s="3" t="s">
        <v>3669</v>
      </c>
      <c r="P3550" s="3" t="s">
        <v>36</v>
      </c>
      <c r="Q3550" s="3"/>
      <c r="R3550" s="4">
        <v>45996</v>
      </c>
      <c r="S3550" s="3" t="s">
        <v>37</v>
      </c>
      <c r="T3550" s="3" t="s">
        <v>38</v>
      </c>
      <c r="U3550" s="3" t="s">
        <v>39</v>
      </c>
      <c r="V3550" s="3">
        <v>96.32</v>
      </c>
      <c r="W3550" s="3">
        <v>40.94</v>
      </c>
      <c r="X3550" s="3">
        <v>38.770000000000003</v>
      </c>
      <c r="Y3550" s="3">
        <v>16.61</v>
      </c>
    </row>
    <row r="3551" spans="1:25" ht="36.75" x14ac:dyDescent="0.25">
      <c r="A3551" s="3" t="s">
        <v>26</v>
      </c>
      <c r="B3551" s="3" t="s">
        <v>27</v>
      </c>
      <c r="C3551" s="3" t="s">
        <v>28</v>
      </c>
      <c r="D3551" s="3" t="s">
        <v>29</v>
      </c>
      <c r="E3551" s="3" t="s">
        <v>72</v>
      </c>
      <c r="F3551" s="3" t="s">
        <v>31</v>
      </c>
      <c r="G3551" s="3" t="s">
        <v>72</v>
      </c>
      <c r="H3551" s="3" t="s">
        <v>45</v>
      </c>
      <c r="I3551" s="3">
        <v>2025</v>
      </c>
      <c r="J3551" s="3" t="str">
        <f>CONCATENATE("54820074216")</f>
        <v>54820074216</v>
      </c>
      <c r="K3551" s="3" t="s">
        <v>33</v>
      </c>
      <c r="L3551" s="3"/>
      <c r="M3551" s="3" t="s">
        <v>131</v>
      </c>
      <c r="N3551" s="3" t="str">
        <f>CONCATENATE("02444870410")</f>
        <v>02444870410</v>
      </c>
      <c r="O3551" s="3" t="s">
        <v>3670</v>
      </c>
      <c r="P3551" s="3" t="s">
        <v>36</v>
      </c>
      <c r="Q3551" s="3"/>
      <c r="R3551" s="4">
        <v>45996</v>
      </c>
      <c r="S3551" s="3" t="s">
        <v>37</v>
      </c>
      <c r="T3551" s="3" t="s">
        <v>38</v>
      </c>
      <c r="U3551" s="3" t="s">
        <v>39</v>
      </c>
      <c r="V3551" s="3">
        <v>772.92</v>
      </c>
      <c r="W3551" s="3">
        <v>328.49</v>
      </c>
      <c r="X3551" s="3">
        <v>311.10000000000002</v>
      </c>
      <c r="Y3551" s="3">
        <v>133.33000000000001</v>
      </c>
    </row>
    <row r="3552" spans="1:25" ht="60.75" x14ac:dyDescent="0.25">
      <c r="A3552" s="3" t="s">
        <v>26</v>
      </c>
      <c r="B3552" s="3" t="s">
        <v>27</v>
      </c>
      <c r="C3552" s="3" t="s">
        <v>28</v>
      </c>
      <c r="D3552" s="3" t="s">
        <v>29</v>
      </c>
      <c r="E3552" s="3" t="s">
        <v>119</v>
      </c>
      <c r="F3552" s="3" t="s">
        <v>31</v>
      </c>
      <c r="G3552" s="3" t="s">
        <v>119</v>
      </c>
      <c r="H3552" s="3" t="s">
        <v>96</v>
      </c>
      <c r="I3552" s="3">
        <v>2025</v>
      </c>
      <c r="J3552" s="3" t="str">
        <f>CONCATENATE("54820024930")</f>
        <v>54820024930</v>
      </c>
      <c r="K3552" s="3" t="s">
        <v>33</v>
      </c>
      <c r="L3552" s="3"/>
      <c r="M3552" s="3" t="s">
        <v>131</v>
      </c>
      <c r="N3552" s="3" t="str">
        <f>CONCATENATE("CSTNNA49P60F570U")</f>
        <v>CSTNNA49P60F570U</v>
      </c>
      <c r="O3552" s="3" t="s">
        <v>3671</v>
      </c>
      <c r="P3552" s="3" t="s">
        <v>36</v>
      </c>
      <c r="Q3552" s="3"/>
      <c r="R3552" s="4">
        <v>45996</v>
      </c>
      <c r="S3552" s="3" t="s">
        <v>37</v>
      </c>
      <c r="T3552" s="3" t="s">
        <v>38</v>
      </c>
      <c r="U3552" s="3" t="s">
        <v>39</v>
      </c>
      <c r="V3552" s="3">
        <v>52.68</v>
      </c>
      <c r="W3552" s="3">
        <v>22.39</v>
      </c>
      <c r="X3552" s="3">
        <v>21.2</v>
      </c>
      <c r="Y3552" s="3">
        <v>9.09</v>
      </c>
    </row>
    <row r="3553" spans="1:25" ht="60.75" x14ac:dyDescent="0.25">
      <c r="A3553" s="3" t="s">
        <v>26</v>
      </c>
      <c r="B3553" s="3" t="s">
        <v>27</v>
      </c>
      <c r="C3553" s="3" t="s">
        <v>28</v>
      </c>
      <c r="D3553" s="3" t="s">
        <v>50</v>
      </c>
      <c r="E3553" s="3" t="s">
        <v>173</v>
      </c>
      <c r="F3553" s="3" t="s">
        <v>52</v>
      </c>
      <c r="G3553" s="3" t="s">
        <v>173</v>
      </c>
      <c r="H3553" s="3" t="s">
        <v>45</v>
      </c>
      <c r="I3553" s="3">
        <v>2025</v>
      </c>
      <c r="J3553" s="3" t="str">
        <f>CONCATENATE("54820042163")</f>
        <v>54820042163</v>
      </c>
      <c r="K3553" s="3" t="s">
        <v>33</v>
      </c>
      <c r="L3553" s="3"/>
      <c r="M3553" s="3" t="s">
        <v>131</v>
      </c>
      <c r="N3553" s="3" t="str">
        <f>CONCATENATE("BRZMDE60C30I459A")</f>
        <v>BRZMDE60C30I459A</v>
      </c>
      <c r="O3553" s="3" t="s">
        <v>3672</v>
      </c>
      <c r="P3553" s="3" t="s">
        <v>36</v>
      </c>
      <c r="Q3553" s="3"/>
      <c r="R3553" s="4">
        <v>45996</v>
      </c>
      <c r="S3553" s="3" t="s">
        <v>37</v>
      </c>
      <c r="T3553" s="3" t="s">
        <v>38</v>
      </c>
      <c r="U3553" s="3" t="s">
        <v>39</v>
      </c>
      <c r="V3553" s="3">
        <v>413.86</v>
      </c>
      <c r="W3553" s="3">
        <v>175.89</v>
      </c>
      <c r="X3553" s="3">
        <v>166.58</v>
      </c>
      <c r="Y3553" s="3">
        <v>71.39</v>
      </c>
    </row>
    <row r="3554" spans="1:25" ht="60.75" x14ac:dyDescent="0.25">
      <c r="A3554" s="3" t="s">
        <v>26</v>
      </c>
      <c r="B3554" s="3" t="s">
        <v>27</v>
      </c>
      <c r="C3554" s="3" t="s">
        <v>28</v>
      </c>
      <c r="D3554" s="3" t="s">
        <v>50</v>
      </c>
      <c r="E3554" s="3" t="s">
        <v>252</v>
      </c>
      <c r="F3554" s="3" t="s">
        <v>52</v>
      </c>
      <c r="G3554" s="3" t="s">
        <v>252</v>
      </c>
      <c r="H3554" s="3" t="s">
        <v>45</v>
      </c>
      <c r="I3554" s="3">
        <v>2025</v>
      </c>
      <c r="J3554" s="3" t="str">
        <f>CONCATENATE("54820203005")</f>
        <v>54820203005</v>
      </c>
      <c r="K3554" s="3" t="s">
        <v>33</v>
      </c>
      <c r="L3554" s="3"/>
      <c r="M3554" s="3" t="s">
        <v>131</v>
      </c>
      <c r="N3554" s="3" t="str">
        <f>CONCATENATE("PTRPLA51R55E351B")</f>
        <v>PTRPLA51R55E351B</v>
      </c>
      <c r="O3554" s="3" t="s">
        <v>3673</v>
      </c>
      <c r="P3554" s="3" t="s">
        <v>36</v>
      </c>
      <c r="Q3554" s="3"/>
      <c r="R3554" s="4">
        <v>45996</v>
      </c>
      <c r="S3554" s="3" t="s">
        <v>37</v>
      </c>
      <c r="T3554" s="3" t="s">
        <v>38</v>
      </c>
      <c r="U3554" s="3" t="s">
        <v>39</v>
      </c>
      <c r="V3554" s="3">
        <v>50.83</v>
      </c>
      <c r="W3554" s="3">
        <v>21.6</v>
      </c>
      <c r="X3554" s="3">
        <v>20.46</v>
      </c>
      <c r="Y3554" s="3">
        <v>8.77</v>
      </c>
    </row>
    <row r="3555" spans="1:25" ht="60.75" x14ac:dyDescent="0.25">
      <c r="A3555" s="3" t="s">
        <v>26</v>
      </c>
      <c r="B3555" s="3" t="s">
        <v>27</v>
      </c>
      <c r="C3555" s="3" t="s">
        <v>28</v>
      </c>
      <c r="D3555" s="3" t="s">
        <v>50</v>
      </c>
      <c r="E3555" s="3" t="s">
        <v>60</v>
      </c>
      <c r="F3555" s="3" t="s">
        <v>52</v>
      </c>
      <c r="G3555" s="3" t="s">
        <v>60</v>
      </c>
      <c r="H3555" s="3" t="s">
        <v>45</v>
      </c>
      <c r="I3555" s="3">
        <v>2025</v>
      </c>
      <c r="J3555" s="3" t="str">
        <f>CONCATENATE("54820206370")</f>
        <v>54820206370</v>
      </c>
      <c r="K3555" s="3" t="s">
        <v>33</v>
      </c>
      <c r="L3555" s="3"/>
      <c r="M3555" s="3" t="s">
        <v>131</v>
      </c>
      <c r="N3555" s="3" t="str">
        <f>CONCATENATE("MZZCLD56C20B352Q")</f>
        <v>MZZCLD56C20B352Q</v>
      </c>
      <c r="O3555" s="3" t="s">
        <v>3674</v>
      </c>
      <c r="P3555" s="3" t="s">
        <v>36</v>
      </c>
      <c r="Q3555" s="3"/>
      <c r="R3555" s="4">
        <v>45996</v>
      </c>
      <c r="S3555" s="3" t="s">
        <v>37</v>
      </c>
      <c r="T3555" s="3" t="s">
        <v>38</v>
      </c>
      <c r="U3555" s="3" t="s">
        <v>39</v>
      </c>
      <c r="V3555" s="3">
        <v>266.97000000000003</v>
      </c>
      <c r="W3555" s="3">
        <v>113.46</v>
      </c>
      <c r="X3555" s="3">
        <v>107.46</v>
      </c>
      <c r="Y3555" s="3">
        <v>46.05</v>
      </c>
    </row>
    <row r="3556" spans="1:25" ht="60.75" x14ac:dyDescent="0.25">
      <c r="A3556" s="3" t="s">
        <v>26</v>
      </c>
      <c r="B3556" s="3" t="s">
        <v>27</v>
      </c>
      <c r="C3556" s="3" t="s">
        <v>28</v>
      </c>
      <c r="D3556" s="3" t="s">
        <v>50</v>
      </c>
      <c r="E3556" s="3" t="s">
        <v>147</v>
      </c>
      <c r="F3556" s="3" t="s">
        <v>52</v>
      </c>
      <c r="G3556" s="3" t="s">
        <v>147</v>
      </c>
      <c r="H3556" s="3" t="s">
        <v>45</v>
      </c>
      <c r="I3556" s="3">
        <v>2025</v>
      </c>
      <c r="J3556" s="3" t="str">
        <f>CONCATENATE("54820126321")</f>
        <v>54820126321</v>
      </c>
      <c r="K3556" s="3" t="s">
        <v>33</v>
      </c>
      <c r="L3556" s="3"/>
      <c r="M3556" s="3" t="s">
        <v>131</v>
      </c>
      <c r="N3556" s="3" t="str">
        <f>CONCATENATE("MRAGRG64L02L500F")</f>
        <v>MRAGRG64L02L500F</v>
      </c>
      <c r="O3556" s="3" t="s">
        <v>3675</v>
      </c>
      <c r="P3556" s="3" t="s">
        <v>36</v>
      </c>
      <c r="Q3556" s="3"/>
      <c r="R3556" s="4">
        <v>45996</v>
      </c>
      <c r="S3556" s="3" t="s">
        <v>37</v>
      </c>
      <c r="T3556" s="3" t="s">
        <v>38</v>
      </c>
      <c r="U3556" s="3" t="s">
        <v>39</v>
      </c>
      <c r="V3556" s="3">
        <v>425.92</v>
      </c>
      <c r="W3556" s="3">
        <v>181.02</v>
      </c>
      <c r="X3556" s="3">
        <v>171.43</v>
      </c>
      <c r="Y3556" s="3">
        <v>73.47</v>
      </c>
    </row>
    <row r="3557" spans="1:25" ht="36.75" x14ac:dyDescent="0.25">
      <c r="A3557" s="3" t="s">
        <v>26</v>
      </c>
      <c r="B3557" s="3" t="s">
        <v>27</v>
      </c>
      <c r="C3557" s="3" t="s">
        <v>28</v>
      </c>
      <c r="D3557" s="3" t="s">
        <v>29</v>
      </c>
      <c r="E3557" s="3" t="s">
        <v>476</v>
      </c>
      <c r="F3557" s="3" t="s">
        <v>31</v>
      </c>
      <c r="G3557" s="3" t="s">
        <v>476</v>
      </c>
      <c r="H3557" s="3" t="s">
        <v>48</v>
      </c>
      <c r="I3557" s="3">
        <v>2025</v>
      </c>
      <c r="J3557" s="3" t="str">
        <f>CONCATENATE("54820134614")</f>
        <v>54820134614</v>
      </c>
      <c r="K3557" s="3" t="s">
        <v>33</v>
      </c>
      <c r="L3557" s="3"/>
      <c r="M3557" s="3" t="s">
        <v>131</v>
      </c>
      <c r="N3557" s="3" t="str">
        <f>CONCATENATE("02699300428")</f>
        <v>02699300428</v>
      </c>
      <c r="O3557" s="3" t="s">
        <v>3676</v>
      </c>
      <c r="P3557" s="3" t="s">
        <v>36</v>
      </c>
      <c r="Q3557" s="3"/>
      <c r="R3557" s="4">
        <v>45996</v>
      </c>
      <c r="S3557" s="3" t="s">
        <v>37</v>
      </c>
      <c r="T3557" s="3" t="s">
        <v>38</v>
      </c>
      <c r="U3557" s="3" t="s">
        <v>39</v>
      </c>
      <c r="V3557" s="3">
        <v>138.68</v>
      </c>
      <c r="W3557" s="3">
        <v>58.94</v>
      </c>
      <c r="X3557" s="3">
        <v>55.82</v>
      </c>
      <c r="Y3557" s="3">
        <v>23.92</v>
      </c>
    </row>
    <row r="3558" spans="1:25" ht="60.75" x14ac:dyDescent="0.25">
      <c r="A3558" s="3" t="s">
        <v>26</v>
      </c>
      <c r="B3558" s="3" t="s">
        <v>27</v>
      </c>
      <c r="C3558" s="3" t="s">
        <v>28</v>
      </c>
      <c r="D3558" s="3" t="s">
        <v>29</v>
      </c>
      <c r="E3558" s="3" t="s">
        <v>341</v>
      </c>
      <c r="F3558" s="3" t="s">
        <v>31</v>
      </c>
      <c r="G3558" s="3" t="s">
        <v>341</v>
      </c>
      <c r="H3558" s="3" t="s">
        <v>45</v>
      </c>
      <c r="I3558" s="3">
        <v>2025</v>
      </c>
      <c r="J3558" s="3" t="str">
        <f>CONCATENATE("54820148010")</f>
        <v>54820148010</v>
      </c>
      <c r="K3558" s="3" t="s">
        <v>33</v>
      </c>
      <c r="L3558" s="3"/>
      <c r="M3558" s="3" t="s">
        <v>131</v>
      </c>
      <c r="N3558" s="3" t="str">
        <f>CONCATENATE("PCAPLA55R01F310N")</f>
        <v>PCAPLA55R01F310N</v>
      </c>
      <c r="O3558" s="3" t="s">
        <v>3677</v>
      </c>
      <c r="P3558" s="3" t="s">
        <v>36</v>
      </c>
      <c r="Q3558" s="3"/>
      <c r="R3558" s="4">
        <v>45996</v>
      </c>
      <c r="S3558" s="3" t="s">
        <v>37</v>
      </c>
      <c r="T3558" s="3" t="s">
        <v>38</v>
      </c>
      <c r="U3558" s="3" t="s">
        <v>39</v>
      </c>
      <c r="V3558" s="3">
        <v>112.72</v>
      </c>
      <c r="W3558" s="3">
        <v>47.91</v>
      </c>
      <c r="X3558" s="3">
        <v>45.37</v>
      </c>
      <c r="Y3558" s="3">
        <v>19.440000000000001</v>
      </c>
    </row>
    <row r="3559" spans="1:25" ht="60.75" x14ac:dyDescent="0.25">
      <c r="A3559" s="3" t="s">
        <v>26</v>
      </c>
      <c r="B3559" s="3" t="s">
        <v>27</v>
      </c>
      <c r="C3559" s="3" t="s">
        <v>28</v>
      </c>
      <c r="D3559" s="3" t="s">
        <v>29</v>
      </c>
      <c r="E3559" s="3" t="s">
        <v>136</v>
      </c>
      <c r="F3559" s="3" t="s">
        <v>31</v>
      </c>
      <c r="G3559" s="3" t="s">
        <v>136</v>
      </c>
      <c r="H3559" s="3" t="s">
        <v>48</v>
      </c>
      <c r="I3559" s="3">
        <v>2025</v>
      </c>
      <c r="J3559" s="3" t="str">
        <f>CONCATENATE("54820142054")</f>
        <v>54820142054</v>
      </c>
      <c r="K3559" s="3" t="s">
        <v>33</v>
      </c>
      <c r="L3559" s="3"/>
      <c r="M3559" s="3" t="s">
        <v>131</v>
      </c>
      <c r="N3559" s="3" t="str">
        <f>CONCATENATE("PTRSDR56M66I653J")</f>
        <v>PTRSDR56M66I653J</v>
      </c>
      <c r="O3559" s="3" t="s">
        <v>3678</v>
      </c>
      <c r="P3559" s="3" t="s">
        <v>36</v>
      </c>
      <c r="Q3559" s="3"/>
      <c r="R3559" s="4">
        <v>45996</v>
      </c>
      <c r="S3559" s="3" t="s">
        <v>37</v>
      </c>
      <c r="T3559" s="3" t="s">
        <v>38</v>
      </c>
      <c r="U3559" s="3" t="s">
        <v>39</v>
      </c>
      <c r="V3559" s="3">
        <v>264.70999999999998</v>
      </c>
      <c r="W3559" s="3">
        <v>112.5</v>
      </c>
      <c r="X3559" s="3">
        <v>106.55</v>
      </c>
      <c r="Y3559" s="3">
        <v>45.66</v>
      </c>
    </row>
    <row r="3560" spans="1:25" ht="60.75" x14ac:dyDescent="0.25">
      <c r="A3560" s="3" t="s">
        <v>26</v>
      </c>
      <c r="B3560" s="3" t="s">
        <v>27</v>
      </c>
      <c r="C3560" s="3" t="s">
        <v>28</v>
      </c>
      <c r="D3560" s="3" t="s">
        <v>50</v>
      </c>
      <c r="E3560" s="3" t="s">
        <v>147</v>
      </c>
      <c r="F3560" s="3" t="s">
        <v>52</v>
      </c>
      <c r="G3560" s="3" t="s">
        <v>147</v>
      </c>
      <c r="H3560" s="3" t="s">
        <v>45</v>
      </c>
      <c r="I3560" s="3">
        <v>2025</v>
      </c>
      <c r="J3560" s="3" t="str">
        <f>CONCATENATE("54820141783")</f>
        <v>54820141783</v>
      </c>
      <c r="K3560" s="3" t="s">
        <v>33</v>
      </c>
      <c r="L3560" s="3"/>
      <c r="M3560" s="3" t="s">
        <v>131</v>
      </c>
      <c r="N3560" s="3" t="str">
        <f>CONCATENATE("DCSNDR75T04L500Y")</f>
        <v>DCSNDR75T04L500Y</v>
      </c>
      <c r="O3560" s="3" t="s">
        <v>3679</v>
      </c>
      <c r="P3560" s="3" t="s">
        <v>36</v>
      </c>
      <c r="Q3560" s="3"/>
      <c r="R3560" s="4">
        <v>45996</v>
      </c>
      <c r="S3560" s="3" t="s">
        <v>37</v>
      </c>
      <c r="T3560" s="3" t="s">
        <v>38</v>
      </c>
      <c r="U3560" s="3" t="s">
        <v>39</v>
      </c>
      <c r="V3560" s="3">
        <v>202.5</v>
      </c>
      <c r="W3560" s="3">
        <v>86.06</v>
      </c>
      <c r="X3560" s="3">
        <v>81.510000000000005</v>
      </c>
      <c r="Y3560" s="3">
        <v>34.93</v>
      </c>
    </row>
    <row r="3561" spans="1:25" ht="60.75" x14ac:dyDescent="0.25">
      <c r="A3561" s="3" t="s">
        <v>26</v>
      </c>
      <c r="B3561" s="3" t="s">
        <v>27</v>
      </c>
      <c r="C3561" s="3" t="s">
        <v>28</v>
      </c>
      <c r="D3561" s="3" t="s">
        <v>29</v>
      </c>
      <c r="E3561" s="3" t="s">
        <v>56</v>
      </c>
      <c r="F3561" s="3" t="s">
        <v>31</v>
      </c>
      <c r="G3561" s="3" t="s">
        <v>56</v>
      </c>
      <c r="H3561" s="3" t="s">
        <v>32</v>
      </c>
      <c r="I3561" s="3">
        <v>2025</v>
      </c>
      <c r="J3561" s="3" t="str">
        <f>CONCATENATE("54820214069")</f>
        <v>54820214069</v>
      </c>
      <c r="K3561" s="3" t="s">
        <v>33</v>
      </c>
      <c r="L3561" s="3"/>
      <c r="M3561" s="3" t="s">
        <v>131</v>
      </c>
      <c r="N3561" s="3" t="str">
        <f>CONCATENATE("SBRNDR01P03I156U")</f>
        <v>SBRNDR01P03I156U</v>
      </c>
      <c r="O3561" s="3" t="s">
        <v>3680</v>
      </c>
      <c r="P3561" s="3" t="s">
        <v>36</v>
      </c>
      <c r="Q3561" s="3"/>
      <c r="R3561" s="4">
        <v>45996</v>
      </c>
      <c r="S3561" s="3" t="s">
        <v>37</v>
      </c>
      <c r="T3561" s="3" t="s">
        <v>38</v>
      </c>
      <c r="U3561" s="3" t="s">
        <v>39</v>
      </c>
      <c r="V3561" s="5">
        <v>1015.48</v>
      </c>
      <c r="W3561" s="3">
        <v>431.58</v>
      </c>
      <c r="X3561" s="3">
        <v>408.73</v>
      </c>
      <c r="Y3561" s="3">
        <v>175.17</v>
      </c>
    </row>
    <row r="3562" spans="1:25" ht="60.75" x14ac:dyDescent="0.25">
      <c r="A3562" s="3" t="s">
        <v>26</v>
      </c>
      <c r="B3562" s="3" t="s">
        <v>27</v>
      </c>
      <c r="C3562" s="3" t="s">
        <v>28</v>
      </c>
      <c r="D3562" s="3" t="s">
        <v>50</v>
      </c>
      <c r="E3562" s="3" t="s">
        <v>60</v>
      </c>
      <c r="F3562" s="3" t="s">
        <v>52</v>
      </c>
      <c r="G3562" s="3" t="s">
        <v>60</v>
      </c>
      <c r="H3562" s="3" t="s">
        <v>45</v>
      </c>
      <c r="I3562" s="3">
        <v>2025</v>
      </c>
      <c r="J3562" s="3" t="str">
        <f>CONCATENATE("54820237862")</f>
        <v>54820237862</v>
      </c>
      <c r="K3562" s="3" t="s">
        <v>33</v>
      </c>
      <c r="L3562" s="3"/>
      <c r="M3562" s="3" t="s">
        <v>131</v>
      </c>
      <c r="N3562" s="3" t="str">
        <f>CONCATENATE("LCRGCM79M16B352L")</f>
        <v>LCRGCM79M16B352L</v>
      </c>
      <c r="O3562" s="3" t="s">
        <v>61</v>
      </c>
      <c r="P3562" s="3" t="s">
        <v>36</v>
      </c>
      <c r="Q3562" s="3"/>
      <c r="R3562" s="4">
        <v>45996</v>
      </c>
      <c r="S3562" s="3" t="s">
        <v>37</v>
      </c>
      <c r="T3562" s="3" t="s">
        <v>38</v>
      </c>
      <c r="U3562" s="3" t="s">
        <v>39</v>
      </c>
      <c r="V3562" s="3">
        <v>421.43</v>
      </c>
      <c r="W3562" s="3">
        <v>179.11</v>
      </c>
      <c r="X3562" s="3">
        <v>169.63</v>
      </c>
      <c r="Y3562" s="3">
        <v>72.69</v>
      </c>
    </row>
    <row r="3563" spans="1:25" ht="60.75" x14ac:dyDescent="0.25">
      <c r="A3563" s="3" t="s">
        <v>26</v>
      </c>
      <c r="B3563" s="3" t="s">
        <v>27</v>
      </c>
      <c r="C3563" s="3" t="s">
        <v>28</v>
      </c>
      <c r="D3563" s="3" t="s">
        <v>50</v>
      </c>
      <c r="E3563" s="3" t="s">
        <v>252</v>
      </c>
      <c r="F3563" s="3" t="s">
        <v>52</v>
      </c>
      <c r="G3563" s="3" t="s">
        <v>252</v>
      </c>
      <c r="H3563" s="3" t="s">
        <v>45</v>
      </c>
      <c r="I3563" s="3">
        <v>2025</v>
      </c>
      <c r="J3563" s="3" t="str">
        <f>CONCATENATE("54820203047")</f>
        <v>54820203047</v>
      </c>
      <c r="K3563" s="3" t="s">
        <v>33</v>
      </c>
      <c r="L3563" s="3"/>
      <c r="M3563" s="3" t="s">
        <v>131</v>
      </c>
      <c r="N3563" s="3" t="str">
        <f>CONCATENATE("PTRRRT58M29E351W")</f>
        <v>PTRRRT58M29E351W</v>
      </c>
      <c r="O3563" s="3" t="s">
        <v>3681</v>
      </c>
      <c r="P3563" s="3" t="s">
        <v>36</v>
      </c>
      <c r="Q3563" s="3"/>
      <c r="R3563" s="4">
        <v>45996</v>
      </c>
      <c r="S3563" s="3" t="s">
        <v>37</v>
      </c>
      <c r="T3563" s="3" t="s">
        <v>38</v>
      </c>
      <c r="U3563" s="3" t="s">
        <v>39</v>
      </c>
      <c r="V3563" s="3">
        <v>110.65</v>
      </c>
      <c r="W3563" s="3">
        <v>47.03</v>
      </c>
      <c r="X3563" s="3">
        <v>44.54</v>
      </c>
      <c r="Y3563" s="3">
        <v>19.079999999999998</v>
      </c>
    </row>
    <row r="3564" spans="1:25" ht="72.75" x14ac:dyDescent="0.25">
      <c r="A3564" s="3" t="s">
        <v>26</v>
      </c>
      <c r="B3564" s="3" t="s">
        <v>27</v>
      </c>
      <c r="C3564" s="3" t="s">
        <v>28</v>
      </c>
      <c r="D3564" s="3" t="s">
        <v>50</v>
      </c>
      <c r="E3564" s="3" t="s">
        <v>51</v>
      </c>
      <c r="F3564" s="3" t="s">
        <v>52</v>
      </c>
      <c r="G3564" s="3" t="s">
        <v>51</v>
      </c>
      <c r="H3564" s="3" t="s">
        <v>48</v>
      </c>
      <c r="I3564" s="3">
        <v>2025</v>
      </c>
      <c r="J3564" s="3" t="str">
        <f>CONCATENATE("54820246566")</f>
        <v>54820246566</v>
      </c>
      <c r="K3564" s="3" t="s">
        <v>33</v>
      </c>
      <c r="L3564" s="3"/>
      <c r="M3564" s="3" t="s">
        <v>131</v>
      </c>
      <c r="N3564" s="3" t="str">
        <f>CONCATENATE("GSTSDR65H17A271A")</f>
        <v>GSTSDR65H17A271A</v>
      </c>
      <c r="O3564" s="3" t="s">
        <v>3682</v>
      </c>
      <c r="P3564" s="3" t="s">
        <v>36</v>
      </c>
      <c r="Q3564" s="3"/>
      <c r="R3564" s="4">
        <v>45996</v>
      </c>
      <c r="S3564" s="3" t="s">
        <v>37</v>
      </c>
      <c r="T3564" s="3" t="s">
        <v>38</v>
      </c>
      <c r="U3564" s="3" t="s">
        <v>39</v>
      </c>
      <c r="V3564" s="3">
        <v>138.36000000000001</v>
      </c>
      <c r="W3564" s="3">
        <v>58.8</v>
      </c>
      <c r="X3564" s="3">
        <v>55.69</v>
      </c>
      <c r="Y3564" s="3">
        <v>23.87</v>
      </c>
    </row>
    <row r="3565" spans="1:25" ht="60.75" x14ac:dyDescent="0.25">
      <c r="A3565" s="3" t="s">
        <v>26</v>
      </c>
      <c r="B3565" s="3" t="s">
        <v>27</v>
      </c>
      <c r="C3565" s="3" t="s">
        <v>28</v>
      </c>
      <c r="D3565" s="3" t="s">
        <v>91</v>
      </c>
      <c r="E3565" s="3" t="s">
        <v>151</v>
      </c>
      <c r="F3565" s="3" t="s">
        <v>93</v>
      </c>
      <c r="G3565" s="3" t="s">
        <v>151</v>
      </c>
      <c r="H3565" s="3" t="s">
        <v>45</v>
      </c>
      <c r="I3565" s="3">
        <v>2025</v>
      </c>
      <c r="J3565" s="3" t="str">
        <f>CONCATENATE("54820254578")</f>
        <v>54820254578</v>
      </c>
      <c r="K3565" s="3" t="s">
        <v>33</v>
      </c>
      <c r="L3565" s="3"/>
      <c r="M3565" s="3" t="s">
        <v>131</v>
      </c>
      <c r="N3565" s="3" t="str">
        <f>CONCATENATE("BNCLBT64C55D488Z")</f>
        <v>BNCLBT64C55D488Z</v>
      </c>
      <c r="O3565" s="3" t="s">
        <v>3683</v>
      </c>
      <c r="P3565" s="3" t="s">
        <v>36</v>
      </c>
      <c r="Q3565" s="3"/>
      <c r="R3565" s="4">
        <v>45996</v>
      </c>
      <c r="S3565" s="3" t="s">
        <v>37</v>
      </c>
      <c r="T3565" s="3" t="s">
        <v>38</v>
      </c>
      <c r="U3565" s="3" t="s">
        <v>39</v>
      </c>
      <c r="V3565" s="3">
        <v>144.19</v>
      </c>
      <c r="W3565" s="3">
        <v>61.28</v>
      </c>
      <c r="X3565" s="3">
        <v>58.04</v>
      </c>
      <c r="Y3565" s="3">
        <v>24.87</v>
      </c>
    </row>
    <row r="3566" spans="1:25" ht="60.75" x14ac:dyDescent="0.25">
      <c r="A3566" s="3" t="s">
        <v>26</v>
      </c>
      <c r="B3566" s="3" t="s">
        <v>27</v>
      </c>
      <c r="C3566" s="3" t="s">
        <v>28</v>
      </c>
      <c r="D3566" s="3" t="s">
        <v>50</v>
      </c>
      <c r="E3566" s="3" t="s">
        <v>252</v>
      </c>
      <c r="F3566" s="3" t="s">
        <v>52</v>
      </c>
      <c r="G3566" s="3" t="s">
        <v>252</v>
      </c>
      <c r="H3566" s="3" t="s">
        <v>45</v>
      </c>
      <c r="I3566" s="3">
        <v>2025</v>
      </c>
      <c r="J3566" s="3" t="str">
        <f>CONCATENATE("54820211891")</f>
        <v>54820211891</v>
      </c>
      <c r="K3566" s="3" t="s">
        <v>33</v>
      </c>
      <c r="L3566" s="3"/>
      <c r="M3566" s="3" t="s">
        <v>131</v>
      </c>
      <c r="N3566" s="3" t="str">
        <f>CONCATENATE("BNFLCA32R10D749C")</f>
        <v>BNFLCA32R10D749C</v>
      </c>
      <c r="O3566" s="3" t="s">
        <v>3684</v>
      </c>
      <c r="P3566" s="3" t="s">
        <v>36</v>
      </c>
      <c r="Q3566" s="3"/>
      <c r="R3566" s="4">
        <v>45996</v>
      </c>
      <c r="S3566" s="3" t="s">
        <v>37</v>
      </c>
      <c r="T3566" s="3" t="s">
        <v>38</v>
      </c>
      <c r="U3566" s="3" t="s">
        <v>39</v>
      </c>
      <c r="V3566" s="3">
        <v>400.39</v>
      </c>
      <c r="W3566" s="3">
        <v>170.17</v>
      </c>
      <c r="X3566" s="3">
        <v>161.16</v>
      </c>
      <c r="Y3566" s="3">
        <v>69.06</v>
      </c>
    </row>
    <row r="3567" spans="1:25" ht="72.75" x14ac:dyDescent="0.25">
      <c r="A3567" s="3" t="s">
        <v>26</v>
      </c>
      <c r="B3567" s="3" t="s">
        <v>27</v>
      </c>
      <c r="C3567" s="3" t="s">
        <v>28</v>
      </c>
      <c r="D3567" s="3" t="s">
        <v>104</v>
      </c>
      <c r="E3567" s="3" t="s">
        <v>141</v>
      </c>
      <c r="F3567" s="3" t="s">
        <v>104</v>
      </c>
      <c r="G3567" s="3" t="s">
        <v>141</v>
      </c>
      <c r="H3567" s="3" t="s">
        <v>96</v>
      </c>
      <c r="I3567" s="3">
        <v>2025</v>
      </c>
      <c r="J3567" s="3" t="str">
        <f>CONCATENATE("54820277520")</f>
        <v>54820277520</v>
      </c>
      <c r="K3567" s="3" t="s">
        <v>33</v>
      </c>
      <c r="L3567" s="3"/>
      <c r="M3567" s="3" t="s">
        <v>131</v>
      </c>
      <c r="N3567" s="3" t="str">
        <f>CONCATENATE("VNGDRD81D02G388U")</f>
        <v>VNGDRD81D02G388U</v>
      </c>
      <c r="O3567" s="3" t="s">
        <v>3685</v>
      </c>
      <c r="P3567" s="3" t="s">
        <v>36</v>
      </c>
      <c r="Q3567" s="3"/>
      <c r="R3567" s="4">
        <v>45996</v>
      </c>
      <c r="S3567" s="3" t="s">
        <v>37</v>
      </c>
      <c r="T3567" s="3" t="s">
        <v>38</v>
      </c>
      <c r="U3567" s="3" t="s">
        <v>39</v>
      </c>
      <c r="V3567" s="3">
        <v>70.48</v>
      </c>
      <c r="W3567" s="3">
        <v>29.95</v>
      </c>
      <c r="X3567" s="3">
        <v>28.37</v>
      </c>
      <c r="Y3567" s="3">
        <v>12.16</v>
      </c>
    </row>
    <row r="3568" spans="1:25" ht="36.75" x14ac:dyDescent="0.25">
      <c r="A3568" s="3" t="s">
        <v>26</v>
      </c>
      <c r="B3568" s="3" t="s">
        <v>27</v>
      </c>
      <c r="C3568" s="3" t="s">
        <v>28</v>
      </c>
      <c r="D3568" s="3" t="s">
        <v>29</v>
      </c>
      <c r="E3568" s="3" t="s">
        <v>47</v>
      </c>
      <c r="F3568" s="3" t="s">
        <v>31</v>
      </c>
      <c r="G3568" s="3" t="s">
        <v>47</v>
      </c>
      <c r="H3568" s="3" t="s">
        <v>48</v>
      </c>
      <c r="I3568" s="3">
        <v>2025</v>
      </c>
      <c r="J3568" s="3" t="str">
        <f>CONCATENATE("54820275250")</f>
        <v>54820275250</v>
      </c>
      <c r="K3568" s="3" t="s">
        <v>33</v>
      </c>
      <c r="L3568" s="3"/>
      <c r="M3568" s="3" t="s">
        <v>131</v>
      </c>
      <c r="N3568" s="3" t="str">
        <f>CONCATENATE("02896460421")</f>
        <v>02896460421</v>
      </c>
      <c r="O3568" s="3" t="s">
        <v>202</v>
      </c>
      <c r="P3568" s="3" t="s">
        <v>36</v>
      </c>
      <c r="Q3568" s="3"/>
      <c r="R3568" s="4">
        <v>45996</v>
      </c>
      <c r="S3568" s="3" t="s">
        <v>37</v>
      </c>
      <c r="T3568" s="3" t="s">
        <v>38</v>
      </c>
      <c r="U3568" s="3" t="s">
        <v>39</v>
      </c>
      <c r="V3568" s="5">
        <v>1153.1600000000001</v>
      </c>
      <c r="W3568" s="3">
        <v>490.09</v>
      </c>
      <c r="X3568" s="3">
        <v>464.15</v>
      </c>
      <c r="Y3568" s="3">
        <v>198.92</v>
      </c>
    </row>
    <row r="3569" spans="1:25" ht="36.75" x14ac:dyDescent="0.25">
      <c r="A3569" s="3" t="s">
        <v>26</v>
      </c>
      <c r="B3569" s="3" t="s">
        <v>27</v>
      </c>
      <c r="C3569" s="3" t="s">
        <v>28</v>
      </c>
      <c r="D3569" s="3" t="s">
        <v>50</v>
      </c>
      <c r="E3569" s="3" t="s">
        <v>149</v>
      </c>
      <c r="F3569" s="3" t="s">
        <v>52</v>
      </c>
      <c r="G3569" s="3" t="s">
        <v>149</v>
      </c>
      <c r="H3569" s="3" t="s">
        <v>96</v>
      </c>
      <c r="I3569" s="3">
        <v>2025</v>
      </c>
      <c r="J3569" s="3" t="str">
        <f>CONCATENATE("54820211990")</f>
        <v>54820211990</v>
      </c>
      <c r="K3569" s="3" t="s">
        <v>33</v>
      </c>
      <c r="L3569" s="3"/>
      <c r="M3569" s="3" t="s">
        <v>131</v>
      </c>
      <c r="N3569" s="3" t="str">
        <f>CONCATENATE("02515120448")</f>
        <v>02515120448</v>
      </c>
      <c r="O3569" s="3" t="s">
        <v>3686</v>
      </c>
      <c r="P3569" s="3" t="s">
        <v>36</v>
      </c>
      <c r="Q3569" s="3"/>
      <c r="R3569" s="4">
        <v>45996</v>
      </c>
      <c r="S3569" s="3" t="s">
        <v>37</v>
      </c>
      <c r="T3569" s="3" t="s">
        <v>38</v>
      </c>
      <c r="U3569" s="3" t="s">
        <v>39</v>
      </c>
      <c r="V3569" s="5">
        <v>1160.74</v>
      </c>
      <c r="W3569" s="3">
        <v>493.31</v>
      </c>
      <c r="X3569" s="3">
        <v>467.2</v>
      </c>
      <c r="Y3569" s="3">
        <v>200.23</v>
      </c>
    </row>
    <row r="3570" spans="1:25" ht="72.75" x14ac:dyDescent="0.25">
      <c r="A3570" s="3" t="s">
        <v>26</v>
      </c>
      <c r="B3570" s="3" t="s">
        <v>27</v>
      </c>
      <c r="C3570" s="3" t="s">
        <v>28</v>
      </c>
      <c r="D3570" s="3" t="s">
        <v>50</v>
      </c>
      <c r="E3570" s="3" t="s">
        <v>147</v>
      </c>
      <c r="F3570" s="3" t="s">
        <v>52</v>
      </c>
      <c r="G3570" s="3" t="s">
        <v>147</v>
      </c>
      <c r="H3570" s="3" t="s">
        <v>45</v>
      </c>
      <c r="I3570" s="3">
        <v>2025</v>
      </c>
      <c r="J3570" s="3" t="str">
        <f>CONCATENATE("54820173000")</f>
        <v>54820173000</v>
      </c>
      <c r="K3570" s="3" t="s">
        <v>33</v>
      </c>
      <c r="L3570" s="3"/>
      <c r="M3570" s="3" t="s">
        <v>131</v>
      </c>
      <c r="N3570" s="3" t="str">
        <f>CONCATENATE("CPPRMN70H51L500F")</f>
        <v>CPPRMN70H51L500F</v>
      </c>
      <c r="O3570" s="3" t="s">
        <v>3687</v>
      </c>
      <c r="P3570" s="3" t="s">
        <v>36</v>
      </c>
      <c r="Q3570" s="3"/>
      <c r="R3570" s="4">
        <v>45996</v>
      </c>
      <c r="S3570" s="3" t="s">
        <v>37</v>
      </c>
      <c r="T3570" s="3" t="s">
        <v>38</v>
      </c>
      <c r="U3570" s="3" t="s">
        <v>39</v>
      </c>
      <c r="V3570" s="3">
        <v>109.62</v>
      </c>
      <c r="W3570" s="3">
        <v>46.59</v>
      </c>
      <c r="X3570" s="3">
        <v>44.12</v>
      </c>
      <c r="Y3570" s="3">
        <v>18.91</v>
      </c>
    </row>
    <row r="3571" spans="1:25" ht="60.75" x14ac:dyDescent="0.25">
      <c r="A3571" s="3" t="s">
        <v>26</v>
      </c>
      <c r="B3571" s="3" t="s">
        <v>27</v>
      </c>
      <c r="C3571" s="3" t="s">
        <v>28</v>
      </c>
      <c r="D3571" s="3" t="s">
        <v>50</v>
      </c>
      <c r="E3571" s="3" t="s">
        <v>252</v>
      </c>
      <c r="F3571" s="3" t="s">
        <v>52</v>
      </c>
      <c r="G3571" s="3" t="s">
        <v>252</v>
      </c>
      <c r="H3571" s="3" t="s">
        <v>45</v>
      </c>
      <c r="I3571" s="3">
        <v>2025</v>
      </c>
      <c r="J3571" s="3" t="str">
        <f>CONCATENATE("54820238936")</f>
        <v>54820238936</v>
      </c>
      <c r="K3571" s="3" t="s">
        <v>33</v>
      </c>
      <c r="L3571" s="3"/>
      <c r="M3571" s="3" t="s">
        <v>131</v>
      </c>
      <c r="N3571" s="3" t="str">
        <f>CONCATENATE("RMNNDR33L24C830X")</f>
        <v>RMNNDR33L24C830X</v>
      </c>
      <c r="O3571" s="3" t="s">
        <v>3688</v>
      </c>
      <c r="P3571" s="3" t="s">
        <v>36</v>
      </c>
      <c r="Q3571" s="3"/>
      <c r="R3571" s="4">
        <v>45996</v>
      </c>
      <c r="S3571" s="3" t="s">
        <v>37</v>
      </c>
      <c r="T3571" s="3" t="s">
        <v>38</v>
      </c>
      <c r="U3571" s="3" t="s">
        <v>39</v>
      </c>
      <c r="V3571" s="3">
        <v>60.89</v>
      </c>
      <c r="W3571" s="3">
        <v>25.88</v>
      </c>
      <c r="X3571" s="3">
        <v>24.51</v>
      </c>
      <c r="Y3571" s="3">
        <v>10.5</v>
      </c>
    </row>
    <row r="3572" spans="1:25" ht="60.75" x14ac:dyDescent="0.25">
      <c r="A3572" s="3" t="s">
        <v>26</v>
      </c>
      <c r="B3572" s="3" t="s">
        <v>27</v>
      </c>
      <c r="C3572" s="3" t="s">
        <v>28</v>
      </c>
      <c r="D3572" s="3" t="s">
        <v>29</v>
      </c>
      <c r="E3572" s="3" t="s">
        <v>228</v>
      </c>
      <c r="F3572" s="3" t="s">
        <v>31</v>
      </c>
      <c r="G3572" s="3" t="s">
        <v>228</v>
      </c>
      <c r="H3572" s="3" t="s">
        <v>45</v>
      </c>
      <c r="I3572" s="3">
        <v>2025</v>
      </c>
      <c r="J3572" s="3" t="str">
        <f>CONCATENATE("54820171293")</f>
        <v>54820171293</v>
      </c>
      <c r="K3572" s="3" t="s">
        <v>33</v>
      </c>
      <c r="L3572" s="3"/>
      <c r="M3572" s="3" t="s">
        <v>131</v>
      </c>
      <c r="N3572" s="3" t="str">
        <f>CONCATENATE("LCRMRA55L44G682Z")</f>
        <v>LCRMRA55L44G682Z</v>
      </c>
      <c r="O3572" s="3" t="s">
        <v>3689</v>
      </c>
      <c r="P3572" s="3" t="s">
        <v>36</v>
      </c>
      <c r="Q3572" s="3"/>
      <c r="R3572" s="4">
        <v>45996</v>
      </c>
      <c r="S3572" s="3" t="s">
        <v>37</v>
      </c>
      <c r="T3572" s="3" t="s">
        <v>38</v>
      </c>
      <c r="U3572" s="3" t="s">
        <v>39</v>
      </c>
      <c r="V3572" s="3">
        <v>244.94</v>
      </c>
      <c r="W3572" s="3">
        <v>104.1</v>
      </c>
      <c r="X3572" s="3">
        <v>98.59</v>
      </c>
      <c r="Y3572" s="3">
        <v>42.25</v>
      </c>
    </row>
    <row r="3573" spans="1:25" ht="60.75" x14ac:dyDescent="0.25">
      <c r="A3573" s="3" t="s">
        <v>26</v>
      </c>
      <c r="B3573" s="3" t="s">
        <v>27</v>
      </c>
      <c r="C3573" s="3" t="s">
        <v>28</v>
      </c>
      <c r="D3573" s="3" t="s">
        <v>50</v>
      </c>
      <c r="E3573" s="3" t="s">
        <v>51</v>
      </c>
      <c r="F3573" s="3" t="s">
        <v>52</v>
      </c>
      <c r="G3573" s="3" t="s">
        <v>51</v>
      </c>
      <c r="H3573" s="3" t="s">
        <v>48</v>
      </c>
      <c r="I3573" s="3">
        <v>2025</v>
      </c>
      <c r="J3573" s="3" t="str">
        <f>CONCATENATE("54820203765")</f>
        <v>54820203765</v>
      </c>
      <c r="K3573" s="3" t="s">
        <v>33</v>
      </c>
      <c r="L3573" s="3"/>
      <c r="M3573" s="3" t="s">
        <v>131</v>
      </c>
      <c r="N3573" s="3" t="str">
        <f>CONCATENATE("BDCMRC79H05A366K")</f>
        <v>BDCMRC79H05A366K</v>
      </c>
      <c r="O3573" s="3" t="s">
        <v>3690</v>
      </c>
      <c r="P3573" s="3" t="s">
        <v>36</v>
      </c>
      <c r="Q3573" s="3"/>
      <c r="R3573" s="4">
        <v>45996</v>
      </c>
      <c r="S3573" s="3" t="s">
        <v>37</v>
      </c>
      <c r="T3573" s="3" t="s">
        <v>38</v>
      </c>
      <c r="U3573" s="3" t="s">
        <v>39</v>
      </c>
      <c r="V3573" s="3">
        <v>572.5</v>
      </c>
      <c r="W3573" s="3">
        <v>243.31</v>
      </c>
      <c r="X3573" s="3">
        <v>230.43</v>
      </c>
      <c r="Y3573" s="3">
        <v>98.76</v>
      </c>
    </row>
    <row r="3574" spans="1:25" ht="72.75" x14ac:dyDescent="0.25">
      <c r="A3574" s="3" t="s">
        <v>26</v>
      </c>
      <c r="B3574" s="3" t="s">
        <v>27</v>
      </c>
      <c r="C3574" s="3" t="s">
        <v>28</v>
      </c>
      <c r="D3574" s="3" t="s">
        <v>157</v>
      </c>
      <c r="E3574" s="3" t="s">
        <v>158</v>
      </c>
      <c r="F3574" s="3" t="s">
        <v>159</v>
      </c>
      <c r="G3574" s="3" t="s">
        <v>158</v>
      </c>
      <c r="H3574" s="3" t="s">
        <v>45</v>
      </c>
      <c r="I3574" s="3">
        <v>2025</v>
      </c>
      <c r="J3574" s="3" t="str">
        <f>CONCATENATE("54820256763")</f>
        <v>54820256763</v>
      </c>
      <c r="K3574" s="3" t="s">
        <v>33</v>
      </c>
      <c r="L3574" s="3"/>
      <c r="M3574" s="3" t="s">
        <v>131</v>
      </c>
      <c r="N3574" s="3" t="str">
        <f>CONCATENATE("CRSRRT64H01G479B")</f>
        <v>CRSRRT64H01G479B</v>
      </c>
      <c r="O3574" s="3" t="s">
        <v>3691</v>
      </c>
      <c r="P3574" s="3" t="s">
        <v>36</v>
      </c>
      <c r="Q3574" s="3"/>
      <c r="R3574" s="4">
        <v>45996</v>
      </c>
      <c r="S3574" s="3" t="s">
        <v>37</v>
      </c>
      <c r="T3574" s="3" t="s">
        <v>38</v>
      </c>
      <c r="U3574" s="3" t="s">
        <v>39</v>
      </c>
      <c r="V3574" s="3">
        <v>100.43</v>
      </c>
      <c r="W3574" s="3">
        <v>42.68</v>
      </c>
      <c r="X3574" s="3">
        <v>40.42</v>
      </c>
      <c r="Y3574" s="3">
        <v>17.329999999999998</v>
      </c>
    </row>
    <row r="3575" spans="1:25" ht="36.75" x14ac:dyDescent="0.25">
      <c r="A3575" s="3" t="s">
        <v>26</v>
      </c>
      <c r="B3575" s="3" t="s">
        <v>27</v>
      </c>
      <c r="C3575" s="3" t="s">
        <v>28</v>
      </c>
      <c r="D3575" s="3" t="s">
        <v>29</v>
      </c>
      <c r="E3575" s="3" t="s">
        <v>47</v>
      </c>
      <c r="F3575" s="3" t="s">
        <v>31</v>
      </c>
      <c r="G3575" s="3" t="s">
        <v>47</v>
      </c>
      <c r="H3575" s="3" t="s">
        <v>48</v>
      </c>
      <c r="I3575" s="3">
        <v>2025</v>
      </c>
      <c r="J3575" s="3" t="str">
        <f>CONCATENATE("54820274410")</f>
        <v>54820274410</v>
      </c>
      <c r="K3575" s="3" t="s">
        <v>33</v>
      </c>
      <c r="L3575" s="3"/>
      <c r="M3575" s="3" t="s">
        <v>131</v>
      </c>
      <c r="N3575" s="3" t="str">
        <f>CONCATENATE("02944600424")</f>
        <v>02944600424</v>
      </c>
      <c r="O3575" s="3" t="s">
        <v>3692</v>
      </c>
      <c r="P3575" s="3" t="s">
        <v>36</v>
      </c>
      <c r="Q3575" s="3"/>
      <c r="R3575" s="4">
        <v>45996</v>
      </c>
      <c r="S3575" s="3" t="s">
        <v>37</v>
      </c>
      <c r="T3575" s="3" t="s">
        <v>38</v>
      </c>
      <c r="U3575" s="3" t="s">
        <v>39</v>
      </c>
      <c r="V3575" s="5">
        <v>1322.52</v>
      </c>
      <c r="W3575" s="3">
        <v>562.07000000000005</v>
      </c>
      <c r="X3575" s="3">
        <v>532.30999999999995</v>
      </c>
      <c r="Y3575" s="3">
        <v>228.14</v>
      </c>
    </row>
    <row r="3576" spans="1:25" ht="60.75" x14ac:dyDescent="0.25">
      <c r="A3576" s="3" t="s">
        <v>26</v>
      </c>
      <c r="B3576" s="3" t="s">
        <v>27</v>
      </c>
      <c r="C3576" s="3" t="s">
        <v>28</v>
      </c>
      <c r="D3576" s="3" t="s">
        <v>50</v>
      </c>
      <c r="E3576" s="3" t="s">
        <v>1133</v>
      </c>
      <c r="F3576" s="3" t="s">
        <v>52</v>
      </c>
      <c r="G3576" s="3" t="s">
        <v>1133</v>
      </c>
      <c r="H3576" s="3" t="s">
        <v>45</v>
      </c>
      <c r="I3576" s="3">
        <v>2025</v>
      </c>
      <c r="J3576" s="3" t="str">
        <f>CONCATENATE("54820146626")</f>
        <v>54820146626</v>
      </c>
      <c r="K3576" s="3" t="s">
        <v>33</v>
      </c>
      <c r="L3576" s="3"/>
      <c r="M3576" s="3" t="s">
        <v>131</v>
      </c>
      <c r="N3576" s="3" t="str">
        <f>CONCATENATE("BNFFMN22S60D749D")</f>
        <v>BNFFMN22S60D749D</v>
      </c>
      <c r="O3576" s="3" t="s">
        <v>3693</v>
      </c>
      <c r="P3576" s="3" t="s">
        <v>36</v>
      </c>
      <c r="Q3576" s="3"/>
      <c r="R3576" s="4">
        <v>45996</v>
      </c>
      <c r="S3576" s="3" t="s">
        <v>37</v>
      </c>
      <c r="T3576" s="3" t="s">
        <v>38</v>
      </c>
      <c r="U3576" s="3" t="s">
        <v>39</v>
      </c>
      <c r="V3576" s="3">
        <v>148.34</v>
      </c>
      <c r="W3576" s="3">
        <v>63.04</v>
      </c>
      <c r="X3576" s="3">
        <v>59.71</v>
      </c>
      <c r="Y3576" s="3">
        <v>25.59</v>
      </c>
    </row>
    <row r="3577" spans="1:25" ht="60.75" x14ac:dyDescent="0.25">
      <c r="A3577" s="3" t="s">
        <v>26</v>
      </c>
      <c r="B3577" s="3" t="s">
        <v>27</v>
      </c>
      <c r="C3577" s="3" t="s">
        <v>28</v>
      </c>
      <c r="D3577" s="3" t="s">
        <v>29</v>
      </c>
      <c r="E3577" s="3" t="s">
        <v>186</v>
      </c>
      <c r="F3577" s="3" t="s">
        <v>31</v>
      </c>
      <c r="G3577" s="3" t="s">
        <v>186</v>
      </c>
      <c r="H3577" s="3" t="s">
        <v>45</v>
      </c>
      <c r="I3577" s="3">
        <v>2025</v>
      </c>
      <c r="J3577" s="3" t="str">
        <f>CONCATENATE("54820045505")</f>
        <v>54820045505</v>
      </c>
      <c r="K3577" s="3" t="s">
        <v>33</v>
      </c>
      <c r="L3577" s="3"/>
      <c r="M3577" s="3" t="s">
        <v>131</v>
      </c>
      <c r="N3577" s="3" t="str">
        <f>CONCATENATE("SVRCST69T52I459J")</f>
        <v>SVRCST69T52I459J</v>
      </c>
      <c r="O3577" s="3" t="s">
        <v>3694</v>
      </c>
      <c r="P3577" s="3" t="s">
        <v>36</v>
      </c>
      <c r="Q3577" s="3"/>
      <c r="R3577" s="4">
        <v>45996</v>
      </c>
      <c r="S3577" s="3" t="s">
        <v>37</v>
      </c>
      <c r="T3577" s="3" t="s">
        <v>38</v>
      </c>
      <c r="U3577" s="3" t="s">
        <v>39</v>
      </c>
      <c r="V3577" s="3">
        <v>163.15</v>
      </c>
      <c r="W3577" s="3">
        <v>69.34</v>
      </c>
      <c r="X3577" s="3">
        <v>65.67</v>
      </c>
      <c r="Y3577" s="3">
        <v>28.14</v>
      </c>
    </row>
    <row r="3578" spans="1:25" ht="60.75" x14ac:dyDescent="0.25">
      <c r="A3578" s="3" t="s">
        <v>26</v>
      </c>
      <c r="B3578" s="3" t="s">
        <v>27</v>
      </c>
      <c r="C3578" s="3" t="s">
        <v>28</v>
      </c>
      <c r="D3578" s="3" t="s">
        <v>40</v>
      </c>
      <c r="E3578" s="3" t="s">
        <v>54</v>
      </c>
      <c r="F3578" s="3" t="s">
        <v>42</v>
      </c>
      <c r="G3578" s="3" t="s">
        <v>54</v>
      </c>
      <c r="H3578" s="3" t="s">
        <v>45</v>
      </c>
      <c r="I3578" s="3">
        <v>2025</v>
      </c>
      <c r="J3578" s="3" t="str">
        <f>CONCATENATE("54820018999")</f>
        <v>54820018999</v>
      </c>
      <c r="K3578" s="3" t="s">
        <v>33</v>
      </c>
      <c r="L3578" s="3"/>
      <c r="M3578" s="3" t="s">
        <v>131</v>
      </c>
      <c r="N3578" s="3" t="str">
        <f>CONCATENATE("DMLDNT57H05L500K")</f>
        <v>DMLDNT57H05L500K</v>
      </c>
      <c r="O3578" s="3" t="s">
        <v>3695</v>
      </c>
      <c r="P3578" s="3" t="s">
        <v>36</v>
      </c>
      <c r="Q3578" s="3"/>
      <c r="R3578" s="4">
        <v>45996</v>
      </c>
      <c r="S3578" s="3" t="s">
        <v>37</v>
      </c>
      <c r="T3578" s="3" t="s">
        <v>38</v>
      </c>
      <c r="U3578" s="3" t="s">
        <v>39</v>
      </c>
      <c r="V3578" s="3">
        <v>138.97999999999999</v>
      </c>
      <c r="W3578" s="3">
        <v>59.07</v>
      </c>
      <c r="X3578" s="3">
        <v>55.94</v>
      </c>
      <c r="Y3578" s="3">
        <v>23.97</v>
      </c>
    </row>
    <row r="3579" spans="1:25" ht="72.75" x14ac:dyDescent="0.25">
      <c r="A3579" s="3" t="s">
        <v>26</v>
      </c>
      <c r="B3579" s="3" t="s">
        <v>27</v>
      </c>
      <c r="C3579" s="3" t="s">
        <v>28</v>
      </c>
      <c r="D3579" s="3" t="s">
        <v>29</v>
      </c>
      <c r="E3579" s="3" t="s">
        <v>80</v>
      </c>
      <c r="F3579" s="3" t="s">
        <v>31</v>
      </c>
      <c r="G3579" s="3" t="s">
        <v>80</v>
      </c>
      <c r="H3579" s="3" t="s">
        <v>45</v>
      </c>
      <c r="I3579" s="3">
        <v>2025</v>
      </c>
      <c r="J3579" s="3" t="str">
        <f>CONCATENATE("54820078894")</f>
        <v>54820078894</v>
      </c>
      <c r="K3579" s="3" t="s">
        <v>33</v>
      </c>
      <c r="L3579" s="3"/>
      <c r="M3579" s="3" t="s">
        <v>131</v>
      </c>
      <c r="N3579" s="3" t="str">
        <f>CONCATENATE("BRTMNG54P70A271F")</f>
        <v>BRTMNG54P70A271F</v>
      </c>
      <c r="O3579" s="3" t="s">
        <v>3696</v>
      </c>
      <c r="P3579" s="3" t="s">
        <v>36</v>
      </c>
      <c r="Q3579" s="3"/>
      <c r="R3579" s="4">
        <v>45996</v>
      </c>
      <c r="S3579" s="3" t="s">
        <v>37</v>
      </c>
      <c r="T3579" s="3" t="s">
        <v>38</v>
      </c>
      <c r="U3579" s="3" t="s">
        <v>39</v>
      </c>
      <c r="V3579" s="3">
        <v>70.430000000000007</v>
      </c>
      <c r="W3579" s="3">
        <v>29.93</v>
      </c>
      <c r="X3579" s="3">
        <v>28.35</v>
      </c>
      <c r="Y3579" s="3">
        <v>12.15</v>
      </c>
    </row>
    <row r="3580" spans="1:25" ht="60.75" x14ac:dyDescent="0.25">
      <c r="A3580" s="3" t="s">
        <v>26</v>
      </c>
      <c r="B3580" s="3" t="s">
        <v>27</v>
      </c>
      <c r="C3580" s="3" t="s">
        <v>28</v>
      </c>
      <c r="D3580" s="3" t="s">
        <v>50</v>
      </c>
      <c r="E3580" s="3" t="s">
        <v>173</v>
      </c>
      <c r="F3580" s="3" t="s">
        <v>52</v>
      </c>
      <c r="G3580" s="3" t="s">
        <v>173</v>
      </c>
      <c r="H3580" s="3" t="s">
        <v>45</v>
      </c>
      <c r="I3580" s="3">
        <v>2025</v>
      </c>
      <c r="J3580" s="3" t="str">
        <f>CONCATENATE("54820069893")</f>
        <v>54820069893</v>
      </c>
      <c r="K3580" s="3" t="s">
        <v>33</v>
      </c>
      <c r="L3580" s="3"/>
      <c r="M3580" s="3" t="s">
        <v>131</v>
      </c>
      <c r="N3580" s="3" t="str">
        <f>CONCATENATE("BRCCRL61B44E785K")</f>
        <v>BRCCRL61B44E785K</v>
      </c>
      <c r="O3580" s="3" t="s">
        <v>3697</v>
      </c>
      <c r="P3580" s="3" t="s">
        <v>36</v>
      </c>
      <c r="Q3580" s="3"/>
      <c r="R3580" s="4">
        <v>45996</v>
      </c>
      <c r="S3580" s="3" t="s">
        <v>37</v>
      </c>
      <c r="T3580" s="3" t="s">
        <v>38</v>
      </c>
      <c r="U3580" s="3" t="s">
        <v>39</v>
      </c>
      <c r="V3580" s="3">
        <v>391.41</v>
      </c>
      <c r="W3580" s="3">
        <v>166.35</v>
      </c>
      <c r="X3580" s="3">
        <v>157.54</v>
      </c>
      <c r="Y3580" s="3">
        <v>67.52</v>
      </c>
    </row>
    <row r="3581" spans="1:25" ht="60.75" x14ac:dyDescent="0.25">
      <c r="A3581" s="3" t="s">
        <v>26</v>
      </c>
      <c r="B3581" s="3" t="s">
        <v>27</v>
      </c>
      <c r="C3581" s="3" t="s">
        <v>28</v>
      </c>
      <c r="D3581" s="3" t="s">
        <v>29</v>
      </c>
      <c r="E3581" s="3" t="s">
        <v>56</v>
      </c>
      <c r="F3581" s="3" t="s">
        <v>31</v>
      </c>
      <c r="G3581" s="3" t="s">
        <v>56</v>
      </c>
      <c r="H3581" s="3" t="s">
        <v>32</v>
      </c>
      <c r="I3581" s="3">
        <v>2025</v>
      </c>
      <c r="J3581" s="3" t="str">
        <f>CONCATENATE("54820080577")</f>
        <v>54820080577</v>
      </c>
      <c r="K3581" s="3" t="s">
        <v>33</v>
      </c>
      <c r="L3581" s="3"/>
      <c r="M3581" s="3" t="s">
        <v>131</v>
      </c>
      <c r="N3581" s="3" t="str">
        <f>CONCATENATE("FRRPLA71C16B474S")</f>
        <v>FRRPLA71C16B474S</v>
      </c>
      <c r="O3581" s="3" t="s">
        <v>3698</v>
      </c>
      <c r="P3581" s="3" t="s">
        <v>36</v>
      </c>
      <c r="Q3581" s="3"/>
      <c r="R3581" s="4">
        <v>45996</v>
      </c>
      <c r="S3581" s="3" t="s">
        <v>37</v>
      </c>
      <c r="T3581" s="3" t="s">
        <v>38</v>
      </c>
      <c r="U3581" s="3" t="s">
        <v>39</v>
      </c>
      <c r="V3581" s="3">
        <v>285.24</v>
      </c>
      <c r="W3581" s="3">
        <v>121.23</v>
      </c>
      <c r="X3581" s="3">
        <v>114.81</v>
      </c>
      <c r="Y3581" s="3">
        <v>49.2</v>
      </c>
    </row>
    <row r="3582" spans="1:25" ht="60.75" x14ac:dyDescent="0.25">
      <c r="A3582" s="3" t="s">
        <v>26</v>
      </c>
      <c r="B3582" s="3" t="s">
        <v>27</v>
      </c>
      <c r="C3582" s="3" t="s">
        <v>28</v>
      </c>
      <c r="D3582" s="3" t="s">
        <v>29</v>
      </c>
      <c r="E3582" s="3" t="s">
        <v>136</v>
      </c>
      <c r="F3582" s="3" t="s">
        <v>31</v>
      </c>
      <c r="G3582" s="3" t="s">
        <v>136</v>
      </c>
      <c r="H3582" s="3" t="s">
        <v>48</v>
      </c>
      <c r="I3582" s="3">
        <v>2025</v>
      </c>
      <c r="J3582" s="3" t="str">
        <f>CONCATENATE("54820056569")</f>
        <v>54820056569</v>
      </c>
      <c r="K3582" s="3" t="s">
        <v>33</v>
      </c>
      <c r="L3582" s="3"/>
      <c r="M3582" s="3" t="s">
        <v>131</v>
      </c>
      <c r="N3582" s="3" t="str">
        <f>CONCATENATE("NGLGPP61B46I461I")</f>
        <v>NGLGPP61B46I461I</v>
      </c>
      <c r="O3582" s="3" t="s">
        <v>3699</v>
      </c>
      <c r="P3582" s="3" t="s">
        <v>36</v>
      </c>
      <c r="Q3582" s="3"/>
      <c r="R3582" s="4">
        <v>45996</v>
      </c>
      <c r="S3582" s="3" t="s">
        <v>37</v>
      </c>
      <c r="T3582" s="3" t="s">
        <v>38</v>
      </c>
      <c r="U3582" s="3" t="s">
        <v>39</v>
      </c>
      <c r="V3582" s="3">
        <v>315.91000000000003</v>
      </c>
      <c r="W3582" s="3">
        <v>134.26</v>
      </c>
      <c r="X3582" s="3">
        <v>127.15</v>
      </c>
      <c r="Y3582" s="3">
        <v>54.5</v>
      </c>
    </row>
    <row r="3583" spans="1:25" ht="60.75" x14ac:dyDescent="0.25">
      <c r="A3583" s="3" t="s">
        <v>26</v>
      </c>
      <c r="B3583" s="3" t="s">
        <v>27</v>
      </c>
      <c r="C3583" s="3" t="s">
        <v>28</v>
      </c>
      <c r="D3583" s="3" t="s">
        <v>29</v>
      </c>
      <c r="E3583" s="3" t="s">
        <v>136</v>
      </c>
      <c r="F3583" s="3" t="s">
        <v>31</v>
      </c>
      <c r="G3583" s="3" t="s">
        <v>136</v>
      </c>
      <c r="H3583" s="3" t="s">
        <v>48</v>
      </c>
      <c r="I3583" s="3">
        <v>2025</v>
      </c>
      <c r="J3583" s="3" t="str">
        <f>CONCATENATE("54820040142")</f>
        <v>54820040142</v>
      </c>
      <c r="K3583" s="3" t="s">
        <v>33</v>
      </c>
      <c r="L3583" s="3"/>
      <c r="M3583" s="3" t="s">
        <v>131</v>
      </c>
      <c r="N3583" s="3" t="str">
        <f>CONCATENATE("STLDAA56E42E230L")</f>
        <v>STLDAA56E42E230L</v>
      </c>
      <c r="O3583" s="3" t="s">
        <v>3700</v>
      </c>
      <c r="P3583" s="3" t="s">
        <v>36</v>
      </c>
      <c r="Q3583" s="3"/>
      <c r="R3583" s="4">
        <v>45996</v>
      </c>
      <c r="S3583" s="3" t="s">
        <v>37</v>
      </c>
      <c r="T3583" s="3" t="s">
        <v>38</v>
      </c>
      <c r="U3583" s="3" t="s">
        <v>39</v>
      </c>
      <c r="V3583" s="3">
        <v>350.05</v>
      </c>
      <c r="W3583" s="3">
        <v>148.77000000000001</v>
      </c>
      <c r="X3583" s="3">
        <v>140.9</v>
      </c>
      <c r="Y3583" s="3">
        <v>60.38</v>
      </c>
    </row>
    <row r="3584" spans="1:25" ht="60.75" x14ac:dyDescent="0.25">
      <c r="A3584" s="3" t="s">
        <v>26</v>
      </c>
      <c r="B3584" s="3" t="s">
        <v>27</v>
      </c>
      <c r="C3584" s="3" t="s">
        <v>28</v>
      </c>
      <c r="D3584" s="3" t="s">
        <v>29</v>
      </c>
      <c r="E3584" s="3" t="s">
        <v>80</v>
      </c>
      <c r="F3584" s="3" t="s">
        <v>31</v>
      </c>
      <c r="G3584" s="3" t="s">
        <v>80</v>
      </c>
      <c r="H3584" s="3" t="s">
        <v>45</v>
      </c>
      <c r="I3584" s="3">
        <v>2025</v>
      </c>
      <c r="J3584" s="3" t="str">
        <f>CONCATENATE("54820040720")</f>
        <v>54820040720</v>
      </c>
      <c r="K3584" s="3" t="s">
        <v>33</v>
      </c>
      <c r="L3584" s="3"/>
      <c r="M3584" s="3" t="s">
        <v>131</v>
      </c>
      <c r="N3584" s="3" t="str">
        <f>CONCATENATE("SGNSFN67S20D791S")</f>
        <v>SGNSFN67S20D791S</v>
      </c>
      <c r="O3584" s="3" t="s">
        <v>3701</v>
      </c>
      <c r="P3584" s="3" t="s">
        <v>36</v>
      </c>
      <c r="Q3584" s="3"/>
      <c r="R3584" s="4">
        <v>45996</v>
      </c>
      <c r="S3584" s="3" t="s">
        <v>37</v>
      </c>
      <c r="T3584" s="3" t="s">
        <v>38</v>
      </c>
      <c r="U3584" s="3" t="s">
        <v>39</v>
      </c>
      <c r="V3584" s="3">
        <v>376.1</v>
      </c>
      <c r="W3584" s="3">
        <v>159.84</v>
      </c>
      <c r="X3584" s="3">
        <v>151.38</v>
      </c>
      <c r="Y3584" s="3">
        <v>64.88</v>
      </c>
    </row>
    <row r="3585" spans="1:25" ht="60.75" x14ac:dyDescent="0.25">
      <c r="A3585" s="3" t="s">
        <v>26</v>
      </c>
      <c r="B3585" s="3" t="s">
        <v>27</v>
      </c>
      <c r="C3585" s="3" t="s">
        <v>28</v>
      </c>
      <c r="D3585" s="3" t="s">
        <v>29</v>
      </c>
      <c r="E3585" s="3" t="s">
        <v>47</v>
      </c>
      <c r="F3585" s="3" t="s">
        <v>31</v>
      </c>
      <c r="G3585" s="3" t="s">
        <v>47</v>
      </c>
      <c r="H3585" s="3" t="s">
        <v>48</v>
      </c>
      <c r="I3585" s="3">
        <v>2025</v>
      </c>
      <c r="J3585" s="3" t="str">
        <f>CONCATENATE("54820041868")</f>
        <v>54820041868</v>
      </c>
      <c r="K3585" s="3" t="s">
        <v>33</v>
      </c>
      <c r="L3585" s="3"/>
      <c r="M3585" s="3" t="s">
        <v>131</v>
      </c>
      <c r="N3585" s="3" t="str">
        <f>CONCATENATE("GLDFNC81L02E388X")</f>
        <v>GLDFNC81L02E388X</v>
      </c>
      <c r="O3585" s="3" t="s">
        <v>3702</v>
      </c>
      <c r="P3585" s="3" t="s">
        <v>36</v>
      </c>
      <c r="Q3585" s="3"/>
      <c r="R3585" s="4">
        <v>45996</v>
      </c>
      <c r="S3585" s="3" t="s">
        <v>37</v>
      </c>
      <c r="T3585" s="3" t="s">
        <v>38</v>
      </c>
      <c r="U3585" s="3" t="s">
        <v>39</v>
      </c>
      <c r="V3585" s="3">
        <v>316.82</v>
      </c>
      <c r="W3585" s="3">
        <v>134.65</v>
      </c>
      <c r="X3585" s="3">
        <v>127.52</v>
      </c>
      <c r="Y3585" s="3">
        <v>54.65</v>
      </c>
    </row>
    <row r="3586" spans="1:25" ht="36.75" x14ac:dyDescent="0.25">
      <c r="A3586" s="3" t="s">
        <v>26</v>
      </c>
      <c r="B3586" s="3" t="s">
        <v>27</v>
      </c>
      <c r="C3586" s="3" t="s">
        <v>28</v>
      </c>
      <c r="D3586" s="3" t="s">
        <v>40</v>
      </c>
      <c r="E3586" s="3" t="s">
        <v>54</v>
      </c>
      <c r="F3586" s="3" t="s">
        <v>42</v>
      </c>
      <c r="G3586" s="3" t="s">
        <v>54</v>
      </c>
      <c r="H3586" s="3" t="s">
        <v>45</v>
      </c>
      <c r="I3586" s="3">
        <v>2025</v>
      </c>
      <c r="J3586" s="3" t="str">
        <f>CONCATENATE("54820105192")</f>
        <v>54820105192</v>
      </c>
      <c r="K3586" s="3" t="s">
        <v>33</v>
      </c>
      <c r="L3586" s="3"/>
      <c r="M3586" s="3" t="s">
        <v>131</v>
      </c>
      <c r="N3586" s="3" t="str">
        <f>CONCATENATE("02530550413")</f>
        <v>02530550413</v>
      </c>
      <c r="O3586" s="3" t="s">
        <v>3703</v>
      </c>
      <c r="P3586" s="3" t="s">
        <v>36</v>
      </c>
      <c r="Q3586" s="3"/>
      <c r="R3586" s="4">
        <v>45996</v>
      </c>
      <c r="S3586" s="3" t="s">
        <v>37</v>
      </c>
      <c r="T3586" s="3" t="s">
        <v>38</v>
      </c>
      <c r="U3586" s="3" t="s">
        <v>39</v>
      </c>
      <c r="V3586" s="3">
        <v>520.54999999999995</v>
      </c>
      <c r="W3586" s="3">
        <v>221.23</v>
      </c>
      <c r="X3586" s="3">
        <v>209.52</v>
      </c>
      <c r="Y3586" s="3">
        <v>89.8</v>
      </c>
    </row>
    <row r="3587" spans="1:25" ht="60.75" x14ac:dyDescent="0.25">
      <c r="A3587" s="3" t="s">
        <v>26</v>
      </c>
      <c r="B3587" s="3" t="s">
        <v>27</v>
      </c>
      <c r="C3587" s="3" t="s">
        <v>28</v>
      </c>
      <c r="D3587" s="3" t="s">
        <v>50</v>
      </c>
      <c r="E3587" s="3" t="s">
        <v>173</v>
      </c>
      <c r="F3587" s="3" t="s">
        <v>52</v>
      </c>
      <c r="G3587" s="3" t="s">
        <v>173</v>
      </c>
      <c r="H3587" s="3" t="s">
        <v>45</v>
      </c>
      <c r="I3587" s="3">
        <v>2025</v>
      </c>
      <c r="J3587" s="3" t="str">
        <f>CONCATENATE("54820071097")</f>
        <v>54820071097</v>
      </c>
      <c r="K3587" s="3" t="s">
        <v>33</v>
      </c>
      <c r="L3587" s="3"/>
      <c r="M3587" s="3" t="s">
        <v>131</v>
      </c>
      <c r="N3587" s="3" t="str">
        <f>CONCATENATE("RSSFNN68S19E785T")</f>
        <v>RSSFNN68S19E785T</v>
      </c>
      <c r="O3587" s="3" t="s">
        <v>3704</v>
      </c>
      <c r="P3587" s="3" t="s">
        <v>36</v>
      </c>
      <c r="Q3587" s="3"/>
      <c r="R3587" s="4">
        <v>45996</v>
      </c>
      <c r="S3587" s="3" t="s">
        <v>37</v>
      </c>
      <c r="T3587" s="3" t="s">
        <v>38</v>
      </c>
      <c r="U3587" s="3" t="s">
        <v>39</v>
      </c>
      <c r="V3587" s="3">
        <v>336.73</v>
      </c>
      <c r="W3587" s="3">
        <v>143.11000000000001</v>
      </c>
      <c r="X3587" s="3">
        <v>135.53</v>
      </c>
      <c r="Y3587" s="3">
        <v>58.09</v>
      </c>
    </row>
    <row r="3588" spans="1:25" ht="60.75" x14ac:dyDescent="0.25">
      <c r="A3588" s="3" t="s">
        <v>26</v>
      </c>
      <c r="B3588" s="3" t="s">
        <v>27</v>
      </c>
      <c r="C3588" s="3" t="s">
        <v>28</v>
      </c>
      <c r="D3588" s="3" t="s">
        <v>29</v>
      </c>
      <c r="E3588" s="3" t="s">
        <v>47</v>
      </c>
      <c r="F3588" s="3" t="s">
        <v>31</v>
      </c>
      <c r="G3588" s="3" t="s">
        <v>47</v>
      </c>
      <c r="H3588" s="3" t="s">
        <v>48</v>
      </c>
      <c r="I3588" s="3">
        <v>2025</v>
      </c>
      <c r="J3588" s="3" t="str">
        <f>CONCATENATE("54820078324")</f>
        <v>54820078324</v>
      </c>
      <c r="K3588" s="3" t="s">
        <v>33</v>
      </c>
      <c r="L3588" s="3"/>
      <c r="M3588" s="3" t="s">
        <v>131</v>
      </c>
      <c r="N3588" s="3" t="str">
        <f>CONCATENATE("MZZLNI60P69D451L")</f>
        <v>MZZLNI60P69D451L</v>
      </c>
      <c r="O3588" s="3" t="s">
        <v>3705</v>
      </c>
      <c r="P3588" s="3" t="s">
        <v>36</v>
      </c>
      <c r="Q3588" s="3"/>
      <c r="R3588" s="4">
        <v>45996</v>
      </c>
      <c r="S3588" s="3" t="s">
        <v>37</v>
      </c>
      <c r="T3588" s="3" t="s">
        <v>38</v>
      </c>
      <c r="U3588" s="3" t="s">
        <v>39</v>
      </c>
      <c r="V3588" s="3">
        <v>93.14</v>
      </c>
      <c r="W3588" s="3">
        <v>39.58</v>
      </c>
      <c r="X3588" s="3">
        <v>37.49</v>
      </c>
      <c r="Y3588" s="3">
        <v>16.07</v>
      </c>
    </row>
    <row r="3589" spans="1:25" ht="60.75" x14ac:dyDescent="0.25">
      <c r="A3589" s="3" t="s">
        <v>26</v>
      </c>
      <c r="B3589" s="3" t="s">
        <v>27</v>
      </c>
      <c r="C3589" s="3" t="s">
        <v>28</v>
      </c>
      <c r="D3589" s="3" t="s">
        <v>29</v>
      </c>
      <c r="E3589" s="3" t="s">
        <v>208</v>
      </c>
      <c r="F3589" s="3" t="s">
        <v>31</v>
      </c>
      <c r="G3589" s="3" t="s">
        <v>208</v>
      </c>
      <c r="H3589" s="3" t="s">
        <v>45</v>
      </c>
      <c r="I3589" s="3">
        <v>2025</v>
      </c>
      <c r="J3589" s="3" t="str">
        <f>CONCATENATE("54820050745")</f>
        <v>54820050745</v>
      </c>
      <c r="K3589" s="3" t="s">
        <v>33</v>
      </c>
      <c r="L3589" s="3"/>
      <c r="M3589" s="3" t="s">
        <v>131</v>
      </c>
      <c r="N3589" s="3" t="str">
        <f>CONCATENATE("GLIMHL55L15F533T")</f>
        <v>GLIMHL55L15F533T</v>
      </c>
      <c r="O3589" s="3" t="s">
        <v>3706</v>
      </c>
      <c r="P3589" s="3" t="s">
        <v>36</v>
      </c>
      <c r="Q3589" s="3"/>
      <c r="R3589" s="4">
        <v>45996</v>
      </c>
      <c r="S3589" s="3" t="s">
        <v>37</v>
      </c>
      <c r="T3589" s="3" t="s">
        <v>38</v>
      </c>
      <c r="U3589" s="3" t="s">
        <v>39</v>
      </c>
      <c r="V3589" s="3">
        <v>228.3</v>
      </c>
      <c r="W3589" s="3">
        <v>97.03</v>
      </c>
      <c r="X3589" s="3">
        <v>91.89</v>
      </c>
      <c r="Y3589" s="3">
        <v>39.380000000000003</v>
      </c>
    </row>
    <row r="3590" spans="1:25" ht="60.75" x14ac:dyDescent="0.25">
      <c r="A3590" s="3" t="s">
        <v>26</v>
      </c>
      <c r="B3590" s="3" t="s">
        <v>27</v>
      </c>
      <c r="C3590" s="3" t="s">
        <v>28</v>
      </c>
      <c r="D3590" s="3" t="s">
        <v>29</v>
      </c>
      <c r="E3590" s="3" t="s">
        <v>56</v>
      </c>
      <c r="F3590" s="3" t="s">
        <v>31</v>
      </c>
      <c r="G3590" s="3" t="s">
        <v>56</v>
      </c>
      <c r="H3590" s="3" t="s">
        <v>32</v>
      </c>
      <c r="I3590" s="3">
        <v>2025</v>
      </c>
      <c r="J3590" s="3" t="str">
        <f>CONCATENATE("54820013818")</f>
        <v>54820013818</v>
      </c>
      <c r="K3590" s="3" t="s">
        <v>33</v>
      </c>
      <c r="L3590" s="3"/>
      <c r="M3590" s="3" t="s">
        <v>131</v>
      </c>
      <c r="N3590" s="3" t="str">
        <f>CONCATENATE("PGNGFR72T15B474I")</f>
        <v>PGNGFR72T15B474I</v>
      </c>
      <c r="O3590" s="3" t="s">
        <v>3707</v>
      </c>
      <c r="P3590" s="3" t="s">
        <v>36</v>
      </c>
      <c r="Q3590" s="3"/>
      <c r="R3590" s="4">
        <v>45996</v>
      </c>
      <c r="S3590" s="3" t="s">
        <v>37</v>
      </c>
      <c r="T3590" s="3" t="s">
        <v>38</v>
      </c>
      <c r="U3590" s="3" t="s">
        <v>39</v>
      </c>
      <c r="V3590" s="3">
        <v>354.74</v>
      </c>
      <c r="W3590" s="3">
        <v>150.76</v>
      </c>
      <c r="X3590" s="3">
        <v>142.78</v>
      </c>
      <c r="Y3590" s="3">
        <v>61.2</v>
      </c>
    </row>
    <row r="3591" spans="1:25" ht="60.75" x14ac:dyDescent="0.25">
      <c r="A3591" s="3" t="s">
        <v>26</v>
      </c>
      <c r="B3591" s="3" t="s">
        <v>27</v>
      </c>
      <c r="C3591" s="3" t="s">
        <v>28</v>
      </c>
      <c r="D3591" s="3" t="s">
        <v>50</v>
      </c>
      <c r="E3591" s="3" t="s">
        <v>173</v>
      </c>
      <c r="F3591" s="3" t="s">
        <v>52</v>
      </c>
      <c r="G3591" s="3" t="s">
        <v>173</v>
      </c>
      <c r="H3591" s="3" t="s">
        <v>45</v>
      </c>
      <c r="I3591" s="3">
        <v>2025</v>
      </c>
      <c r="J3591" s="3" t="str">
        <f>CONCATENATE("54820054739")</f>
        <v>54820054739</v>
      </c>
      <c r="K3591" s="3" t="s">
        <v>33</v>
      </c>
      <c r="L3591" s="3"/>
      <c r="M3591" s="3" t="s">
        <v>131</v>
      </c>
      <c r="N3591" s="3" t="str">
        <f>CONCATENATE("CRSDNS91R09I459N")</f>
        <v>CRSDNS91R09I459N</v>
      </c>
      <c r="O3591" s="3" t="s">
        <v>3708</v>
      </c>
      <c r="P3591" s="3" t="s">
        <v>36</v>
      </c>
      <c r="Q3591" s="3"/>
      <c r="R3591" s="4">
        <v>45996</v>
      </c>
      <c r="S3591" s="3" t="s">
        <v>37</v>
      </c>
      <c r="T3591" s="3" t="s">
        <v>38</v>
      </c>
      <c r="U3591" s="3" t="s">
        <v>39</v>
      </c>
      <c r="V3591" s="3">
        <v>437.15</v>
      </c>
      <c r="W3591" s="3">
        <v>185.79</v>
      </c>
      <c r="X3591" s="3">
        <v>175.95</v>
      </c>
      <c r="Y3591" s="3">
        <v>75.41</v>
      </c>
    </row>
    <row r="3592" spans="1:25" ht="60.75" x14ac:dyDescent="0.25">
      <c r="A3592" s="3" t="s">
        <v>26</v>
      </c>
      <c r="B3592" s="3" t="s">
        <v>27</v>
      </c>
      <c r="C3592" s="3" t="s">
        <v>28</v>
      </c>
      <c r="D3592" s="3" t="s">
        <v>29</v>
      </c>
      <c r="E3592" s="3" t="s">
        <v>47</v>
      </c>
      <c r="F3592" s="3" t="s">
        <v>31</v>
      </c>
      <c r="G3592" s="3" t="s">
        <v>47</v>
      </c>
      <c r="H3592" s="3" t="s">
        <v>48</v>
      </c>
      <c r="I3592" s="3">
        <v>2025</v>
      </c>
      <c r="J3592" s="3" t="str">
        <f>CONCATENATE("54820008768")</f>
        <v>54820008768</v>
      </c>
      <c r="K3592" s="3" t="s">
        <v>33</v>
      </c>
      <c r="L3592" s="3"/>
      <c r="M3592" s="3" t="s">
        <v>131</v>
      </c>
      <c r="N3592" s="3" t="str">
        <f>CONCATENATE("CPPPRN59A12D429T")</f>
        <v>CPPPRN59A12D429T</v>
      </c>
      <c r="O3592" s="3" t="s">
        <v>3709</v>
      </c>
      <c r="P3592" s="3" t="s">
        <v>36</v>
      </c>
      <c r="Q3592" s="3"/>
      <c r="R3592" s="4">
        <v>45996</v>
      </c>
      <c r="S3592" s="3" t="s">
        <v>37</v>
      </c>
      <c r="T3592" s="3" t="s">
        <v>38</v>
      </c>
      <c r="U3592" s="3" t="s">
        <v>39</v>
      </c>
      <c r="V3592" s="3">
        <v>134.43</v>
      </c>
      <c r="W3592" s="3">
        <v>57.13</v>
      </c>
      <c r="X3592" s="3">
        <v>54.11</v>
      </c>
      <c r="Y3592" s="3">
        <v>23.19</v>
      </c>
    </row>
    <row r="3593" spans="1:25" ht="60.75" x14ac:dyDescent="0.25">
      <c r="A3593" s="3" t="s">
        <v>26</v>
      </c>
      <c r="B3593" s="3" t="s">
        <v>27</v>
      </c>
      <c r="C3593" s="3" t="s">
        <v>28</v>
      </c>
      <c r="D3593" s="3" t="s">
        <v>40</v>
      </c>
      <c r="E3593" s="3" t="s">
        <v>287</v>
      </c>
      <c r="F3593" s="3" t="s">
        <v>42</v>
      </c>
      <c r="G3593" s="3" t="s">
        <v>287</v>
      </c>
      <c r="H3593" s="3" t="s">
        <v>32</v>
      </c>
      <c r="I3593" s="3">
        <v>2025</v>
      </c>
      <c r="J3593" s="3" t="str">
        <f>CONCATENATE("54820015870")</f>
        <v>54820015870</v>
      </c>
      <c r="K3593" s="3" t="s">
        <v>33</v>
      </c>
      <c r="L3593" s="3"/>
      <c r="M3593" s="3" t="s">
        <v>131</v>
      </c>
      <c r="N3593" s="3" t="str">
        <f>CONCATENATE("CNFVRE41P46D042F")</f>
        <v>CNFVRE41P46D042F</v>
      </c>
      <c r="O3593" s="3" t="s">
        <v>3710</v>
      </c>
      <c r="P3593" s="3" t="s">
        <v>36</v>
      </c>
      <c r="Q3593" s="3"/>
      <c r="R3593" s="4">
        <v>45996</v>
      </c>
      <c r="S3593" s="3" t="s">
        <v>37</v>
      </c>
      <c r="T3593" s="3" t="s">
        <v>38</v>
      </c>
      <c r="U3593" s="3" t="s">
        <v>39</v>
      </c>
      <c r="V3593" s="3">
        <v>468.96</v>
      </c>
      <c r="W3593" s="3">
        <v>199.31</v>
      </c>
      <c r="X3593" s="3">
        <v>188.76</v>
      </c>
      <c r="Y3593" s="3">
        <v>80.89</v>
      </c>
    </row>
    <row r="3594" spans="1:25" ht="72.75" x14ac:dyDescent="0.25">
      <c r="A3594" s="3" t="s">
        <v>26</v>
      </c>
      <c r="B3594" s="3" t="s">
        <v>27</v>
      </c>
      <c r="C3594" s="3" t="s">
        <v>28</v>
      </c>
      <c r="D3594" s="3" t="s">
        <v>29</v>
      </c>
      <c r="E3594" s="3" t="s">
        <v>228</v>
      </c>
      <c r="F3594" s="3" t="s">
        <v>31</v>
      </c>
      <c r="G3594" s="3" t="s">
        <v>228</v>
      </c>
      <c r="H3594" s="3" t="s">
        <v>45</v>
      </c>
      <c r="I3594" s="3">
        <v>2025</v>
      </c>
      <c r="J3594" s="3" t="str">
        <f>CONCATENATE("54820036181")</f>
        <v>54820036181</v>
      </c>
      <c r="K3594" s="3" t="s">
        <v>33</v>
      </c>
      <c r="L3594" s="3"/>
      <c r="M3594" s="3" t="s">
        <v>131</v>
      </c>
      <c r="N3594" s="3" t="str">
        <f>CONCATENATE("GMBPLG59D09D749R")</f>
        <v>GMBPLG59D09D749R</v>
      </c>
      <c r="O3594" s="3" t="s">
        <v>3711</v>
      </c>
      <c r="P3594" s="3" t="s">
        <v>36</v>
      </c>
      <c r="Q3594" s="3"/>
      <c r="R3594" s="4">
        <v>45996</v>
      </c>
      <c r="S3594" s="3" t="s">
        <v>37</v>
      </c>
      <c r="T3594" s="3" t="s">
        <v>38</v>
      </c>
      <c r="U3594" s="3" t="s">
        <v>39</v>
      </c>
      <c r="V3594" s="3">
        <v>86.31</v>
      </c>
      <c r="W3594" s="3">
        <v>36.68</v>
      </c>
      <c r="X3594" s="3">
        <v>34.74</v>
      </c>
      <c r="Y3594" s="3">
        <v>14.89</v>
      </c>
    </row>
    <row r="3595" spans="1:25" ht="60.75" x14ac:dyDescent="0.25">
      <c r="A3595" s="3" t="s">
        <v>26</v>
      </c>
      <c r="B3595" s="3" t="s">
        <v>27</v>
      </c>
      <c r="C3595" s="3" t="s">
        <v>28</v>
      </c>
      <c r="D3595" s="3" t="s">
        <v>40</v>
      </c>
      <c r="E3595" s="3" t="s">
        <v>287</v>
      </c>
      <c r="F3595" s="3" t="s">
        <v>42</v>
      </c>
      <c r="G3595" s="3" t="s">
        <v>287</v>
      </c>
      <c r="H3595" s="3" t="s">
        <v>32</v>
      </c>
      <c r="I3595" s="3">
        <v>2025</v>
      </c>
      <c r="J3595" s="3" t="str">
        <f>CONCATENATE("54820016761")</f>
        <v>54820016761</v>
      </c>
      <c r="K3595" s="3" t="s">
        <v>33</v>
      </c>
      <c r="L3595" s="3"/>
      <c r="M3595" s="3" t="s">
        <v>131</v>
      </c>
      <c r="N3595" s="3" t="str">
        <f>CONCATENATE("PCCDNC62R11C267N")</f>
        <v>PCCDNC62R11C267N</v>
      </c>
      <c r="O3595" s="3" t="s">
        <v>3712</v>
      </c>
      <c r="P3595" s="3" t="s">
        <v>36</v>
      </c>
      <c r="Q3595" s="3"/>
      <c r="R3595" s="4">
        <v>45996</v>
      </c>
      <c r="S3595" s="3" t="s">
        <v>37</v>
      </c>
      <c r="T3595" s="3" t="s">
        <v>38</v>
      </c>
      <c r="U3595" s="3" t="s">
        <v>39</v>
      </c>
      <c r="V3595" s="3">
        <v>76.569999999999993</v>
      </c>
      <c r="W3595" s="3">
        <v>32.54</v>
      </c>
      <c r="X3595" s="3">
        <v>30.82</v>
      </c>
      <c r="Y3595" s="3">
        <v>13.21</v>
      </c>
    </row>
    <row r="3596" spans="1:25" ht="60.75" x14ac:dyDescent="0.25">
      <c r="A3596" s="3" t="s">
        <v>26</v>
      </c>
      <c r="B3596" s="3" t="s">
        <v>27</v>
      </c>
      <c r="C3596" s="3" t="s">
        <v>28</v>
      </c>
      <c r="D3596" s="3" t="s">
        <v>40</v>
      </c>
      <c r="E3596" s="3" t="s">
        <v>287</v>
      </c>
      <c r="F3596" s="3" t="s">
        <v>42</v>
      </c>
      <c r="G3596" s="3" t="s">
        <v>287</v>
      </c>
      <c r="H3596" s="3" t="s">
        <v>32</v>
      </c>
      <c r="I3596" s="3">
        <v>2025</v>
      </c>
      <c r="J3596" s="3" t="str">
        <f>CONCATENATE("54820015037")</f>
        <v>54820015037</v>
      </c>
      <c r="K3596" s="3" t="s">
        <v>33</v>
      </c>
      <c r="L3596" s="3"/>
      <c r="M3596" s="3" t="s">
        <v>131</v>
      </c>
      <c r="N3596" s="3" t="str">
        <f>CONCATENATE("BTTLNE29B64E694E")</f>
        <v>BTTLNE29B64E694E</v>
      </c>
      <c r="O3596" s="3" t="s">
        <v>3713</v>
      </c>
      <c r="P3596" s="3" t="s">
        <v>36</v>
      </c>
      <c r="Q3596" s="3"/>
      <c r="R3596" s="4">
        <v>45996</v>
      </c>
      <c r="S3596" s="3" t="s">
        <v>37</v>
      </c>
      <c r="T3596" s="3" t="s">
        <v>38</v>
      </c>
      <c r="U3596" s="3" t="s">
        <v>39</v>
      </c>
      <c r="V3596" s="3">
        <v>189.27</v>
      </c>
      <c r="W3596" s="3">
        <v>80.44</v>
      </c>
      <c r="X3596" s="3">
        <v>76.180000000000007</v>
      </c>
      <c r="Y3596" s="3">
        <v>32.65</v>
      </c>
    </row>
    <row r="3597" spans="1:25" ht="60.75" x14ac:dyDescent="0.25">
      <c r="A3597" s="3" t="s">
        <v>26</v>
      </c>
      <c r="B3597" s="3" t="s">
        <v>27</v>
      </c>
      <c r="C3597" s="3" t="s">
        <v>28</v>
      </c>
      <c r="D3597" s="3" t="s">
        <v>29</v>
      </c>
      <c r="E3597" s="3" t="s">
        <v>56</v>
      </c>
      <c r="F3597" s="3" t="s">
        <v>31</v>
      </c>
      <c r="G3597" s="3" t="s">
        <v>56</v>
      </c>
      <c r="H3597" s="3" t="s">
        <v>32</v>
      </c>
      <c r="I3597" s="3">
        <v>2025</v>
      </c>
      <c r="J3597" s="3" t="str">
        <f>CONCATENATE("54820019583")</f>
        <v>54820019583</v>
      </c>
      <c r="K3597" s="3" t="s">
        <v>33</v>
      </c>
      <c r="L3597" s="3"/>
      <c r="M3597" s="3" t="s">
        <v>131</v>
      </c>
      <c r="N3597" s="3" t="str">
        <f>CONCATENATE("CLMFBA69S11B474Y")</f>
        <v>CLMFBA69S11B474Y</v>
      </c>
      <c r="O3597" s="3" t="s">
        <v>3714</v>
      </c>
      <c r="P3597" s="3" t="s">
        <v>36</v>
      </c>
      <c r="Q3597" s="3"/>
      <c r="R3597" s="4">
        <v>45996</v>
      </c>
      <c r="S3597" s="3" t="s">
        <v>37</v>
      </c>
      <c r="T3597" s="3" t="s">
        <v>38</v>
      </c>
      <c r="U3597" s="3" t="s">
        <v>39</v>
      </c>
      <c r="V3597" s="3">
        <v>170.3</v>
      </c>
      <c r="W3597" s="3">
        <v>72.38</v>
      </c>
      <c r="X3597" s="3">
        <v>68.55</v>
      </c>
      <c r="Y3597" s="3">
        <v>29.37</v>
      </c>
    </row>
    <row r="3598" spans="1:25" ht="60.75" x14ac:dyDescent="0.25">
      <c r="A3598" s="3" t="s">
        <v>26</v>
      </c>
      <c r="B3598" s="3" t="s">
        <v>27</v>
      </c>
      <c r="C3598" s="3" t="s">
        <v>28</v>
      </c>
      <c r="D3598" s="3" t="s">
        <v>29</v>
      </c>
      <c r="E3598" s="3" t="s">
        <v>119</v>
      </c>
      <c r="F3598" s="3" t="s">
        <v>31</v>
      </c>
      <c r="G3598" s="3" t="s">
        <v>119</v>
      </c>
      <c r="H3598" s="3" t="s">
        <v>96</v>
      </c>
      <c r="I3598" s="3">
        <v>2025</v>
      </c>
      <c r="J3598" s="3" t="str">
        <f>CONCATENATE("54820008743")</f>
        <v>54820008743</v>
      </c>
      <c r="K3598" s="3" t="s">
        <v>33</v>
      </c>
      <c r="L3598" s="3"/>
      <c r="M3598" s="3" t="s">
        <v>131</v>
      </c>
      <c r="N3598" s="3" t="str">
        <f>CONCATENATE("SCCDNC41E17F509Q")</f>
        <v>SCCDNC41E17F509Q</v>
      </c>
      <c r="O3598" s="3" t="s">
        <v>3715</v>
      </c>
      <c r="P3598" s="3" t="s">
        <v>36</v>
      </c>
      <c r="Q3598" s="3"/>
      <c r="R3598" s="4">
        <v>45996</v>
      </c>
      <c r="S3598" s="3" t="s">
        <v>37</v>
      </c>
      <c r="T3598" s="3" t="s">
        <v>38</v>
      </c>
      <c r="U3598" s="3" t="s">
        <v>39</v>
      </c>
      <c r="V3598" s="3">
        <v>158.28</v>
      </c>
      <c r="W3598" s="3">
        <v>67.27</v>
      </c>
      <c r="X3598" s="3">
        <v>63.71</v>
      </c>
      <c r="Y3598" s="3">
        <v>27.3</v>
      </c>
    </row>
    <row r="3599" spans="1:25" ht="36.75" x14ac:dyDescent="0.25">
      <c r="A3599" s="3" t="s">
        <v>26</v>
      </c>
      <c r="B3599" s="3" t="s">
        <v>27</v>
      </c>
      <c r="C3599" s="3" t="s">
        <v>28</v>
      </c>
      <c r="D3599" s="3" t="s">
        <v>104</v>
      </c>
      <c r="E3599" s="3" t="s">
        <v>691</v>
      </c>
      <c r="F3599" s="3" t="s">
        <v>104</v>
      </c>
      <c r="G3599" s="3" t="s">
        <v>691</v>
      </c>
      <c r="H3599" s="3" t="s">
        <v>32</v>
      </c>
      <c r="I3599" s="3">
        <v>2025</v>
      </c>
      <c r="J3599" s="3" t="str">
        <f>CONCATENATE("54820008115")</f>
        <v>54820008115</v>
      </c>
      <c r="K3599" s="3" t="s">
        <v>33</v>
      </c>
      <c r="L3599" s="3"/>
      <c r="M3599" s="3" t="s">
        <v>131</v>
      </c>
      <c r="N3599" s="3" t="str">
        <f>CONCATENATE("01936200433")</f>
        <v>01936200433</v>
      </c>
      <c r="O3599" s="3" t="s">
        <v>3716</v>
      </c>
      <c r="P3599" s="3" t="s">
        <v>36</v>
      </c>
      <c r="Q3599" s="3"/>
      <c r="R3599" s="4">
        <v>45996</v>
      </c>
      <c r="S3599" s="3" t="s">
        <v>37</v>
      </c>
      <c r="T3599" s="3" t="s">
        <v>38</v>
      </c>
      <c r="U3599" s="3" t="s">
        <v>39</v>
      </c>
      <c r="V3599" s="3">
        <v>416.17</v>
      </c>
      <c r="W3599" s="3">
        <v>176.87</v>
      </c>
      <c r="X3599" s="3">
        <v>167.51</v>
      </c>
      <c r="Y3599" s="3">
        <v>71.790000000000006</v>
      </c>
    </row>
    <row r="3600" spans="1:25" ht="36.75" x14ac:dyDescent="0.25">
      <c r="A3600" s="3" t="s">
        <v>26</v>
      </c>
      <c r="B3600" s="3" t="s">
        <v>27</v>
      </c>
      <c r="C3600" s="3" t="s">
        <v>28</v>
      </c>
      <c r="D3600" s="3" t="s">
        <v>29</v>
      </c>
      <c r="E3600" s="3" t="s">
        <v>119</v>
      </c>
      <c r="F3600" s="3" t="s">
        <v>31</v>
      </c>
      <c r="G3600" s="3" t="s">
        <v>119</v>
      </c>
      <c r="H3600" s="3" t="s">
        <v>96</v>
      </c>
      <c r="I3600" s="3">
        <v>2025</v>
      </c>
      <c r="J3600" s="3" t="str">
        <f>CONCATENATE("54820010673")</f>
        <v>54820010673</v>
      </c>
      <c r="K3600" s="3" t="s">
        <v>33</v>
      </c>
      <c r="L3600" s="3"/>
      <c r="M3600" s="3" t="s">
        <v>131</v>
      </c>
      <c r="N3600" s="3" t="str">
        <f>CONCATENATE("02234650444")</f>
        <v>02234650444</v>
      </c>
      <c r="O3600" s="3" t="s">
        <v>3717</v>
      </c>
      <c r="P3600" s="3" t="s">
        <v>36</v>
      </c>
      <c r="Q3600" s="3"/>
      <c r="R3600" s="4">
        <v>45996</v>
      </c>
      <c r="S3600" s="3" t="s">
        <v>37</v>
      </c>
      <c r="T3600" s="3" t="s">
        <v>38</v>
      </c>
      <c r="U3600" s="3" t="s">
        <v>39</v>
      </c>
      <c r="V3600" s="3">
        <v>498.59</v>
      </c>
      <c r="W3600" s="3">
        <v>211.9</v>
      </c>
      <c r="X3600" s="3">
        <v>200.68</v>
      </c>
      <c r="Y3600" s="3">
        <v>86.01</v>
      </c>
    </row>
    <row r="3601" spans="1:25" ht="60.75" x14ac:dyDescent="0.25">
      <c r="A3601" s="3" t="s">
        <v>26</v>
      </c>
      <c r="B3601" s="3" t="s">
        <v>27</v>
      </c>
      <c r="C3601" s="3" t="s">
        <v>28</v>
      </c>
      <c r="D3601" s="3" t="s">
        <v>29</v>
      </c>
      <c r="E3601" s="3" t="s">
        <v>119</v>
      </c>
      <c r="F3601" s="3" t="s">
        <v>31</v>
      </c>
      <c r="G3601" s="3" t="s">
        <v>119</v>
      </c>
      <c r="H3601" s="3" t="s">
        <v>96</v>
      </c>
      <c r="I3601" s="3">
        <v>2025</v>
      </c>
      <c r="J3601" s="3" t="str">
        <f>CONCATENATE("54820040258")</f>
        <v>54820040258</v>
      </c>
      <c r="K3601" s="3" t="s">
        <v>33</v>
      </c>
      <c r="L3601" s="3"/>
      <c r="M3601" s="3" t="s">
        <v>131</v>
      </c>
      <c r="N3601" s="3" t="str">
        <f>CONCATENATE("PLLGNN55R65C935L")</f>
        <v>PLLGNN55R65C935L</v>
      </c>
      <c r="O3601" s="3" t="s">
        <v>3718</v>
      </c>
      <c r="P3601" s="3" t="s">
        <v>36</v>
      </c>
      <c r="Q3601" s="3"/>
      <c r="R3601" s="4">
        <v>45996</v>
      </c>
      <c r="S3601" s="3" t="s">
        <v>37</v>
      </c>
      <c r="T3601" s="3" t="s">
        <v>38</v>
      </c>
      <c r="U3601" s="3" t="s">
        <v>39</v>
      </c>
      <c r="V3601" s="3">
        <v>125.7</v>
      </c>
      <c r="W3601" s="3">
        <v>53.42</v>
      </c>
      <c r="X3601" s="3">
        <v>50.59</v>
      </c>
      <c r="Y3601" s="3">
        <v>21.69</v>
      </c>
    </row>
    <row r="3602" spans="1:25" ht="60.75" x14ac:dyDescent="0.25">
      <c r="A3602" s="3" t="s">
        <v>26</v>
      </c>
      <c r="B3602" s="3" t="s">
        <v>27</v>
      </c>
      <c r="C3602" s="3" t="s">
        <v>28</v>
      </c>
      <c r="D3602" s="3" t="s">
        <v>29</v>
      </c>
      <c r="E3602" s="3" t="s">
        <v>47</v>
      </c>
      <c r="F3602" s="3" t="s">
        <v>31</v>
      </c>
      <c r="G3602" s="3" t="s">
        <v>47</v>
      </c>
      <c r="H3602" s="3" t="s">
        <v>48</v>
      </c>
      <c r="I3602" s="3">
        <v>2025</v>
      </c>
      <c r="J3602" s="3" t="str">
        <f>CONCATENATE("54820010871")</f>
        <v>54820010871</v>
      </c>
      <c r="K3602" s="3" t="s">
        <v>33</v>
      </c>
      <c r="L3602" s="3"/>
      <c r="M3602" s="3" t="s">
        <v>131</v>
      </c>
      <c r="N3602" s="3" t="str">
        <f>CONCATENATE("CSCRSR92P04D451W")</f>
        <v>CSCRSR92P04D451W</v>
      </c>
      <c r="O3602" s="3" t="s">
        <v>3719</v>
      </c>
      <c r="P3602" s="3" t="s">
        <v>36</v>
      </c>
      <c r="Q3602" s="3"/>
      <c r="R3602" s="4">
        <v>45996</v>
      </c>
      <c r="S3602" s="3" t="s">
        <v>37</v>
      </c>
      <c r="T3602" s="3" t="s">
        <v>38</v>
      </c>
      <c r="U3602" s="3" t="s">
        <v>39</v>
      </c>
      <c r="V3602" s="3">
        <v>148.44999999999999</v>
      </c>
      <c r="W3602" s="3">
        <v>63.09</v>
      </c>
      <c r="X3602" s="3">
        <v>59.75</v>
      </c>
      <c r="Y3602" s="3">
        <v>25.61</v>
      </c>
    </row>
    <row r="3603" spans="1:25" ht="60.75" x14ac:dyDescent="0.25">
      <c r="A3603" s="3" t="s">
        <v>26</v>
      </c>
      <c r="B3603" s="3" t="s">
        <v>27</v>
      </c>
      <c r="C3603" s="3" t="s">
        <v>28</v>
      </c>
      <c r="D3603" s="3" t="s">
        <v>157</v>
      </c>
      <c r="E3603" s="3" t="s">
        <v>158</v>
      </c>
      <c r="F3603" s="3" t="s">
        <v>159</v>
      </c>
      <c r="G3603" s="3" t="s">
        <v>158</v>
      </c>
      <c r="H3603" s="3" t="s">
        <v>45</v>
      </c>
      <c r="I3603" s="3">
        <v>2025</v>
      </c>
      <c r="J3603" s="3" t="str">
        <f>CONCATENATE("54820025515")</f>
        <v>54820025515</v>
      </c>
      <c r="K3603" s="3" t="s">
        <v>33</v>
      </c>
      <c r="L3603" s="3"/>
      <c r="M3603" s="3" t="s">
        <v>131</v>
      </c>
      <c r="N3603" s="3" t="str">
        <f>CONCATENATE("RNGCLR51C45D749K")</f>
        <v>RNGCLR51C45D749K</v>
      </c>
      <c r="O3603" s="3" t="s">
        <v>3720</v>
      </c>
      <c r="P3603" s="3" t="s">
        <v>36</v>
      </c>
      <c r="Q3603" s="3"/>
      <c r="R3603" s="4">
        <v>45996</v>
      </c>
      <c r="S3603" s="3" t="s">
        <v>37</v>
      </c>
      <c r="T3603" s="3" t="s">
        <v>38</v>
      </c>
      <c r="U3603" s="3" t="s">
        <v>39</v>
      </c>
      <c r="V3603" s="3">
        <v>94.16</v>
      </c>
      <c r="W3603" s="3">
        <v>40.020000000000003</v>
      </c>
      <c r="X3603" s="3">
        <v>37.9</v>
      </c>
      <c r="Y3603" s="3">
        <v>16.239999999999998</v>
      </c>
    </row>
    <row r="3604" spans="1:25" ht="60.75" x14ac:dyDescent="0.25">
      <c r="A3604" s="3" t="s">
        <v>26</v>
      </c>
      <c r="B3604" s="3" t="s">
        <v>27</v>
      </c>
      <c r="C3604" s="3" t="s">
        <v>28</v>
      </c>
      <c r="D3604" s="3" t="s">
        <v>29</v>
      </c>
      <c r="E3604" s="3" t="s">
        <v>68</v>
      </c>
      <c r="F3604" s="3" t="s">
        <v>31</v>
      </c>
      <c r="G3604" s="3" t="s">
        <v>68</v>
      </c>
      <c r="H3604" s="3" t="s">
        <v>32</v>
      </c>
      <c r="I3604" s="3">
        <v>2025</v>
      </c>
      <c r="J3604" s="3" t="str">
        <f>CONCATENATE("54820031240")</f>
        <v>54820031240</v>
      </c>
      <c r="K3604" s="3" t="s">
        <v>33</v>
      </c>
      <c r="L3604" s="3"/>
      <c r="M3604" s="3" t="s">
        <v>131</v>
      </c>
      <c r="N3604" s="3" t="str">
        <f>CONCATENATE("BCSPRZ61S52C582Y")</f>
        <v>BCSPRZ61S52C582Y</v>
      </c>
      <c r="O3604" s="3" t="s">
        <v>3721</v>
      </c>
      <c r="P3604" s="3" t="s">
        <v>36</v>
      </c>
      <c r="Q3604" s="3"/>
      <c r="R3604" s="4">
        <v>45996</v>
      </c>
      <c r="S3604" s="3" t="s">
        <v>37</v>
      </c>
      <c r="T3604" s="3" t="s">
        <v>38</v>
      </c>
      <c r="U3604" s="3" t="s">
        <v>39</v>
      </c>
      <c r="V3604" s="3">
        <v>128.07</v>
      </c>
      <c r="W3604" s="3">
        <v>54.43</v>
      </c>
      <c r="X3604" s="3">
        <v>51.55</v>
      </c>
      <c r="Y3604" s="3">
        <v>22.09</v>
      </c>
    </row>
    <row r="3605" spans="1:25" ht="60.75" x14ac:dyDescent="0.25">
      <c r="A3605" s="3" t="s">
        <v>26</v>
      </c>
      <c r="B3605" s="3" t="s">
        <v>27</v>
      </c>
      <c r="C3605" s="3" t="s">
        <v>28</v>
      </c>
      <c r="D3605" s="3" t="s">
        <v>29</v>
      </c>
      <c r="E3605" s="3" t="s">
        <v>72</v>
      </c>
      <c r="F3605" s="3" t="s">
        <v>31</v>
      </c>
      <c r="G3605" s="3" t="s">
        <v>72</v>
      </c>
      <c r="H3605" s="3" t="s">
        <v>45</v>
      </c>
      <c r="I3605" s="3">
        <v>2025</v>
      </c>
      <c r="J3605" s="3" t="str">
        <f>CONCATENATE("54820159355")</f>
        <v>54820159355</v>
      </c>
      <c r="K3605" s="3" t="s">
        <v>33</v>
      </c>
      <c r="L3605" s="3"/>
      <c r="M3605" s="3" t="s">
        <v>131</v>
      </c>
      <c r="N3605" s="3" t="str">
        <f>CONCATENATE("NRALRT59M07L498Z")</f>
        <v>NRALRT59M07L498Z</v>
      </c>
      <c r="O3605" s="3" t="s">
        <v>3722</v>
      </c>
      <c r="P3605" s="3" t="s">
        <v>36</v>
      </c>
      <c r="Q3605" s="3"/>
      <c r="R3605" s="4">
        <v>45996</v>
      </c>
      <c r="S3605" s="3" t="s">
        <v>37</v>
      </c>
      <c r="T3605" s="3" t="s">
        <v>38</v>
      </c>
      <c r="U3605" s="3" t="s">
        <v>39</v>
      </c>
      <c r="V3605" s="3">
        <v>174.96</v>
      </c>
      <c r="W3605" s="3">
        <v>74.36</v>
      </c>
      <c r="X3605" s="3">
        <v>70.42</v>
      </c>
      <c r="Y3605" s="3">
        <v>30.18</v>
      </c>
    </row>
    <row r="3606" spans="1:25" ht="36.75" x14ac:dyDescent="0.25">
      <c r="A3606" s="3" t="s">
        <v>26</v>
      </c>
      <c r="B3606" s="3" t="s">
        <v>27</v>
      </c>
      <c r="C3606" s="3" t="s">
        <v>28</v>
      </c>
      <c r="D3606" s="3" t="s">
        <v>40</v>
      </c>
      <c r="E3606" s="3" t="s">
        <v>287</v>
      </c>
      <c r="F3606" s="3" t="s">
        <v>42</v>
      </c>
      <c r="G3606" s="3" t="s">
        <v>287</v>
      </c>
      <c r="H3606" s="3" t="s">
        <v>32</v>
      </c>
      <c r="I3606" s="3">
        <v>2025</v>
      </c>
      <c r="J3606" s="3" t="str">
        <f>CONCATENATE("54820020193")</f>
        <v>54820020193</v>
      </c>
      <c r="K3606" s="3" t="s">
        <v>33</v>
      </c>
      <c r="L3606" s="3"/>
      <c r="M3606" s="3" t="s">
        <v>131</v>
      </c>
      <c r="N3606" s="3" t="str">
        <f>CONCATENATE("01866910431")</f>
        <v>01866910431</v>
      </c>
      <c r="O3606" s="3" t="s">
        <v>3723</v>
      </c>
      <c r="P3606" s="3" t="s">
        <v>36</v>
      </c>
      <c r="Q3606" s="3"/>
      <c r="R3606" s="4">
        <v>45996</v>
      </c>
      <c r="S3606" s="3" t="s">
        <v>37</v>
      </c>
      <c r="T3606" s="3" t="s">
        <v>38</v>
      </c>
      <c r="U3606" s="3" t="s">
        <v>39</v>
      </c>
      <c r="V3606" s="3">
        <v>693.16</v>
      </c>
      <c r="W3606" s="3">
        <v>294.58999999999997</v>
      </c>
      <c r="X3606" s="3">
        <v>279</v>
      </c>
      <c r="Y3606" s="3">
        <v>119.57</v>
      </c>
    </row>
    <row r="3607" spans="1:25" ht="72.75" x14ac:dyDescent="0.25">
      <c r="A3607" s="3" t="s">
        <v>26</v>
      </c>
      <c r="B3607" s="3" t="s">
        <v>27</v>
      </c>
      <c r="C3607" s="3" t="s">
        <v>28</v>
      </c>
      <c r="D3607" s="3" t="s">
        <v>40</v>
      </c>
      <c r="E3607" s="3" t="s">
        <v>287</v>
      </c>
      <c r="F3607" s="3" t="s">
        <v>42</v>
      </c>
      <c r="G3607" s="3" t="s">
        <v>287</v>
      </c>
      <c r="H3607" s="3" t="s">
        <v>32</v>
      </c>
      <c r="I3607" s="3">
        <v>2025</v>
      </c>
      <c r="J3607" s="3" t="str">
        <f>CONCATENATE("54820017389")</f>
        <v>54820017389</v>
      </c>
      <c r="K3607" s="3" t="s">
        <v>33</v>
      </c>
      <c r="L3607" s="3"/>
      <c r="M3607" s="3" t="s">
        <v>131</v>
      </c>
      <c r="N3607" s="3" t="str">
        <f>CONCATENATE("RMNRSL44L46G637B")</f>
        <v>RMNRSL44L46G637B</v>
      </c>
      <c r="O3607" s="3" t="s">
        <v>3724</v>
      </c>
      <c r="P3607" s="3" t="s">
        <v>36</v>
      </c>
      <c r="Q3607" s="3"/>
      <c r="R3607" s="4">
        <v>45996</v>
      </c>
      <c r="S3607" s="3" t="s">
        <v>37</v>
      </c>
      <c r="T3607" s="3" t="s">
        <v>38</v>
      </c>
      <c r="U3607" s="3" t="s">
        <v>39</v>
      </c>
      <c r="V3607" s="3">
        <v>286.61</v>
      </c>
      <c r="W3607" s="3">
        <v>121.81</v>
      </c>
      <c r="X3607" s="3">
        <v>115.36</v>
      </c>
      <c r="Y3607" s="3">
        <v>49.44</v>
      </c>
    </row>
    <row r="3608" spans="1:25" ht="60.75" x14ac:dyDescent="0.25">
      <c r="A3608" s="3" t="s">
        <v>26</v>
      </c>
      <c r="B3608" s="3" t="s">
        <v>27</v>
      </c>
      <c r="C3608" s="3" t="s">
        <v>28</v>
      </c>
      <c r="D3608" s="3" t="s">
        <v>40</v>
      </c>
      <c r="E3608" s="3" t="s">
        <v>287</v>
      </c>
      <c r="F3608" s="3" t="s">
        <v>42</v>
      </c>
      <c r="G3608" s="3" t="s">
        <v>287</v>
      </c>
      <c r="H3608" s="3" t="s">
        <v>32</v>
      </c>
      <c r="I3608" s="3">
        <v>2025</v>
      </c>
      <c r="J3608" s="3" t="str">
        <f>CONCATENATE("54820015698")</f>
        <v>54820015698</v>
      </c>
      <c r="K3608" s="3" t="s">
        <v>33</v>
      </c>
      <c r="L3608" s="3"/>
      <c r="M3608" s="3" t="s">
        <v>131</v>
      </c>
      <c r="N3608" s="3" t="str">
        <f>CONCATENATE("CNGLSN74P02B474U")</f>
        <v>CNGLSN74P02B474U</v>
      </c>
      <c r="O3608" s="3" t="s">
        <v>3725</v>
      </c>
      <c r="P3608" s="3" t="s">
        <v>36</v>
      </c>
      <c r="Q3608" s="3"/>
      <c r="R3608" s="4">
        <v>45996</v>
      </c>
      <c r="S3608" s="3" t="s">
        <v>37</v>
      </c>
      <c r="T3608" s="3" t="s">
        <v>38</v>
      </c>
      <c r="U3608" s="3" t="s">
        <v>39</v>
      </c>
      <c r="V3608" s="3">
        <v>989.77</v>
      </c>
      <c r="W3608" s="3">
        <v>420.65</v>
      </c>
      <c r="X3608" s="3">
        <v>398.38</v>
      </c>
      <c r="Y3608" s="3">
        <v>170.74</v>
      </c>
    </row>
    <row r="3609" spans="1:25" ht="60.75" x14ac:dyDescent="0.25">
      <c r="A3609" s="3" t="s">
        <v>26</v>
      </c>
      <c r="B3609" s="3" t="s">
        <v>27</v>
      </c>
      <c r="C3609" s="3" t="s">
        <v>28</v>
      </c>
      <c r="D3609" s="3" t="s">
        <v>50</v>
      </c>
      <c r="E3609" s="3" t="s">
        <v>51</v>
      </c>
      <c r="F3609" s="3" t="s">
        <v>52</v>
      </c>
      <c r="G3609" s="3" t="s">
        <v>51</v>
      </c>
      <c r="H3609" s="3" t="s">
        <v>48</v>
      </c>
      <c r="I3609" s="3">
        <v>2025</v>
      </c>
      <c r="J3609" s="3" t="str">
        <f>CONCATENATE("54820043732")</f>
        <v>54820043732</v>
      </c>
      <c r="K3609" s="3" t="s">
        <v>33</v>
      </c>
      <c r="L3609" s="3"/>
      <c r="M3609" s="3" t="s">
        <v>131</v>
      </c>
      <c r="N3609" s="3" t="str">
        <f>CONCATENATE("CCCDVD39H22A366S")</f>
        <v>CCCDVD39H22A366S</v>
      </c>
      <c r="O3609" s="3" t="s">
        <v>3726</v>
      </c>
      <c r="P3609" s="3" t="s">
        <v>36</v>
      </c>
      <c r="Q3609" s="3"/>
      <c r="R3609" s="4">
        <v>45996</v>
      </c>
      <c r="S3609" s="3" t="s">
        <v>37</v>
      </c>
      <c r="T3609" s="3" t="s">
        <v>38</v>
      </c>
      <c r="U3609" s="3" t="s">
        <v>39</v>
      </c>
      <c r="V3609" s="3">
        <v>293.02</v>
      </c>
      <c r="W3609" s="3">
        <v>124.53</v>
      </c>
      <c r="X3609" s="3">
        <v>117.94</v>
      </c>
      <c r="Y3609" s="3">
        <v>50.55</v>
      </c>
    </row>
    <row r="3610" spans="1:25" ht="60.75" x14ac:dyDescent="0.25">
      <c r="A3610" s="3" t="s">
        <v>26</v>
      </c>
      <c r="B3610" s="3" t="s">
        <v>27</v>
      </c>
      <c r="C3610" s="3" t="s">
        <v>28</v>
      </c>
      <c r="D3610" s="3" t="s">
        <v>40</v>
      </c>
      <c r="E3610" s="3" t="s">
        <v>287</v>
      </c>
      <c r="F3610" s="3" t="s">
        <v>42</v>
      </c>
      <c r="G3610" s="3" t="s">
        <v>287</v>
      </c>
      <c r="H3610" s="3" t="s">
        <v>32</v>
      </c>
      <c r="I3610" s="3">
        <v>2025</v>
      </c>
      <c r="J3610" s="3" t="str">
        <f>CONCATENATE("54820016829")</f>
        <v>54820016829</v>
      </c>
      <c r="K3610" s="3" t="s">
        <v>33</v>
      </c>
      <c r="L3610" s="3"/>
      <c r="M3610" s="3" t="s">
        <v>131</v>
      </c>
      <c r="N3610" s="3" t="str">
        <f>CONCATENATE("PGTRNZ50T10B474K")</f>
        <v>PGTRNZ50T10B474K</v>
      </c>
      <c r="O3610" s="3" t="s">
        <v>3727</v>
      </c>
      <c r="P3610" s="3" t="s">
        <v>36</v>
      </c>
      <c r="Q3610" s="3"/>
      <c r="R3610" s="4">
        <v>45996</v>
      </c>
      <c r="S3610" s="3" t="s">
        <v>37</v>
      </c>
      <c r="T3610" s="3" t="s">
        <v>38</v>
      </c>
      <c r="U3610" s="3" t="s">
        <v>39</v>
      </c>
      <c r="V3610" s="3">
        <v>222.62</v>
      </c>
      <c r="W3610" s="3">
        <v>94.61</v>
      </c>
      <c r="X3610" s="3">
        <v>89.6</v>
      </c>
      <c r="Y3610" s="3">
        <v>38.409999999999997</v>
      </c>
    </row>
    <row r="3611" spans="1:25" ht="60.75" x14ac:dyDescent="0.25">
      <c r="A3611" s="3" t="s">
        <v>26</v>
      </c>
      <c r="B3611" s="3" t="s">
        <v>27</v>
      </c>
      <c r="C3611" s="3" t="s">
        <v>28</v>
      </c>
      <c r="D3611" s="3" t="s">
        <v>29</v>
      </c>
      <c r="E3611" s="3" t="s">
        <v>136</v>
      </c>
      <c r="F3611" s="3" t="s">
        <v>31</v>
      </c>
      <c r="G3611" s="3" t="s">
        <v>136</v>
      </c>
      <c r="H3611" s="3" t="s">
        <v>48</v>
      </c>
      <c r="I3611" s="3">
        <v>2025</v>
      </c>
      <c r="J3611" s="3" t="str">
        <f>CONCATENATE("54820018973")</f>
        <v>54820018973</v>
      </c>
      <c r="K3611" s="3" t="s">
        <v>33</v>
      </c>
      <c r="L3611" s="3"/>
      <c r="M3611" s="3" t="s">
        <v>131</v>
      </c>
      <c r="N3611" s="3" t="str">
        <f>CONCATENATE("TTVGNI32T15I461H")</f>
        <v>TTVGNI32T15I461H</v>
      </c>
      <c r="O3611" s="3" t="s">
        <v>3728</v>
      </c>
      <c r="P3611" s="3" t="s">
        <v>36</v>
      </c>
      <c r="Q3611" s="3"/>
      <c r="R3611" s="4">
        <v>45996</v>
      </c>
      <c r="S3611" s="3" t="s">
        <v>37</v>
      </c>
      <c r="T3611" s="3" t="s">
        <v>38</v>
      </c>
      <c r="U3611" s="3" t="s">
        <v>39</v>
      </c>
      <c r="V3611" s="3">
        <v>191.22</v>
      </c>
      <c r="W3611" s="3">
        <v>81.27</v>
      </c>
      <c r="X3611" s="3">
        <v>76.97</v>
      </c>
      <c r="Y3611" s="3">
        <v>32.979999999999997</v>
      </c>
    </row>
    <row r="3612" spans="1:25" ht="60.75" x14ac:dyDescent="0.25">
      <c r="A3612" s="3" t="s">
        <v>26</v>
      </c>
      <c r="B3612" s="3" t="s">
        <v>27</v>
      </c>
      <c r="C3612" s="3" t="s">
        <v>28</v>
      </c>
      <c r="D3612" s="3" t="s">
        <v>29</v>
      </c>
      <c r="E3612" s="3" t="s">
        <v>136</v>
      </c>
      <c r="F3612" s="3" t="s">
        <v>31</v>
      </c>
      <c r="G3612" s="3" t="s">
        <v>136</v>
      </c>
      <c r="H3612" s="3" t="s">
        <v>48</v>
      </c>
      <c r="I3612" s="3">
        <v>2025</v>
      </c>
      <c r="J3612" s="3" t="str">
        <f>CONCATENATE("54820028550")</f>
        <v>54820028550</v>
      </c>
      <c r="K3612" s="3" t="s">
        <v>33</v>
      </c>
      <c r="L3612" s="3"/>
      <c r="M3612" s="3" t="s">
        <v>131</v>
      </c>
      <c r="N3612" s="3" t="str">
        <f>CONCATENATE("MNCVND57S53A366W")</f>
        <v>MNCVND57S53A366W</v>
      </c>
      <c r="O3612" s="3" t="s">
        <v>3729</v>
      </c>
      <c r="P3612" s="3" t="s">
        <v>36</v>
      </c>
      <c r="Q3612" s="3"/>
      <c r="R3612" s="4">
        <v>45996</v>
      </c>
      <c r="S3612" s="3" t="s">
        <v>37</v>
      </c>
      <c r="T3612" s="3" t="s">
        <v>38</v>
      </c>
      <c r="U3612" s="3" t="s">
        <v>39</v>
      </c>
      <c r="V3612" s="3">
        <v>109.19</v>
      </c>
      <c r="W3612" s="3">
        <v>46.41</v>
      </c>
      <c r="X3612" s="3">
        <v>43.95</v>
      </c>
      <c r="Y3612" s="3">
        <v>18.829999999999998</v>
      </c>
    </row>
    <row r="3613" spans="1:25" ht="72.75" x14ac:dyDescent="0.25">
      <c r="A3613" s="3" t="s">
        <v>26</v>
      </c>
      <c r="B3613" s="3" t="s">
        <v>27</v>
      </c>
      <c r="C3613" s="3" t="s">
        <v>28</v>
      </c>
      <c r="D3613" s="3" t="s">
        <v>50</v>
      </c>
      <c r="E3613" s="3" t="s">
        <v>173</v>
      </c>
      <c r="F3613" s="3" t="s">
        <v>52</v>
      </c>
      <c r="G3613" s="3" t="s">
        <v>173</v>
      </c>
      <c r="H3613" s="3" t="s">
        <v>45</v>
      </c>
      <c r="I3613" s="3">
        <v>2025</v>
      </c>
      <c r="J3613" s="3" t="str">
        <f>CONCATENATE("54820042254")</f>
        <v>54820042254</v>
      </c>
      <c r="K3613" s="3" t="s">
        <v>33</v>
      </c>
      <c r="L3613" s="3"/>
      <c r="M3613" s="3" t="s">
        <v>131</v>
      </c>
      <c r="N3613" s="3" t="str">
        <f>CONCATENATE("MGARCR74C15E785Q")</f>
        <v>MGARCR74C15E785Q</v>
      </c>
      <c r="O3613" s="3" t="s">
        <v>3730</v>
      </c>
      <c r="P3613" s="3" t="s">
        <v>36</v>
      </c>
      <c r="Q3613" s="3"/>
      <c r="R3613" s="4">
        <v>45996</v>
      </c>
      <c r="S3613" s="3" t="s">
        <v>37</v>
      </c>
      <c r="T3613" s="3" t="s">
        <v>38</v>
      </c>
      <c r="U3613" s="3" t="s">
        <v>39</v>
      </c>
      <c r="V3613" s="3">
        <v>185.1</v>
      </c>
      <c r="W3613" s="3">
        <v>78.67</v>
      </c>
      <c r="X3613" s="3">
        <v>74.5</v>
      </c>
      <c r="Y3613" s="3">
        <v>31.93</v>
      </c>
    </row>
    <row r="3614" spans="1:25" ht="60.75" x14ac:dyDescent="0.25">
      <c r="A3614" s="3" t="s">
        <v>26</v>
      </c>
      <c r="B3614" s="3" t="s">
        <v>27</v>
      </c>
      <c r="C3614" s="3" t="s">
        <v>28</v>
      </c>
      <c r="D3614" s="3" t="s">
        <v>29</v>
      </c>
      <c r="E3614" s="3" t="s">
        <v>119</v>
      </c>
      <c r="F3614" s="3" t="s">
        <v>31</v>
      </c>
      <c r="G3614" s="3" t="s">
        <v>119</v>
      </c>
      <c r="H3614" s="3" t="s">
        <v>96</v>
      </c>
      <c r="I3614" s="3">
        <v>2025</v>
      </c>
      <c r="J3614" s="3" t="str">
        <f>CONCATENATE("54820018981")</f>
        <v>54820018981</v>
      </c>
      <c r="K3614" s="3" t="s">
        <v>33</v>
      </c>
      <c r="L3614" s="3"/>
      <c r="M3614" s="3" t="s">
        <v>131</v>
      </c>
      <c r="N3614" s="3" t="str">
        <f>CONCATENATE("FZLGPP53E61A252I")</f>
        <v>FZLGPP53E61A252I</v>
      </c>
      <c r="O3614" s="3" t="s">
        <v>3731</v>
      </c>
      <c r="P3614" s="3" t="s">
        <v>36</v>
      </c>
      <c r="Q3614" s="3"/>
      <c r="R3614" s="4">
        <v>45996</v>
      </c>
      <c r="S3614" s="3" t="s">
        <v>37</v>
      </c>
      <c r="T3614" s="3" t="s">
        <v>38</v>
      </c>
      <c r="U3614" s="3" t="s">
        <v>39</v>
      </c>
      <c r="V3614" s="3">
        <v>185.74</v>
      </c>
      <c r="W3614" s="3">
        <v>78.94</v>
      </c>
      <c r="X3614" s="3">
        <v>74.760000000000005</v>
      </c>
      <c r="Y3614" s="3">
        <v>32.04</v>
      </c>
    </row>
    <row r="3615" spans="1:25" ht="72.75" x14ac:dyDescent="0.25">
      <c r="A3615" s="3" t="s">
        <v>26</v>
      </c>
      <c r="B3615" s="3" t="s">
        <v>27</v>
      </c>
      <c r="C3615" s="3" t="s">
        <v>28</v>
      </c>
      <c r="D3615" s="3" t="s">
        <v>29</v>
      </c>
      <c r="E3615" s="3" t="s">
        <v>80</v>
      </c>
      <c r="F3615" s="3" t="s">
        <v>31</v>
      </c>
      <c r="G3615" s="3" t="s">
        <v>80</v>
      </c>
      <c r="H3615" s="3" t="s">
        <v>45</v>
      </c>
      <c r="I3615" s="3">
        <v>2025</v>
      </c>
      <c r="J3615" s="3" t="str">
        <f>CONCATENATE("54820040456")</f>
        <v>54820040456</v>
      </c>
      <c r="K3615" s="3" t="s">
        <v>33</v>
      </c>
      <c r="L3615" s="3"/>
      <c r="M3615" s="3" t="s">
        <v>131</v>
      </c>
      <c r="N3615" s="3" t="str">
        <f>CONCATENATE("SLVMRA46B28D791O")</f>
        <v>SLVMRA46B28D791O</v>
      </c>
      <c r="O3615" s="3" t="s">
        <v>3732</v>
      </c>
      <c r="P3615" s="3" t="s">
        <v>36</v>
      </c>
      <c r="Q3615" s="3"/>
      <c r="R3615" s="4">
        <v>45996</v>
      </c>
      <c r="S3615" s="3" t="s">
        <v>37</v>
      </c>
      <c r="T3615" s="3" t="s">
        <v>38</v>
      </c>
      <c r="U3615" s="3" t="s">
        <v>39</v>
      </c>
      <c r="V3615" s="3">
        <v>57.71</v>
      </c>
      <c r="W3615" s="3">
        <v>24.53</v>
      </c>
      <c r="X3615" s="3">
        <v>23.23</v>
      </c>
      <c r="Y3615" s="3">
        <v>9.9499999999999993</v>
      </c>
    </row>
    <row r="3616" spans="1:25" ht="60.75" x14ac:dyDescent="0.25">
      <c r="A3616" s="3" t="s">
        <v>26</v>
      </c>
      <c r="B3616" s="3" t="s">
        <v>27</v>
      </c>
      <c r="C3616" s="3" t="s">
        <v>28</v>
      </c>
      <c r="D3616" s="3" t="s">
        <v>29</v>
      </c>
      <c r="E3616" s="3" t="s">
        <v>119</v>
      </c>
      <c r="F3616" s="3" t="s">
        <v>31</v>
      </c>
      <c r="G3616" s="3" t="s">
        <v>119</v>
      </c>
      <c r="H3616" s="3" t="s">
        <v>96</v>
      </c>
      <c r="I3616" s="3">
        <v>2025</v>
      </c>
      <c r="J3616" s="3" t="str">
        <f>CONCATENATE("54820018809")</f>
        <v>54820018809</v>
      </c>
      <c r="K3616" s="3" t="s">
        <v>33</v>
      </c>
      <c r="L3616" s="3"/>
      <c r="M3616" s="3" t="s">
        <v>131</v>
      </c>
      <c r="N3616" s="3" t="str">
        <f>CONCATENATE("SCMNZR66B25F509E")</f>
        <v>SCMNZR66B25F509E</v>
      </c>
      <c r="O3616" s="3" t="s">
        <v>3733</v>
      </c>
      <c r="P3616" s="3" t="s">
        <v>36</v>
      </c>
      <c r="Q3616" s="3"/>
      <c r="R3616" s="4">
        <v>45996</v>
      </c>
      <c r="S3616" s="3" t="s">
        <v>37</v>
      </c>
      <c r="T3616" s="3" t="s">
        <v>38</v>
      </c>
      <c r="U3616" s="3" t="s">
        <v>39</v>
      </c>
      <c r="V3616" s="3">
        <v>50.02</v>
      </c>
      <c r="W3616" s="3">
        <v>21.26</v>
      </c>
      <c r="X3616" s="3">
        <v>20.13</v>
      </c>
      <c r="Y3616" s="3">
        <v>8.6300000000000008</v>
      </c>
    </row>
    <row r="3617" spans="1:25" ht="60.75" x14ac:dyDescent="0.25">
      <c r="A3617" s="3" t="s">
        <v>26</v>
      </c>
      <c r="B3617" s="3" t="s">
        <v>27</v>
      </c>
      <c r="C3617" s="3" t="s">
        <v>28</v>
      </c>
      <c r="D3617" s="3" t="s">
        <v>29</v>
      </c>
      <c r="E3617" s="3" t="s">
        <v>186</v>
      </c>
      <c r="F3617" s="3" t="s">
        <v>31</v>
      </c>
      <c r="G3617" s="3" t="s">
        <v>186</v>
      </c>
      <c r="H3617" s="3" t="s">
        <v>45</v>
      </c>
      <c r="I3617" s="3">
        <v>2025</v>
      </c>
      <c r="J3617" s="3" t="str">
        <f>CONCATENATE("54820026448")</f>
        <v>54820026448</v>
      </c>
      <c r="K3617" s="3" t="s">
        <v>33</v>
      </c>
      <c r="L3617" s="3"/>
      <c r="M3617" s="3" t="s">
        <v>131</v>
      </c>
      <c r="N3617" s="3" t="str">
        <f>CONCATENATE("MTANTN58C14E785A")</f>
        <v>MTANTN58C14E785A</v>
      </c>
      <c r="O3617" s="3" t="s">
        <v>3734</v>
      </c>
      <c r="P3617" s="3" t="s">
        <v>36</v>
      </c>
      <c r="Q3617" s="3"/>
      <c r="R3617" s="4">
        <v>45996</v>
      </c>
      <c r="S3617" s="3" t="s">
        <v>37</v>
      </c>
      <c r="T3617" s="3" t="s">
        <v>38</v>
      </c>
      <c r="U3617" s="3" t="s">
        <v>39</v>
      </c>
      <c r="V3617" s="3">
        <v>419.32</v>
      </c>
      <c r="W3617" s="3">
        <v>178.21</v>
      </c>
      <c r="X3617" s="3">
        <v>168.78</v>
      </c>
      <c r="Y3617" s="3">
        <v>72.33</v>
      </c>
    </row>
    <row r="3618" spans="1:25" ht="36.75" x14ac:dyDescent="0.25">
      <c r="A3618" s="3" t="s">
        <v>26</v>
      </c>
      <c r="B3618" s="3" t="s">
        <v>27</v>
      </c>
      <c r="C3618" s="3" t="s">
        <v>28</v>
      </c>
      <c r="D3618" s="3" t="s">
        <v>40</v>
      </c>
      <c r="E3618" s="3" t="s">
        <v>287</v>
      </c>
      <c r="F3618" s="3" t="s">
        <v>42</v>
      </c>
      <c r="G3618" s="3" t="s">
        <v>287</v>
      </c>
      <c r="H3618" s="3" t="s">
        <v>32</v>
      </c>
      <c r="I3618" s="3">
        <v>2025</v>
      </c>
      <c r="J3618" s="3" t="str">
        <f>CONCATENATE("54820023999")</f>
        <v>54820023999</v>
      </c>
      <c r="K3618" s="3" t="s">
        <v>33</v>
      </c>
      <c r="L3618" s="3"/>
      <c r="M3618" s="3" t="s">
        <v>131</v>
      </c>
      <c r="N3618" s="3" t="str">
        <f>CONCATENATE("02107910438")</f>
        <v>02107910438</v>
      </c>
      <c r="O3618" s="3" t="s">
        <v>3735</v>
      </c>
      <c r="P3618" s="3" t="s">
        <v>36</v>
      </c>
      <c r="Q3618" s="3"/>
      <c r="R3618" s="4">
        <v>45996</v>
      </c>
      <c r="S3618" s="3" t="s">
        <v>37</v>
      </c>
      <c r="T3618" s="3" t="s">
        <v>38</v>
      </c>
      <c r="U3618" s="3" t="s">
        <v>39</v>
      </c>
      <c r="V3618" s="3">
        <v>472.52</v>
      </c>
      <c r="W3618" s="3">
        <v>200.82</v>
      </c>
      <c r="X3618" s="3">
        <v>190.19</v>
      </c>
      <c r="Y3618" s="3">
        <v>81.510000000000005</v>
      </c>
    </row>
    <row r="3619" spans="1:25" ht="72.75" x14ac:dyDescent="0.25">
      <c r="A3619" s="3" t="s">
        <v>26</v>
      </c>
      <c r="B3619" s="3" t="s">
        <v>27</v>
      </c>
      <c r="C3619" s="3" t="s">
        <v>28</v>
      </c>
      <c r="D3619" s="3" t="s">
        <v>104</v>
      </c>
      <c r="E3619" s="3" t="s">
        <v>691</v>
      </c>
      <c r="F3619" s="3" t="s">
        <v>104</v>
      </c>
      <c r="G3619" s="3" t="s">
        <v>691</v>
      </c>
      <c r="H3619" s="3" t="s">
        <v>48</v>
      </c>
      <c r="I3619" s="3">
        <v>2025</v>
      </c>
      <c r="J3619" s="3" t="str">
        <f>CONCATENATE("54820028667")</f>
        <v>54820028667</v>
      </c>
      <c r="K3619" s="3" t="s">
        <v>33</v>
      </c>
      <c r="L3619" s="3"/>
      <c r="M3619" s="3" t="s">
        <v>131</v>
      </c>
      <c r="N3619" s="3" t="str">
        <f>CONCATENATE("PLTGZN65R17D211V")</f>
        <v>PLTGZN65R17D211V</v>
      </c>
      <c r="O3619" s="3" t="s">
        <v>3736</v>
      </c>
      <c r="P3619" s="3" t="s">
        <v>36</v>
      </c>
      <c r="Q3619" s="3"/>
      <c r="R3619" s="4">
        <v>45996</v>
      </c>
      <c r="S3619" s="3" t="s">
        <v>37</v>
      </c>
      <c r="T3619" s="3" t="s">
        <v>38</v>
      </c>
      <c r="U3619" s="3" t="s">
        <v>39</v>
      </c>
      <c r="V3619" s="3">
        <v>110.28</v>
      </c>
      <c r="W3619" s="3">
        <v>46.87</v>
      </c>
      <c r="X3619" s="3">
        <v>44.39</v>
      </c>
      <c r="Y3619" s="3">
        <v>19.02</v>
      </c>
    </row>
    <row r="3620" spans="1:25" ht="60.75" x14ac:dyDescent="0.25">
      <c r="A3620" s="3" t="s">
        <v>26</v>
      </c>
      <c r="B3620" s="3" t="s">
        <v>27</v>
      </c>
      <c r="C3620" s="3" t="s">
        <v>28</v>
      </c>
      <c r="D3620" s="3" t="s">
        <v>91</v>
      </c>
      <c r="E3620" s="3" t="s">
        <v>92</v>
      </c>
      <c r="F3620" s="3" t="s">
        <v>93</v>
      </c>
      <c r="G3620" s="3" t="s">
        <v>92</v>
      </c>
      <c r="H3620" s="3" t="s">
        <v>48</v>
      </c>
      <c r="I3620" s="3">
        <v>2025</v>
      </c>
      <c r="J3620" s="3" t="str">
        <f>CONCATENATE("54820015532")</f>
        <v>54820015532</v>
      </c>
      <c r="K3620" s="3" t="s">
        <v>33</v>
      </c>
      <c r="L3620" s="3"/>
      <c r="M3620" s="3" t="s">
        <v>131</v>
      </c>
      <c r="N3620" s="3" t="str">
        <f>CONCATENATE("CTAMCH79D56D451P")</f>
        <v>CTAMCH79D56D451P</v>
      </c>
      <c r="O3620" s="3" t="s">
        <v>3737</v>
      </c>
      <c r="P3620" s="3" t="s">
        <v>36</v>
      </c>
      <c r="Q3620" s="3"/>
      <c r="R3620" s="4">
        <v>45996</v>
      </c>
      <c r="S3620" s="3" t="s">
        <v>37</v>
      </c>
      <c r="T3620" s="3" t="s">
        <v>38</v>
      </c>
      <c r="U3620" s="3" t="s">
        <v>39</v>
      </c>
      <c r="V3620" s="3">
        <v>361.3</v>
      </c>
      <c r="W3620" s="3">
        <v>153.55000000000001</v>
      </c>
      <c r="X3620" s="3">
        <v>145.41999999999999</v>
      </c>
      <c r="Y3620" s="3">
        <v>62.33</v>
      </c>
    </row>
    <row r="3621" spans="1:25" ht="72.75" x14ac:dyDescent="0.25">
      <c r="A3621" s="3" t="s">
        <v>26</v>
      </c>
      <c r="B3621" s="3" t="s">
        <v>27</v>
      </c>
      <c r="C3621" s="3" t="s">
        <v>28</v>
      </c>
      <c r="D3621" s="3" t="s">
        <v>29</v>
      </c>
      <c r="E3621" s="3" t="s">
        <v>72</v>
      </c>
      <c r="F3621" s="3" t="s">
        <v>31</v>
      </c>
      <c r="G3621" s="3" t="s">
        <v>72</v>
      </c>
      <c r="H3621" s="3" t="s">
        <v>45</v>
      </c>
      <c r="I3621" s="3">
        <v>2025</v>
      </c>
      <c r="J3621" s="3" t="str">
        <f>CONCATENATE("54820039912")</f>
        <v>54820039912</v>
      </c>
      <c r="K3621" s="3" t="s">
        <v>33</v>
      </c>
      <c r="L3621" s="3"/>
      <c r="M3621" s="3" t="s">
        <v>131</v>
      </c>
      <c r="N3621" s="3" t="str">
        <f>CONCATENATE("MRNMND67B48C745P")</f>
        <v>MRNMND67B48C745P</v>
      </c>
      <c r="O3621" s="3" t="s">
        <v>3738</v>
      </c>
      <c r="P3621" s="3" t="s">
        <v>36</v>
      </c>
      <c r="Q3621" s="3"/>
      <c r="R3621" s="4">
        <v>45996</v>
      </c>
      <c r="S3621" s="3" t="s">
        <v>37</v>
      </c>
      <c r="T3621" s="3" t="s">
        <v>38</v>
      </c>
      <c r="U3621" s="3" t="s">
        <v>39</v>
      </c>
      <c r="V3621" s="3">
        <v>268.74</v>
      </c>
      <c r="W3621" s="3">
        <v>114.21</v>
      </c>
      <c r="X3621" s="3">
        <v>108.17</v>
      </c>
      <c r="Y3621" s="3">
        <v>46.36</v>
      </c>
    </row>
    <row r="3622" spans="1:25" ht="60.75" x14ac:dyDescent="0.25">
      <c r="A3622" s="3" t="s">
        <v>26</v>
      </c>
      <c r="B3622" s="3" t="s">
        <v>27</v>
      </c>
      <c r="C3622" s="3" t="s">
        <v>28</v>
      </c>
      <c r="D3622" s="3" t="s">
        <v>29</v>
      </c>
      <c r="E3622" s="3" t="s">
        <v>186</v>
      </c>
      <c r="F3622" s="3" t="s">
        <v>31</v>
      </c>
      <c r="G3622" s="3" t="s">
        <v>186</v>
      </c>
      <c r="H3622" s="3" t="s">
        <v>45</v>
      </c>
      <c r="I3622" s="3">
        <v>2025</v>
      </c>
      <c r="J3622" s="3" t="str">
        <f>CONCATENATE("54820044334")</f>
        <v>54820044334</v>
      </c>
      <c r="K3622" s="3" t="s">
        <v>33</v>
      </c>
      <c r="L3622" s="3"/>
      <c r="M3622" s="3" t="s">
        <v>131</v>
      </c>
      <c r="N3622" s="3" t="str">
        <f>CONCATENATE("BTTMRZ58B23G551C")</f>
        <v>BTTMRZ58B23G551C</v>
      </c>
      <c r="O3622" s="3" t="s">
        <v>821</v>
      </c>
      <c r="P3622" s="3" t="s">
        <v>36</v>
      </c>
      <c r="Q3622" s="3"/>
      <c r="R3622" s="4">
        <v>45996</v>
      </c>
      <c r="S3622" s="3" t="s">
        <v>37</v>
      </c>
      <c r="T3622" s="3" t="s">
        <v>38</v>
      </c>
      <c r="U3622" s="3" t="s">
        <v>39</v>
      </c>
      <c r="V3622" s="5">
        <v>1127.96</v>
      </c>
      <c r="W3622" s="3">
        <v>479.38</v>
      </c>
      <c r="X3622" s="3">
        <v>454</v>
      </c>
      <c r="Y3622" s="3">
        <v>194.58</v>
      </c>
    </row>
    <row r="3623" spans="1:25" ht="60.75" x14ac:dyDescent="0.25">
      <c r="A3623" s="3" t="s">
        <v>26</v>
      </c>
      <c r="B3623" s="3" t="s">
        <v>27</v>
      </c>
      <c r="C3623" s="3" t="s">
        <v>28</v>
      </c>
      <c r="D3623" s="3" t="s">
        <v>40</v>
      </c>
      <c r="E3623" s="3" t="s">
        <v>287</v>
      </c>
      <c r="F3623" s="3" t="s">
        <v>42</v>
      </c>
      <c r="G3623" s="3" t="s">
        <v>287</v>
      </c>
      <c r="H3623" s="3" t="s">
        <v>32</v>
      </c>
      <c r="I3623" s="3">
        <v>2025</v>
      </c>
      <c r="J3623" s="3" t="str">
        <f>CONCATENATE("54820018528")</f>
        <v>54820018528</v>
      </c>
      <c r="K3623" s="3" t="s">
        <v>33</v>
      </c>
      <c r="L3623" s="3"/>
      <c r="M3623" s="3" t="s">
        <v>131</v>
      </c>
      <c r="N3623" s="3" t="str">
        <f>CONCATENATE("TMSFRZ66E10B474E")</f>
        <v>TMSFRZ66E10B474E</v>
      </c>
      <c r="O3623" s="3" t="s">
        <v>3739</v>
      </c>
      <c r="P3623" s="3" t="s">
        <v>36</v>
      </c>
      <c r="Q3623" s="3"/>
      <c r="R3623" s="4">
        <v>45996</v>
      </c>
      <c r="S3623" s="3" t="s">
        <v>37</v>
      </c>
      <c r="T3623" s="3" t="s">
        <v>38</v>
      </c>
      <c r="U3623" s="3" t="s">
        <v>39</v>
      </c>
      <c r="V3623" s="3">
        <v>482.52</v>
      </c>
      <c r="W3623" s="3">
        <v>205.07</v>
      </c>
      <c r="X3623" s="3">
        <v>194.21</v>
      </c>
      <c r="Y3623" s="3">
        <v>83.24</v>
      </c>
    </row>
    <row r="3624" spans="1:25" ht="72.75" x14ac:dyDescent="0.25">
      <c r="A3624" s="3" t="s">
        <v>26</v>
      </c>
      <c r="B3624" s="3" t="s">
        <v>27</v>
      </c>
      <c r="C3624" s="3" t="s">
        <v>28</v>
      </c>
      <c r="D3624" s="3" t="s">
        <v>29</v>
      </c>
      <c r="E3624" s="3" t="s">
        <v>186</v>
      </c>
      <c r="F3624" s="3" t="s">
        <v>31</v>
      </c>
      <c r="G3624" s="3" t="s">
        <v>186</v>
      </c>
      <c r="H3624" s="3" t="s">
        <v>45</v>
      </c>
      <c r="I3624" s="3">
        <v>2025</v>
      </c>
      <c r="J3624" s="3" t="str">
        <f>CONCATENATE("54820024443")</f>
        <v>54820024443</v>
      </c>
      <c r="K3624" s="3" t="s">
        <v>33</v>
      </c>
      <c r="L3624" s="3"/>
      <c r="M3624" s="3" t="s">
        <v>131</v>
      </c>
      <c r="N3624" s="3" t="str">
        <f>CONCATENATE("FRNGLN37H22B816R")</f>
        <v>FRNGLN37H22B816R</v>
      </c>
      <c r="O3624" s="3" t="s">
        <v>3740</v>
      </c>
      <c r="P3624" s="3" t="s">
        <v>36</v>
      </c>
      <c r="Q3624" s="3"/>
      <c r="R3624" s="4">
        <v>45996</v>
      </c>
      <c r="S3624" s="3" t="s">
        <v>37</v>
      </c>
      <c r="T3624" s="3" t="s">
        <v>38</v>
      </c>
      <c r="U3624" s="3" t="s">
        <v>39</v>
      </c>
      <c r="V3624" s="3">
        <v>159.75</v>
      </c>
      <c r="W3624" s="3">
        <v>67.89</v>
      </c>
      <c r="X3624" s="3">
        <v>64.3</v>
      </c>
      <c r="Y3624" s="3">
        <v>27.56</v>
      </c>
    </row>
    <row r="3625" spans="1:25" ht="72.75" x14ac:dyDescent="0.25">
      <c r="A3625" s="3" t="s">
        <v>26</v>
      </c>
      <c r="B3625" s="3" t="s">
        <v>27</v>
      </c>
      <c r="C3625" s="3" t="s">
        <v>28</v>
      </c>
      <c r="D3625" s="3" t="s">
        <v>29</v>
      </c>
      <c r="E3625" s="3" t="s">
        <v>119</v>
      </c>
      <c r="F3625" s="3" t="s">
        <v>31</v>
      </c>
      <c r="G3625" s="3" t="s">
        <v>119</v>
      </c>
      <c r="H3625" s="3" t="s">
        <v>96</v>
      </c>
      <c r="I3625" s="3">
        <v>2025</v>
      </c>
      <c r="J3625" s="3" t="str">
        <f>CONCATENATE("54820046156")</f>
        <v>54820046156</v>
      </c>
      <c r="K3625" s="3" t="s">
        <v>33</v>
      </c>
      <c r="L3625" s="3"/>
      <c r="M3625" s="3" t="s">
        <v>131</v>
      </c>
      <c r="N3625" s="3" t="str">
        <f>CONCATENATE("MDAGPR54B03F487H")</f>
        <v>MDAGPR54B03F487H</v>
      </c>
      <c r="O3625" s="3" t="s">
        <v>2453</v>
      </c>
      <c r="P3625" s="3" t="s">
        <v>36</v>
      </c>
      <c r="Q3625" s="3"/>
      <c r="R3625" s="4">
        <v>45996</v>
      </c>
      <c r="S3625" s="3" t="s">
        <v>37</v>
      </c>
      <c r="T3625" s="3" t="s">
        <v>38</v>
      </c>
      <c r="U3625" s="3" t="s">
        <v>39</v>
      </c>
      <c r="V3625" s="3">
        <v>99.5</v>
      </c>
      <c r="W3625" s="3">
        <v>42.29</v>
      </c>
      <c r="X3625" s="3">
        <v>40.049999999999997</v>
      </c>
      <c r="Y3625" s="3">
        <v>17.16</v>
      </c>
    </row>
    <row r="3626" spans="1:25" ht="60.75" x14ac:dyDescent="0.25">
      <c r="A3626" s="3" t="s">
        <v>26</v>
      </c>
      <c r="B3626" s="3" t="s">
        <v>27</v>
      </c>
      <c r="C3626" s="3" t="s">
        <v>28</v>
      </c>
      <c r="D3626" s="3" t="s">
        <v>40</v>
      </c>
      <c r="E3626" s="3" t="s">
        <v>287</v>
      </c>
      <c r="F3626" s="3" t="s">
        <v>42</v>
      </c>
      <c r="G3626" s="3" t="s">
        <v>287</v>
      </c>
      <c r="H3626" s="3" t="s">
        <v>32</v>
      </c>
      <c r="I3626" s="3">
        <v>2025</v>
      </c>
      <c r="J3626" s="3" t="str">
        <f>CONCATENATE("54820015813")</f>
        <v>54820015813</v>
      </c>
      <c r="K3626" s="3" t="s">
        <v>33</v>
      </c>
      <c r="L3626" s="3"/>
      <c r="M3626" s="3" t="s">
        <v>131</v>
      </c>
      <c r="N3626" s="3" t="str">
        <f>CONCATENATE("CPRNGL49R01B474P")</f>
        <v>CPRNGL49R01B474P</v>
      </c>
      <c r="O3626" s="3" t="s">
        <v>3741</v>
      </c>
      <c r="P3626" s="3" t="s">
        <v>36</v>
      </c>
      <c r="Q3626" s="3"/>
      <c r="R3626" s="4">
        <v>45996</v>
      </c>
      <c r="S3626" s="3" t="s">
        <v>37</v>
      </c>
      <c r="T3626" s="3" t="s">
        <v>38</v>
      </c>
      <c r="U3626" s="3" t="s">
        <v>39</v>
      </c>
      <c r="V3626" s="3">
        <v>275.27999999999997</v>
      </c>
      <c r="W3626" s="3">
        <v>116.99</v>
      </c>
      <c r="X3626" s="3">
        <v>110.8</v>
      </c>
      <c r="Y3626" s="3">
        <v>47.49</v>
      </c>
    </row>
    <row r="3627" spans="1:25" ht="60.75" x14ac:dyDescent="0.25">
      <c r="A3627" s="3" t="s">
        <v>26</v>
      </c>
      <c r="B3627" s="3" t="s">
        <v>27</v>
      </c>
      <c r="C3627" s="3" t="s">
        <v>28</v>
      </c>
      <c r="D3627" s="3" t="s">
        <v>40</v>
      </c>
      <c r="E3627" s="3" t="s">
        <v>287</v>
      </c>
      <c r="F3627" s="3" t="s">
        <v>42</v>
      </c>
      <c r="G3627" s="3" t="s">
        <v>287</v>
      </c>
      <c r="H3627" s="3" t="s">
        <v>32</v>
      </c>
      <c r="I3627" s="3">
        <v>2025</v>
      </c>
      <c r="J3627" s="3" t="str">
        <f>CONCATENATE("54820016662")</f>
        <v>54820016662</v>
      </c>
      <c r="K3627" s="3" t="s">
        <v>33</v>
      </c>
      <c r="L3627" s="3"/>
      <c r="M3627" s="3" t="s">
        <v>131</v>
      </c>
      <c r="N3627" s="3" t="str">
        <f>CONCATENATE("PLMDNL89C24B474G")</f>
        <v>PLMDNL89C24B474G</v>
      </c>
      <c r="O3627" s="3" t="s">
        <v>3742</v>
      </c>
      <c r="P3627" s="3" t="s">
        <v>36</v>
      </c>
      <c r="Q3627" s="3"/>
      <c r="R3627" s="4">
        <v>45996</v>
      </c>
      <c r="S3627" s="3" t="s">
        <v>37</v>
      </c>
      <c r="T3627" s="3" t="s">
        <v>38</v>
      </c>
      <c r="U3627" s="3" t="s">
        <v>39</v>
      </c>
      <c r="V3627" s="3">
        <v>78.83</v>
      </c>
      <c r="W3627" s="3">
        <v>33.5</v>
      </c>
      <c r="X3627" s="3">
        <v>31.73</v>
      </c>
      <c r="Y3627" s="3">
        <v>13.6</v>
      </c>
    </row>
    <row r="3628" spans="1:25" ht="60.75" x14ac:dyDescent="0.25">
      <c r="A3628" s="3" t="s">
        <v>26</v>
      </c>
      <c r="B3628" s="3" t="s">
        <v>27</v>
      </c>
      <c r="C3628" s="3" t="s">
        <v>28</v>
      </c>
      <c r="D3628" s="3" t="s">
        <v>50</v>
      </c>
      <c r="E3628" s="3" t="s">
        <v>1076</v>
      </c>
      <c r="F3628" s="3" t="s">
        <v>52</v>
      </c>
      <c r="G3628" s="3" t="s">
        <v>1076</v>
      </c>
      <c r="H3628" s="3" t="s">
        <v>45</v>
      </c>
      <c r="I3628" s="3">
        <v>2025</v>
      </c>
      <c r="J3628" s="3" t="str">
        <f>CONCATENATE("54820020482")</f>
        <v>54820020482</v>
      </c>
      <c r="K3628" s="3" t="s">
        <v>33</v>
      </c>
      <c r="L3628" s="3"/>
      <c r="M3628" s="3" t="s">
        <v>131</v>
      </c>
      <c r="N3628" s="3" t="str">
        <f>CONCATENATE("BRDPTR55E28B352G")</f>
        <v>BRDPTR55E28B352G</v>
      </c>
      <c r="O3628" s="3" t="s">
        <v>3743</v>
      </c>
      <c r="P3628" s="3" t="s">
        <v>36</v>
      </c>
      <c r="Q3628" s="3"/>
      <c r="R3628" s="4">
        <v>45996</v>
      </c>
      <c r="S3628" s="3" t="s">
        <v>37</v>
      </c>
      <c r="T3628" s="3" t="s">
        <v>38</v>
      </c>
      <c r="U3628" s="3" t="s">
        <v>39</v>
      </c>
      <c r="V3628" s="3">
        <v>123.37</v>
      </c>
      <c r="W3628" s="3">
        <v>52.43</v>
      </c>
      <c r="X3628" s="3">
        <v>49.66</v>
      </c>
      <c r="Y3628" s="3">
        <v>21.28</v>
      </c>
    </row>
    <row r="3629" spans="1:25" ht="60.75" x14ac:dyDescent="0.25">
      <c r="A3629" s="3" t="s">
        <v>26</v>
      </c>
      <c r="B3629" s="3" t="s">
        <v>27</v>
      </c>
      <c r="C3629" s="3" t="s">
        <v>28</v>
      </c>
      <c r="D3629" s="3" t="s">
        <v>91</v>
      </c>
      <c r="E3629" s="3" t="s">
        <v>95</v>
      </c>
      <c r="F3629" s="3" t="s">
        <v>93</v>
      </c>
      <c r="G3629" s="3" t="s">
        <v>95</v>
      </c>
      <c r="H3629" s="3" t="s">
        <v>96</v>
      </c>
      <c r="I3629" s="3">
        <v>2025</v>
      </c>
      <c r="J3629" s="3" t="str">
        <f>CONCATENATE("54820011580")</f>
        <v>54820011580</v>
      </c>
      <c r="K3629" s="3" t="s">
        <v>33</v>
      </c>
      <c r="L3629" s="3"/>
      <c r="M3629" s="3" t="s">
        <v>131</v>
      </c>
      <c r="N3629" s="3" t="str">
        <f>CONCATENATE("PPRMRP52H47F493O")</f>
        <v>PPRMRP52H47F493O</v>
      </c>
      <c r="O3629" s="3" t="s">
        <v>3744</v>
      </c>
      <c r="P3629" s="3" t="s">
        <v>36</v>
      </c>
      <c r="Q3629" s="3"/>
      <c r="R3629" s="4">
        <v>45996</v>
      </c>
      <c r="S3629" s="3" t="s">
        <v>37</v>
      </c>
      <c r="T3629" s="3" t="s">
        <v>38</v>
      </c>
      <c r="U3629" s="3" t="s">
        <v>39</v>
      </c>
      <c r="V3629" s="3">
        <v>322.5</v>
      </c>
      <c r="W3629" s="3">
        <v>137.06</v>
      </c>
      <c r="X3629" s="3">
        <v>129.81</v>
      </c>
      <c r="Y3629" s="3">
        <v>55.63</v>
      </c>
    </row>
    <row r="3630" spans="1:25" ht="60.75" x14ac:dyDescent="0.25">
      <c r="A3630" s="3" t="s">
        <v>26</v>
      </c>
      <c r="B3630" s="3" t="s">
        <v>27</v>
      </c>
      <c r="C3630" s="3" t="s">
        <v>28</v>
      </c>
      <c r="D3630" s="3" t="s">
        <v>29</v>
      </c>
      <c r="E3630" s="3" t="s">
        <v>119</v>
      </c>
      <c r="F3630" s="3" t="s">
        <v>31</v>
      </c>
      <c r="G3630" s="3" t="s">
        <v>119</v>
      </c>
      <c r="H3630" s="3" t="s">
        <v>96</v>
      </c>
      <c r="I3630" s="3">
        <v>2025</v>
      </c>
      <c r="J3630" s="3" t="str">
        <f>CONCATENATE("54820010962")</f>
        <v>54820010962</v>
      </c>
      <c r="K3630" s="3" t="s">
        <v>33</v>
      </c>
      <c r="L3630" s="3"/>
      <c r="M3630" s="3" t="s">
        <v>131</v>
      </c>
      <c r="N3630" s="3" t="str">
        <f>CONCATENATE("PGLDNC51H28F509Z")</f>
        <v>PGLDNC51H28F509Z</v>
      </c>
      <c r="O3630" s="3" t="s">
        <v>3745</v>
      </c>
      <c r="P3630" s="3" t="s">
        <v>36</v>
      </c>
      <c r="Q3630" s="3"/>
      <c r="R3630" s="4">
        <v>45996</v>
      </c>
      <c r="S3630" s="3" t="s">
        <v>37</v>
      </c>
      <c r="T3630" s="3" t="s">
        <v>38</v>
      </c>
      <c r="U3630" s="3" t="s">
        <v>39</v>
      </c>
      <c r="V3630" s="3">
        <v>82.8</v>
      </c>
      <c r="W3630" s="3">
        <v>35.19</v>
      </c>
      <c r="X3630" s="3">
        <v>33.33</v>
      </c>
      <c r="Y3630" s="3">
        <v>14.28</v>
      </c>
    </row>
    <row r="3631" spans="1:25" ht="72.75" x14ac:dyDescent="0.25">
      <c r="A3631" s="3" t="s">
        <v>26</v>
      </c>
      <c r="B3631" s="3" t="s">
        <v>27</v>
      </c>
      <c r="C3631" s="3" t="s">
        <v>28</v>
      </c>
      <c r="D3631" s="3" t="s">
        <v>29</v>
      </c>
      <c r="E3631" s="3" t="s">
        <v>80</v>
      </c>
      <c r="F3631" s="3" t="s">
        <v>31</v>
      </c>
      <c r="G3631" s="3" t="s">
        <v>80</v>
      </c>
      <c r="H3631" s="3" t="s">
        <v>45</v>
      </c>
      <c r="I3631" s="3">
        <v>2025</v>
      </c>
      <c r="J3631" s="3" t="str">
        <f>CONCATENATE("54820039037")</f>
        <v>54820039037</v>
      </c>
      <c r="K3631" s="3" t="s">
        <v>33</v>
      </c>
      <c r="L3631" s="3"/>
      <c r="M3631" s="3" t="s">
        <v>131</v>
      </c>
      <c r="N3631" s="3" t="str">
        <f>CONCATENATE("DLRLND34B52D749W")</f>
        <v>DLRLND34B52D749W</v>
      </c>
      <c r="O3631" s="3" t="s">
        <v>3746</v>
      </c>
      <c r="P3631" s="3" t="s">
        <v>36</v>
      </c>
      <c r="Q3631" s="3"/>
      <c r="R3631" s="4">
        <v>45996</v>
      </c>
      <c r="S3631" s="3" t="s">
        <v>37</v>
      </c>
      <c r="T3631" s="3" t="s">
        <v>38</v>
      </c>
      <c r="U3631" s="3" t="s">
        <v>39</v>
      </c>
      <c r="V3631" s="3">
        <v>87.53</v>
      </c>
      <c r="W3631" s="3">
        <v>37.200000000000003</v>
      </c>
      <c r="X3631" s="3">
        <v>35.229999999999997</v>
      </c>
      <c r="Y3631" s="3">
        <v>15.1</v>
      </c>
    </row>
    <row r="3632" spans="1:25" ht="60.75" x14ac:dyDescent="0.25">
      <c r="A3632" s="3" t="s">
        <v>26</v>
      </c>
      <c r="B3632" s="3" t="s">
        <v>27</v>
      </c>
      <c r="C3632" s="3" t="s">
        <v>28</v>
      </c>
      <c r="D3632" s="3" t="s">
        <v>40</v>
      </c>
      <c r="E3632" s="3" t="s">
        <v>54</v>
      </c>
      <c r="F3632" s="3" t="s">
        <v>42</v>
      </c>
      <c r="G3632" s="3" t="s">
        <v>54</v>
      </c>
      <c r="H3632" s="3" t="s">
        <v>45</v>
      </c>
      <c r="I3632" s="3">
        <v>2025</v>
      </c>
      <c r="J3632" s="3" t="str">
        <f>CONCATENATE("54820048756")</f>
        <v>54820048756</v>
      </c>
      <c r="K3632" s="3" t="s">
        <v>33</v>
      </c>
      <c r="L3632" s="3"/>
      <c r="M3632" s="3" t="s">
        <v>131</v>
      </c>
      <c r="N3632" s="3" t="str">
        <f>CONCATENATE("BSTNDR60L01H501E")</f>
        <v>BSTNDR60L01H501E</v>
      </c>
      <c r="O3632" s="3" t="s">
        <v>3747</v>
      </c>
      <c r="P3632" s="3" t="s">
        <v>36</v>
      </c>
      <c r="Q3632" s="3"/>
      <c r="R3632" s="4">
        <v>45996</v>
      </c>
      <c r="S3632" s="3" t="s">
        <v>37</v>
      </c>
      <c r="T3632" s="3" t="s">
        <v>38</v>
      </c>
      <c r="U3632" s="3" t="s">
        <v>39</v>
      </c>
      <c r="V3632" s="5">
        <v>1074.4100000000001</v>
      </c>
      <c r="W3632" s="3">
        <v>456.62</v>
      </c>
      <c r="X3632" s="3">
        <v>432.45</v>
      </c>
      <c r="Y3632" s="3">
        <v>185.34</v>
      </c>
    </row>
    <row r="3633" spans="1:25" ht="60.75" x14ac:dyDescent="0.25">
      <c r="A3633" s="3" t="s">
        <v>26</v>
      </c>
      <c r="B3633" s="3" t="s">
        <v>27</v>
      </c>
      <c r="C3633" s="3" t="s">
        <v>28</v>
      </c>
      <c r="D3633" s="3" t="s">
        <v>40</v>
      </c>
      <c r="E3633" s="3" t="s">
        <v>287</v>
      </c>
      <c r="F3633" s="3" t="s">
        <v>42</v>
      </c>
      <c r="G3633" s="3" t="s">
        <v>287</v>
      </c>
      <c r="H3633" s="3" t="s">
        <v>32</v>
      </c>
      <c r="I3633" s="3">
        <v>2025</v>
      </c>
      <c r="J3633" s="3" t="str">
        <f>CONCATENATE("54820016282")</f>
        <v>54820016282</v>
      </c>
      <c r="K3633" s="3" t="s">
        <v>33</v>
      </c>
      <c r="L3633" s="3"/>
      <c r="M3633" s="3" t="s">
        <v>131</v>
      </c>
      <c r="N3633" s="3" t="str">
        <f>CONCATENATE("GRNNGL74T13D653I")</f>
        <v>GRNNGL74T13D653I</v>
      </c>
      <c r="O3633" s="3" t="s">
        <v>3748</v>
      </c>
      <c r="P3633" s="3" t="s">
        <v>36</v>
      </c>
      <c r="Q3633" s="3"/>
      <c r="R3633" s="4">
        <v>45996</v>
      </c>
      <c r="S3633" s="3" t="s">
        <v>37</v>
      </c>
      <c r="T3633" s="3" t="s">
        <v>38</v>
      </c>
      <c r="U3633" s="3" t="s">
        <v>39</v>
      </c>
      <c r="V3633" s="3">
        <v>535.59</v>
      </c>
      <c r="W3633" s="3">
        <v>227.63</v>
      </c>
      <c r="X3633" s="3">
        <v>215.57</v>
      </c>
      <c r="Y3633" s="3">
        <v>92.39</v>
      </c>
    </row>
    <row r="3634" spans="1:25" ht="60.75" x14ac:dyDescent="0.25">
      <c r="A3634" s="3" t="s">
        <v>26</v>
      </c>
      <c r="B3634" s="3" t="s">
        <v>27</v>
      </c>
      <c r="C3634" s="3" t="s">
        <v>28</v>
      </c>
      <c r="D3634" s="3" t="s">
        <v>29</v>
      </c>
      <c r="E3634" s="3" t="s">
        <v>233</v>
      </c>
      <c r="F3634" s="3" t="s">
        <v>31</v>
      </c>
      <c r="G3634" s="3" t="s">
        <v>233</v>
      </c>
      <c r="H3634" s="3" t="s">
        <v>96</v>
      </c>
      <c r="I3634" s="3">
        <v>2025</v>
      </c>
      <c r="J3634" s="3" t="str">
        <f>CONCATENATE("54820026893")</f>
        <v>54820026893</v>
      </c>
      <c r="K3634" s="3" t="s">
        <v>33</v>
      </c>
      <c r="L3634" s="3"/>
      <c r="M3634" s="3" t="s">
        <v>131</v>
      </c>
      <c r="N3634" s="3" t="str">
        <f>CONCATENATE("BCCDFN57R67F516R")</f>
        <v>BCCDFN57R67F516R</v>
      </c>
      <c r="O3634" s="3" t="s">
        <v>3749</v>
      </c>
      <c r="P3634" s="3" t="s">
        <v>36</v>
      </c>
      <c r="Q3634" s="3"/>
      <c r="R3634" s="4">
        <v>45996</v>
      </c>
      <c r="S3634" s="3" t="s">
        <v>37</v>
      </c>
      <c r="T3634" s="3" t="s">
        <v>38</v>
      </c>
      <c r="U3634" s="3" t="s">
        <v>39</v>
      </c>
      <c r="V3634" s="3">
        <v>117.68</v>
      </c>
      <c r="W3634" s="3">
        <v>50.01</v>
      </c>
      <c r="X3634" s="3">
        <v>47.37</v>
      </c>
      <c r="Y3634" s="3">
        <v>20.3</v>
      </c>
    </row>
    <row r="3635" spans="1:25" ht="60.75" x14ac:dyDescent="0.25">
      <c r="A3635" s="3" t="s">
        <v>26</v>
      </c>
      <c r="B3635" s="3" t="s">
        <v>27</v>
      </c>
      <c r="C3635" s="3" t="s">
        <v>28</v>
      </c>
      <c r="D3635" s="3" t="s">
        <v>50</v>
      </c>
      <c r="E3635" s="3" t="s">
        <v>173</v>
      </c>
      <c r="F3635" s="3" t="s">
        <v>52</v>
      </c>
      <c r="G3635" s="3" t="s">
        <v>173</v>
      </c>
      <c r="H3635" s="3" t="s">
        <v>45</v>
      </c>
      <c r="I3635" s="3">
        <v>2025</v>
      </c>
      <c r="J3635" s="3" t="str">
        <f>CONCATENATE("54820032636")</f>
        <v>54820032636</v>
      </c>
      <c r="K3635" s="3" t="s">
        <v>33</v>
      </c>
      <c r="L3635" s="3"/>
      <c r="M3635" s="3" t="s">
        <v>131</v>
      </c>
      <c r="N3635" s="3" t="str">
        <f>CONCATENATE("MRCLTN57C57G627J")</f>
        <v>MRCLTN57C57G627J</v>
      </c>
      <c r="O3635" s="3" t="s">
        <v>3750</v>
      </c>
      <c r="P3635" s="3" t="s">
        <v>36</v>
      </c>
      <c r="Q3635" s="3"/>
      <c r="R3635" s="4">
        <v>45996</v>
      </c>
      <c r="S3635" s="3" t="s">
        <v>37</v>
      </c>
      <c r="T3635" s="3" t="s">
        <v>38</v>
      </c>
      <c r="U3635" s="3" t="s">
        <v>39</v>
      </c>
      <c r="V3635" s="3">
        <v>161.85</v>
      </c>
      <c r="W3635" s="3">
        <v>68.790000000000006</v>
      </c>
      <c r="X3635" s="3">
        <v>65.14</v>
      </c>
      <c r="Y3635" s="3">
        <v>27.92</v>
      </c>
    </row>
    <row r="3636" spans="1:25" ht="60.75" x14ac:dyDescent="0.25">
      <c r="A3636" s="3" t="s">
        <v>26</v>
      </c>
      <c r="B3636" s="3" t="s">
        <v>27</v>
      </c>
      <c r="C3636" s="3" t="s">
        <v>28</v>
      </c>
      <c r="D3636" s="3" t="s">
        <v>29</v>
      </c>
      <c r="E3636" s="3" t="s">
        <v>68</v>
      </c>
      <c r="F3636" s="3" t="s">
        <v>31</v>
      </c>
      <c r="G3636" s="3" t="s">
        <v>68</v>
      </c>
      <c r="H3636" s="3" t="s">
        <v>32</v>
      </c>
      <c r="I3636" s="3">
        <v>2025</v>
      </c>
      <c r="J3636" s="3" t="str">
        <f>CONCATENATE("54820030606")</f>
        <v>54820030606</v>
      </c>
      <c r="K3636" s="3" t="s">
        <v>33</v>
      </c>
      <c r="L3636" s="3"/>
      <c r="M3636" s="3" t="s">
        <v>131</v>
      </c>
      <c r="N3636" s="3" t="str">
        <f>CONCATENATE("CSRGPP61M65G637T")</f>
        <v>CSRGPP61M65G637T</v>
      </c>
      <c r="O3636" s="3" t="s">
        <v>3751</v>
      </c>
      <c r="P3636" s="3" t="s">
        <v>36</v>
      </c>
      <c r="Q3636" s="3"/>
      <c r="R3636" s="4">
        <v>45996</v>
      </c>
      <c r="S3636" s="3" t="s">
        <v>37</v>
      </c>
      <c r="T3636" s="3" t="s">
        <v>38</v>
      </c>
      <c r="U3636" s="3" t="s">
        <v>39</v>
      </c>
      <c r="V3636" s="3">
        <v>161.85</v>
      </c>
      <c r="W3636" s="3">
        <v>68.790000000000006</v>
      </c>
      <c r="X3636" s="3">
        <v>65.14</v>
      </c>
      <c r="Y3636" s="3">
        <v>27.92</v>
      </c>
    </row>
    <row r="3637" spans="1:25" ht="60.75" x14ac:dyDescent="0.25">
      <c r="A3637" s="3" t="s">
        <v>26</v>
      </c>
      <c r="B3637" s="3" t="s">
        <v>27</v>
      </c>
      <c r="C3637" s="3" t="s">
        <v>28</v>
      </c>
      <c r="D3637" s="3" t="s">
        <v>29</v>
      </c>
      <c r="E3637" s="3" t="s">
        <v>186</v>
      </c>
      <c r="F3637" s="3" t="s">
        <v>31</v>
      </c>
      <c r="G3637" s="3" t="s">
        <v>186</v>
      </c>
      <c r="H3637" s="3" t="s">
        <v>45</v>
      </c>
      <c r="I3637" s="3">
        <v>2025</v>
      </c>
      <c r="J3637" s="3" t="str">
        <f>CONCATENATE("54820045737")</f>
        <v>54820045737</v>
      </c>
      <c r="K3637" s="3" t="s">
        <v>33</v>
      </c>
      <c r="L3637" s="3"/>
      <c r="M3637" s="3" t="s">
        <v>131</v>
      </c>
      <c r="N3637" s="3" t="str">
        <f>CONCATENATE("MRARNT40A26E743V")</f>
        <v>MRARNT40A26E743V</v>
      </c>
      <c r="O3637" s="3" t="s">
        <v>3752</v>
      </c>
      <c r="P3637" s="3" t="s">
        <v>36</v>
      </c>
      <c r="Q3637" s="3"/>
      <c r="R3637" s="4">
        <v>45996</v>
      </c>
      <c r="S3637" s="3" t="s">
        <v>37</v>
      </c>
      <c r="T3637" s="3" t="s">
        <v>38</v>
      </c>
      <c r="U3637" s="3" t="s">
        <v>39</v>
      </c>
      <c r="V3637" s="3">
        <v>576.89</v>
      </c>
      <c r="W3637" s="3">
        <v>245.18</v>
      </c>
      <c r="X3637" s="3">
        <v>232.2</v>
      </c>
      <c r="Y3637" s="3">
        <v>99.51</v>
      </c>
    </row>
    <row r="3638" spans="1:25" ht="60.75" x14ac:dyDescent="0.25">
      <c r="A3638" s="3" t="s">
        <v>26</v>
      </c>
      <c r="B3638" s="3" t="s">
        <v>27</v>
      </c>
      <c r="C3638" s="3" t="s">
        <v>28</v>
      </c>
      <c r="D3638" s="3" t="s">
        <v>29</v>
      </c>
      <c r="E3638" s="3" t="s">
        <v>186</v>
      </c>
      <c r="F3638" s="3" t="s">
        <v>31</v>
      </c>
      <c r="G3638" s="3" t="s">
        <v>186</v>
      </c>
      <c r="H3638" s="3" t="s">
        <v>45</v>
      </c>
      <c r="I3638" s="3">
        <v>2025</v>
      </c>
      <c r="J3638" s="3" t="str">
        <f>CONCATENATE("54820039474")</f>
        <v>54820039474</v>
      </c>
      <c r="K3638" s="3" t="s">
        <v>33</v>
      </c>
      <c r="L3638" s="3"/>
      <c r="M3638" s="3" t="s">
        <v>131</v>
      </c>
      <c r="N3638" s="3" t="str">
        <f>CONCATENATE("TBNRRT60M09E785T")</f>
        <v>TBNRRT60M09E785T</v>
      </c>
      <c r="O3638" s="3" t="s">
        <v>3753</v>
      </c>
      <c r="P3638" s="3" t="s">
        <v>36</v>
      </c>
      <c r="Q3638" s="3"/>
      <c r="R3638" s="4">
        <v>45996</v>
      </c>
      <c r="S3638" s="3" t="s">
        <v>37</v>
      </c>
      <c r="T3638" s="3" t="s">
        <v>38</v>
      </c>
      <c r="U3638" s="3" t="s">
        <v>39</v>
      </c>
      <c r="V3638" s="3">
        <v>81.92</v>
      </c>
      <c r="W3638" s="3">
        <v>34.82</v>
      </c>
      <c r="X3638" s="3">
        <v>32.97</v>
      </c>
      <c r="Y3638" s="3">
        <v>14.13</v>
      </c>
    </row>
    <row r="3639" spans="1:25" ht="60.75" x14ac:dyDescent="0.25">
      <c r="A3639" s="3" t="s">
        <v>26</v>
      </c>
      <c r="B3639" s="3" t="s">
        <v>27</v>
      </c>
      <c r="C3639" s="3" t="s">
        <v>28</v>
      </c>
      <c r="D3639" s="3" t="s">
        <v>29</v>
      </c>
      <c r="E3639" s="3" t="s">
        <v>47</v>
      </c>
      <c r="F3639" s="3" t="s">
        <v>31</v>
      </c>
      <c r="G3639" s="3" t="s">
        <v>47</v>
      </c>
      <c r="H3639" s="3" t="s">
        <v>48</v>
      </c>
      <c r="I3639" s="3">
        <v>2025</v>
      </c>
      <c r="J3639" s="3" t="str">
        <f>CONCATENATE("54820067301")</f>
        <v>54820067301</v>
      </c>
      <c r="K3639" s="3" t="s">
        <v>33</v>
      </c>
      <c r="L3639" s="3"/>
      <c r="M3639" s="3" t="s">
        <v>131</v>
      </c>
      <c r="N3639" s="3" t="str">
        <f>CONCATENATE("MTLSDR65B22D451X")</f>
        <v>MTLSDR65B22D451X</v>
      </c>
      <c r="O3639" s="3" t="s">
        <v>3754</v>
      </c>
      <c r="P3639" s="3" t="s">
        <v>36</v>
      </c>
      <c r="Q3639" s="3"/>
      <c r="R3639" s="4">
        <v>45996</v>
      </c>
      <c r="S3639" s="3" t="s">
        <v>37</v>
      </c>
      <c r="T3639" s="3" t="s">
        <v>38</v>
      </c>
      <c r="U3639" s="3" t="s">
        <v>39</v>
      </c>
      <c r="V3639" s="5">
        <v>1350.13</v>
      </c>
      <c r="W3639" s="3">
        <v>573.80999999999995</v>
      </c>
      <c r="X3639" s="3">
        <v>543.42999999999995</v>
      </c>
      <c r="Y3639" s="3">
        <v>232.89</v>
      </c>
    </row>
    <row r="3640" spans="1:25" ht="60.75" x14ac:dyDescent="0.25">
      <c r="A3640" s="3" t="s">
        <v>26</v>
      </c>
      <c r="B3640" s="3" t="s">
        <v>27</v>
      </c>
      <c r="C3640" s="3" t="s">
        <v>28</v>
      </c>
      <c r="D3640" s="3" t="s">
        <v>29</v>
      </c>
      <c r="E3640" s="3" t="s">
        <v>80</v>
      </c>
      <c r="F3640" s="3" t="s">
        <v>31</v>
      </c>
      <c r="G3640" s="3" t="s">
        <v>80</v>
      </c>
      <c r="H3640" s="3" t="s">
        <v>45</v>
      </c>
      <c r="I3640" s="3">
        <v>2025</v>
      </c>
      <c r="J3640" s="3" t="str">
        <f>CONCATENATE("54820117452")</f>
        <v>54820117452</v>
      </c>
      <c r="K3640" s="3" t="s">
        <v>33</v>
      </c>
      <c r="L3640" s="3"/>
      <c r="M3640" s="3" t="s">
        <v>131</v>
      </c>
      <c r="N3640" s="3" t="str">
        <f>CONCATENATE("BRCCRL68L16G089S")</f>
        <v>BRCCRL68L16G089S</v>
      </c>
      <c r="O3640" s="3" t="s">
        <v>3755</v>
      </c>
      <c r="P3640" s="3" t="s">
        <v>36</v>
      </c>
      <c r="Q3640" s="3"/>
      <c r="R3640" s="4">
        <v>45996</v>
      </c>
      <c r="S3640" s="3" t="s">
        <v>37</v>
      </c>
      <c r="T3640" s="3" t="s">
        <v>38</v>
      </c>
      <c r="U3640" s="3" t="s">
        <v>39</v>
      </c>
      <c r="V3640" s="3">
        <v>279.55</v>
      </c>
      <c r="W3640" s="3">
        <v>118.81</v>
      </c>
      <c r="X3640" s="3">
        <v>112.52</v>
      </c>
      <c r="Y3640" s="3">
        <v>48.22</v>
      </c>
    </row>
    <row r="3641" spans="1:25" ht="60.75" x14ac:dyDescent="0.25">
      <c r="A3641" s="3" t="s">
        <v>26</v>
      </c>
      <c r="B3641" s="3" t="s">
        <v>27</v>
      </c>
      <c r="C3641" s="3" t="s">
        <v>28</v>
      </c>
      <c r="D3641" s="3" t="s">
        <v>40</v>
      </c>
      <c r="E3641" s="3" t="s">
        <v>218</v>
      </c>
      <c r="F3641" s="3" t="s">
        <v>42</v>
      </c>
      <c r="G3641" s="3" t="s">
        <v>218</v>
      </c>
      <c r="H3641" s="3" t="s">
        <v>45</v>
      </c>
      <c r="I3641" s="3">
        <v>2025</v>
      </c>
      <c r="J3641" s="3" t="str">
        <f>CONCATENATE("54820029343")</f>
        <v>54820029343</v>
      </c>
      <c r="K3641" s="3" t="s">
        <v>33</v>
      </c>
      <c r="L3641" s="3"/>
      <c r="M3641" s="3" t="s">
        <v>131</v>
      </c>
      <c r="N3641" s="3" t="str">
        <f>CONCATENATE("WSSFKH58C70Z112B")</f>
        <v>WSSFKH58C70Z112B</v>
      </c>
      <c r="O3641" s="3" t="s">
        <v>3756</v>
      </c>
      <c r="P3641" s="3" t="s">
        <v>36</v>
      </c>
      <c r="Q3641" s="3"/>
      <c r="R3641" s="4">
        <v>45996</v>
      </c>
      <c r="S3641" s="3" t="s">
        <v>37</v>
      </c>
      <c r="T3641" s="3" t="s">
        <v>38</v>
      </c>
      <c r="U3641" s="3" t="s">
        <v>39</v>
      </c>
      <c r="V3641" s="3">
        <v>289.22000000000003</v>
      </c>
      <c r="W3641" s="3">
        <v>122.92</v>
      </c>
      <c r="X3641" s="3">
        <v>116.41</v>
      </c>
      <c r="Y3641" s="3">
        <v>49.89</v>
      </c>
    </row>
    <row r="3642" spans="1:25" ht="72.75" x14ac:dyDescent="0.25">
      <c r="A3642" s="3" t="s">
        <v>26</v>
      </c>
      <c r="B3642" s="3" t="s">
        <v>27</v>
      </c>
      <c r="C3642" s="3" t="s">
        <v>28</v>
      </c>
      <c r="D3642" s="3" t="s">
        <v>40</v>
      </c>
      <c r="E3642" s="3" t="s">
        <v>44</v>
      </c>
      <c r="F3642" s="3" t="s">
        <v>42</v>
      </c>
      <c r="G3642" s="3" t="s">
        <v>44</v>
      </c>
      <c r="H3642" s="3" t="s">
        <v>32</v>
      </c>
      <c r="I3642" s="3">
        <v>2025</v>
      </c>
      <c r="J3642" s="3" t="str">
        <f>CONCATENATE("54820020722")</f>
        <v>54820020722</v>
      </c>
      <c r="K3642" s="3" t="s">
        <v>33</v>
      </c>
      <c r="L3642" s="3"/>
      <c r="M3642" s="3" t="s">
        <v>131</v>
      </c>
      <c r="N3642" s="3" t="str">
        <f>CONCATENATE("NDRMSM73E09H501H")</f>
        <v>NDRMSM73E09H501H</v>
      </c>
      <c r="O3642" s="3" t="s">
        <v>3757</v>
      </c>
      <c r="P3642" s="3" t="s">
        <v>36</v>
      </c>
      <c r="Q3642" s="3"/>
      <c r="R3642" s="4">
        <v>45996</v>
      </c>
      <c r="S3642" s="3" t="s">
        <v>37</v>
      </c>
      <c r="T3642" s="3" t="s">
        <v>38</v>
      </c>
      <c r="U3642" s="3" t="s">
        <v>39</v>
      </c>
      <c r="V3642" s="3">
        <v>103.31</v>
      </c>
      <c r="W3642" s="3">
        <v>43.91</v>
      </c>
      <c r="X3642" s="3">
        <v>41.58</v>
      </c>
      <c r="Y3642" s="3">
        <v>17.82</v>
      </c>
    </row>
    <row r="3643" spans="1:25" ht="72.75" x14ac:dyDescent="0.25">
      <c r="A3643" s="3" t="s">
        <v>26</v>
      </c>
      <c r="B3643" s="3" t="s">
        <v>27</v>
      </c>
      <c r="C3643" s="3" t="s">
        <v>28</v>
      </c>
      <c r="D3643" s="3" t="s">
        <v>40</v>
      </c>
      <c r="E3643" s="3" t="s">
        <v>54</v>
      </c>
      <c r="F3643" s="3" t="s">
        <v>42</v>
      </c>
      <c r="G3643" s="3" t="s">
        <v>54</v>
      </c>
      <c r="H3643" s="3" t="s">
        <v>45</v>
      </c>
      <c r="I3643" s="3">
        <v>2025</v>
      </c>
      <c r="J3643" s="3" t="str">
        <f>CONCATENATE("54820025507")</f>
        <v>54820025507</v>
      </c>
      <c r="K3643" s="3" t="s">
        <v>33</v>
      </c>
      <c r="L3643" s="3"/>
      <c r="M3643" s="3" t="s">
        <v>131</v>
      </c>
      <c r="N3643" s="3" t="str">
        <f>CONCATENATE("DNIGMR96M29L500R")</f>
        <v>DNIGMR96M29L500R</v>
      </c>
      <c r="O3643" s="3" t="s">
        <v>3758</v>
      </c>
      <c r="P3643" s="3" t="s">
        <v>36</v>
      </c>
      <c r="Q3643" s="3"/>
      <c r="R3643" s="4">
        <v>45996</v>
      </c>
      <c r="S3643" s="3" t="s">
        <v>37</v>
      </c>
      <c r="T3643" s="3" t="s">
        <v>38</v>
      </c>
      <c r="U3643" s="3" t="s">
        <v>39</v>
      </c>
      <c r="V3643" s="3">
        <v>70.819999999999993</v>
      </c>
      <c r="W3643" s="3">
        <v>30.1</v>
      </c>
      <c r="X3643" s="3">
        <v>28.51</v>
      </c>
      <c r="Y3643" s="3">
        <v>12.21</v>
      </c>
    </row>
    <row r="3644" spans="1:25" ht="72.75" x14ac:dyDescent="0.25">
      <c r="A3644" s="3" t="s">
        <v>26</v>
      </c>
      <c r="B3644" s="3" t="s">
        <v>27</v>
      </c>
      <c r="C3644" s="3" t="s">
        <v>28</v>
      </c>
      <c r="D3644" s="3" t="s">
        <v>29</v>
      </c>
      <c r="E3644" s="3" t="s">
        <v>476</v>
      </c>
      <c r="F3644" s="3" t="s">
        <v>31</v>
      </c>
      <c r="G3644" s="3" t="s">
        <v>476</v>
      </c>
      <c r="H3644" s="3" t="s">
        <v>48</v>
      </c>
      <c r="I3644" s="3">
        <v>2025</v>
      </c>
      <c r="J3644" s="3" t="str">
        <f>CONCATENATE("54820043435")</f>
        <v>54820043435</v>
      </c>
      <c r="K3644" s="3" t="s">
        <v>33</v>
      </c>
      <c r="L3644" s="3"/>
      <c r="M3644" s="3" t="s">
        <v>131</v>
      </c>
      <c r="N3644" s="3" t="str">
        <f>CONCATENATE("DPTNLN69H46D799U")</f>
        <v>DPTNLN69H46D799U</v>
      </c>
      <c r="O3644" s="3" t="s">
        <v>3759</v>
      </c>
      <c r="P3644" s="3" t="s">
        <v>36</v>
      </c>
      <c r="Q3644" s="3"/>
      <c r="R3644" s="4">
        <v>45996</v>
      </c>
      <c r="S3644" s="3" t="s">
        <v>37</v>
      </c>
      <c r="T3644" s="3" t="s">
        <v>38</v>
      </c>
      <c r="U3644" s="3" t="s">
        <v>39</v>
      </c>
      <c r="V3644" s="3">
        <v>224.49</v>
      </c>
      <c r="W3644" s="3">
        <v>95.41</v>
      </c>
      <c r="X3644" s="3">
        <v>90.36</v>
      </c>
      <c r="Y3644" s="3">
        <v>38.72</v>
      </c>
    </row>
    <row r="3645" spans="1:25" ht="72.75" x14ac:dyDescent="0.25">
      <c r="A3645" s="3" t="s">
        <v>26</v>
      </c>
      <c r="B3645" s="3" t="s">
        <v>27</v>
      </c>
      <c r="C3645" s="3" t="s">
        <v>28</v>
      </c>
      <c r="D3645" s="3" t="s">
        <v>29</v>
      </c>
      <c r="E3645" s="3" t="s">
        <v>233</v>
      </c>
      <c r="F3645" s="3" t="s">
        <v>31</v>
      </c>
      <c r="G3645" s="3" t="s">
        <v>233</v>
      </c>
      <c r="H3645" s="3" t="s">
        <v>96</v>
      </c>
      <c r="I3645" s="3">
        <v>2025</v>
      </c>
      <c r="J3645" s="3" t="str">
        <f>CONCATENATE("54820037312")</f>
        <v>54820037312</v>
      </c>
      <c r="K3645" s="3" t="s">
        <v>33</v>
      </c>
      <c r="L3645" s="3"/>
      <c r="M3645" s="3" t="s">
        <v>131</v>
      </c>
      <c r="N3645" s="3" t="str">
        <f>CONCATENATE("DBRGDM87E10I348M")</f>
        <v>DBRGDM87E10I348M</v>
      </c>
      <c r="O3645" s="3" t="s">
        <v>3760</v>
      </c>
      <c r="P3645" s="3" t="s">
        <v>36</v>
      </c>
      <c r="Q3645" s="3"/>
      <c r="R3645" s="4">
        <v>45996</v>
      </c>
      <c r="S3645" s="3" t="s">
        <v>37</v>
      </c>
      <c r="T3645" s="3" t="s">
        <v>38</v>
      </c>
      <c r="U3645" s="3" t="s">
        <v>39</v>
      </c>
      <c r="V3645" s="3">
        <v>102.29</v>
      </c>
      <c r="W3645" s="3">
        <v>43.47</v>
      </c>
      <c r="X3645" s="3">
        <v>41.17</v>
      </c>
      <c r="Y3645" s="3">
        <v>17.649999999999999</v>
      </c>
    </row>
    <row r="3646" spans="1:25" ht="60.75" x14ac:dyDescent="0.25">
      <c r="A3646" s="3" t="s">
        <v>26</v>
      </c>
      <c r="B3646" s="3" t="s">
        <v>27</v>
      </c>
      <c r="C3646" s="3" t="s">
        <v>28</v>
      </c>
      <c r="D3646" s="3" t="s">
        <v>104</v>
      </c>
      <c r="E3646" s="3" t="s">
        <v>691</v>
      </c>
      <c r="F3646" s="3" t="s">
        <v>104</v>
      </c>
      <c r="G3646" s="3" t="s">
        <v>691</v>
      </c>
      <c r="H3646" s="3" t="s">
        <v>48</v>
      </c>
      <c r="I3646" s="3">
        <v>2025</v>
      </c>
      <c r="J3646" s="3" t="str">
        <f>CONCATENATE("54820038864")</f>
        <v>54820038864</v>
      </c>
      <c r="K3646" s="3" t="s">
        <v>33</v>
      </c>
      <c r="L3646" s="3"/>
      <c r="M3646" s="3" t="s">
        <v>131</v>
      </c>
      <c r="N3646" s="3" t="str">
        <f>CONCATENATE("LCCGBR52P16I653Z")</f>
        <v>LCCGBR52P16I653Z</v>
      </c>
      <c r="O3646" s="3" t="s">
        <v>3761</v>
      </c>
      <c r="P3646" s="3" t="s">
        <v>36</v>
      </c>
      <c r="Q3646" s="3"/>
      <c r="R3646" s="4">
        <v>45996</v>
      </c>
      <c r="S3646" s="3" t="s">
        <v>37</v>
      </c>
      <c r="T3646" s="3" t="s">
        <v>38</v>
      </c>
      <c r="U3646" s="3" t="s">
        <v>39</v>
      </c>
      <c r="V3646" s="3">
        <v>129.29</v>
      </c>
      <c r="W3646" s="3">
        <v>54.95</v>
      </c>
      <c r="X3646" s="3">
        <v>52.04</v>
      </c>
      <c r="Y3646" s="3">
        <v>22.3</v>
      </c>
    </row>
    <row r="3647" spans="1:25" ht="60.75" x14ac:dyDescent="0.25">
      <c r="A3647" s="3" t="s">
        <v>26</v>
      </c>
      <c r="B3647" s="3" t="s">
        <v>27</v>
      </c>
      <c r="C3647" s="3" t="s">
        <v>28</v>
      </c>
      <c r="D3647" s="3" t="s">
        <v>29</v>
      </c>
      <c r="E3647" s="3" t="s">
        <v>47</v>
      </c>
      <c r="F3647" s="3" t="s">
        <v>31</v>
      </c>
      <c r="G3647" s="3" t="s">
        <v>47</v>
      </c>
      <c r="H3647" s="3" t="s">
        <v>48</v>
      </c>
      <c r="I3647" s="3">
        <v>2025</v>
      </c>
      <c r="J3647" s="3" t="str">
        <f>CONCATENATE("54820041108")</f>
        <v>54820041108</v>
      </c>
      <c r="K3647" s="3" t="s">
        <v>33</v>
      </c>
      <c r="L3647" s="3"/>
      <c r="M3647" s="3" t="s">
        <v>131</v>
      </c>
      <c r="N3647" s="3" t="str">
        <f>CONCATENATE("FCKRTT66C53D451S")</f>
        <v>FCKRTT66C53D451S</v>
      </c>
      <c r="O3647" s="3" t="s">
        <v>3762</v>
      </c>
      <c r="P3647" s="3" t="s">
        <v>36</v>
      </c>
      <c r="Q3647" s="3"/>
      <c r="R3647" s="4">
        <v>45996</v>
      </c>
      <c r="S3647" s="3" t="s">
        <v>37</v>
      </c>
      <c r="T3647" s="3" t="s">
        <v>38</v>
      </c>
      <c r="U3647" s="3" t="s">
        <v>39</v>
      </c>
      <c r="V3647" s="3">
        <v>102.9</v>
      </c>
      <c r="W3647" s="3">
        <v>43.73</v>
      </c>
      <c r="X3647" s="3">
        <v>41.42</v>
      </c>
      <c r="Y3647" s="3">
        <v>17.75</v>
      </c>
    </row>
    <row r="3648" spans="1:25" ht="60.75" x14ac:dyDescent="0.25">
      <c r="A3648" s="3" t="s">
        <v>26</v>
      </c>
      <c r="B3648" s="3" t="s">
        <v>27</v>
      </c>
      <c r="C3648" s="3" t="s">
        <v>28</v>
      </c>
      <c r="D3648" s="3" t="s">
        <v>29</v>
      </c>
      <c r="E3648" s="3" t="s">
        <v>136</v>
      </c>
      <c r="F3648" s="3" t="s">
        <v>31</v>
      </c>
      <c r="G3648" s="3" t="s">
        <v>136</v>
      </c>
      <c r="H3648" s="3" t="s">
        <v>48</v>
      </c>
      <c r="I3648" s="3">
        <v>2025</v>
      </c>
      <c r="J3648" s="3" t="str">
        <f>CONCATENATE("54820236765")</f>
        <v>54820236765</v>
      </c>
      <c r="K3648" s="3" t="s">
        <v>33</v>
      </c>
      <c r="L3648" s="3"/>
      <c r="M3648" s="3" t="s">
        <v>131</v>
      </c>
      <c r="N3648" s="3" t="str">
        <f>CONCATENATE("NCLDNL66M09I461N")</f>
        <v>NCLDNL66M09I461N</v>
      </c>
      <c r="O3648" s="3" t="s">
        <v>3763</v>
      </c>
      <c r="P3648" s="3" t="s">
        <v>36</v>
      </c>
      <c r="Q3648" s="3"/>
      <c r="R3648" s="4">
        <v>45996</v>
      </c>
      <c r="S3648" s="3" t="s">
        <v>37</v>
      </c>
      <c r="T3648" s="3" t="s">
        <v>38</v>
      </c>
      <c r="U3648" s="3" t="s">
        <v>39</v>
      </c>
      <c r="V3648" s="3">
        <v>224.36</v>
      </c>
      <c r="W3648" s="3">
        <v>95.35</v>
      </c>
      <c r="X3648" s="3">
        <v>90.3</v>
      </c>
      <c r="Y3648" s="3">
        <v>38.71</v>
      </c>
    </row>
    <row r="3649" spans="1:25" ht="36.75" x14ac:dyDescent="0.25">
      <c r="A3649" s="3" t="s">
        <v>26</v>
      </c>
      <c r="B3649" s="3" t="s">
        <v>27</v>
      </c>
      <c r="C3649" s="3" t="s">
        <v>28</v>
      </c>
      <c r="D3649" s="3" t="s">
        <v>29</v>
      </c>
      <c r="E3649" s="3" t="s">
        <v>72</v>
      </c>
      <c r="F3649" s="3" t="s">
        <v>31</v>
      </c>
      <c r="G3649" s="3" t="s">
        <v>72</v>
      </c>
      <c r="H3649" s="3" t="s">
        <v>45</v>
      </c>
      <c r="I3649" s="3">
        <v>2025</v>
      </c>
      <c r="J3649" s="3" t="str">
        <f>CONCATENATE("54820161138")</f>
        <v>54820161138</v>
      </c>
      <c r="K3649" s="3" t="s">
        <v>33</v>
      </c>
      <c r="L3649" s="3"/>
      <c r="M3649" s="3" t="s">
        <v>131</v>
      </c>
      <c r="N3649" s="3" t="str">
        <f>CONCATENATE("01449850419")</f>
        <v>01449850419</v>
      </c>
      <c r="O3649" s="3" t="s">
        <v>3764</v>
      </c>
      <c r="P3649" s="3" t="s">
        <v>36</v>
      </c>
      <c r="Q3649" s="3"/>
      <c r="R3649" s="4">
        <v>45996</v>
      </c>
      <c r="S3649" s="3" t="s">
        <v>37</v>
      </c>
      <c r="T3649" s="3" t="s">
        <v>38</v>
      </c>
      <c r="U3649" s="3" t="s">
        <v>39</v>
      </c>
      <c r="V3649" s="3">
        <v>602.66</v>
      </c>
      <c r="W3649" s="3">
        <v>256.13</v>
      </c>
      <c r="X3649" s="3">
        <v>242.57</v>
      </c>
      <c r="Y3649" s="3">
        <v>103.96</v>
      </c>
    </row>
    <row r="3650" spans="1:25" ht="60.75" x14ac:dyDescent="0.25">
      <c r="A3650" s="3" t="s">
        <v>26</v>
      </c>
      <c r="B3650" s="3" t="s">
        <v>27</v>
      </c>
      <c r="C3650" s="3" t="s">
        <v>28</v>
      </c>
      <c r="D3650" s="3" t="s">
        <v>104</v>
      </c>
      <c r="E3650" s="3" t="s">
        <v>661</v>
      </c>
      <c r="F3650" s="3" t="s">
        <v>104</v>
      </c>
      <c r="G3650" s="3" t="s">
        <v>661</v>
      </c>
      <c r="H3650" s="3" t="s">
        <v>45</v>
      </c>
      <c r="I3650" s="3">
        <v>2025</v>
      </c>
      <c r="J3650" s="3" t="str">
        <f>CONCATENATE("54820168125")</f>
        <v>54820168125</v>
      </c>
      <c r="K3650" s="3" t="s">
        <v>33</v>
      </c>
      <c r="L3650" s="3"/>
      <c r="M3650" s="3" t="s">
        <v>131</v>
      </c>
      <c r="N3650" s="3" t="str">
        <f>CONCATENATE("LGINZR41M11G551F")</f>
        <v>LGINZR41M11G551F</v>
      </c>
      <c r="O3650" s="3" t="s">
        <v>3765</v>
      </c>
      <c r="P3650" s="3" t="s">
        <v>36</v>
      </c>
      <c r="Q3650" s="3"/>
      <c r="R3650" s="4">
        <v>45996</v>
      </c>
      <c r="S3650" s="3" t="s">
        <v>37</v>
      </c>
      <c r="T3650" s="3" t="s">
        <v>38</v>
      </c>
      <c r="U3650" s="3" t="s">
        <v>39</v>
      </c>
      <c r="V3650" s="3">
        <v>75.37</v>
      </c>
      <c r="W3650" s="3">
        <v>32.03</v>
      </c>
      <c r="X3650" s="3">
        <v>30.34</v>
      </c>
      <c r="Y3650" s="3">
        <v>13</v>
      </c>
    </row>
    <row r="3651" spans="1:25" ht="72.75" x14ac:dyDescent="0.25">
      <c r="A3651" s="3" t="s">
        <v>26</v>
      </c>
      <c r="B3651" s="3" t="s">
        <v>27</v>
      </c>
      <c r="C3651" s="3" t="s">
        <v>28</v>
      </c>
      <c r="D3651" s="3" t="s">
        <v>40</v>
      </c>
      <c r="E3651" s="3" t="s">
        <v>218</v>
      </c>
      <c r="F3651" s="3" t="s">
        <v>42</v>
      </c>
      <c r="G3651" s="3" t="s">
        <v>218</v>
      </c>
      <c r="H3651" s="3" t="s">
        <v>45</v>
      </c>
      <c r="I3651" s="3">
        <v>2025</v>
      </c>
      <c r="J3651" s="3" t="str">
        <f>CONCATENATE("54820026505")</f>
        <v>54820026505</v>
      </c>
      <c r="K3651" s="3" t="s">
        <v>33</v>
      </c>
      <c r="L3651" s="3"/>
      <c r="M3651" s="3" t="s">
        <v>131</v>
      </c>
      <c r="N3651" s="3" t="str">
        <f>CONCATENATE("GMBLRA89D70L500K")</f>
        <v>GMBLRA89D70L500K</v>
      </c>
      <c r="O3651" s="3" t="s">
        <v>3766</v>
      </c>
      <c r="P3651" s="3" t="s">
        <v>36</v>
      </c>
      <c r="Q3651" s="3"/>
      <c r="R3651" s="4">
        <v>45996</v>
      </c>
      <c r="S3651" s="3" t="s">
        <v>37</v>
      </c>
      <c r="T3651" s="3" t="s">
        <v>38</v>
      </c>
      <c r="U3651" s="3" t="s">
        <v>39</v>
      </c>
      <c r="V3651" s="3">
        <v>574.78</v>
      </c>
      <c r="W3651" s="3">
        <v>244.28</v>
      </c>
      <c r="X3651" s="3">
        <v>231.35</v>
      </c>
      <c r="Y3651" s="3">
        <v>99.15</v>
      </c>
    </row>
    <row r="3652" spans="1:25" ht="60.75" x14ac:dyDescent="0.25">
      <c r="A3652" s="3" t="s">
        <v>26</v>
      </c>
      <c r="B3652" s="3" t="s">
        <v>27</v>
      </c>
      <c r="C3652" s="3" t="s">
        <v>28</v>
      </c>
      <c r="D3652" s="3" t="s">
        <v>29</v>
      </c>
      <c r="E3652" s="3" t="s">
        <v>119</v>
      </c>
      <c r="F3652" s="3" t="s">
        <v>31</v>
      </c>
      <c r="G3652" s="3" t="s">
        <v>119</v>
      </c>
      <c r="H3652" s="3" t="s">
        <v>96</v>
      </c>
      <c r="I3652" s="3">
        <v>2025</v>
      </c>
      <c r="J3652" s="3" t="str">
        <f>CONCATENATE("54820040480")</f>
        <v>54820040480</v>
      </c>
      <c r="K3652" s="3" t="s">
        <v>33</v>
      </c>
      <c r="L3652" s="3"/>
      <c r="M3652" s="3" t="s">
        <v>131</v>
      </c>
      <c r="N3652" s="3" t="str">
        <f>CONCATENATE("BNFCLL39T11A252L")</f>
        <v>BNFCLL39T11A252L</v>
      </c>
      <c r="O3652" s="3" t="s">
        <v>3767</v>
      </c>
      <c r="P3652" s="3" t="s">
        <v>36</v>
      </c>
      <c r="Q3652" s="3"/>
      <c r="R3652" s="4">
        <v>45996</v>
      </c>
      <c r="S3652" s="3" t="s">
        <v>37</v>
      </c>
      <c r="T3652" s="3" t="s">
        <v>38</v>
      </c>
      <c r="U3652" s="3" t="s">
        <v>39</v>
      </c>
      <c r="V3652" s="3">
        <v>61.07</v>
      </c>
      <c r="W3652" s="3">
        <v>25.95</v>
      </c>
      <c r="X3652" s="3">
        <v>24.58</v>
      </c>
      <c r="Y3652" s="3">
        <v>10.54</v>
      </c>
    </row>
    <row r="3653" spans="1:25" ht="36.75" x14ac:dyDescent="0.25">
      <c r="A3653" s="3" t="s">
        <v>26</v>
      </c>
      <c r="B3653" s="3" t="s">
        <v>27</v>
      </c>
      <c r="C3653" s="3" t="s">
        <v>28</v>
      </c>
      <c r="D3653" s="3" t="s">
        <v>40</v>
      </c>
      <c r="E3653" s="3" t="s">
        <v>287</v>
      </c>
      <c r="F3653" s="3" t="s">
        <v>42</v>
      </c>
      <c r="G3653" s="3" t="s">
        <v>287</v>
      </c>
      <c r="H3653" s="3" t="s">
        <v>32</v>
      </c>
      <c r="I3653" s="3">
        <v>2025</v>
      </c>
      <c r="J3653" s="3" t="str">
        <f>CONCATENATE("54820044987")</f>
        <v>54820044987</v>
      </c>
      <c r="K3653" s="3" t="s">
        <v>33</v>
      </c>
      <c r="L3653" s="3"/>
      <c r="M3653" s="3" t="s">
        <v>131</v>
      </c>
      <c r="N3653" s="3" t="str">
        <f>CONCATENATE("00139690432")</f>
        <v>00139690432</v>
      </c>
      <c r="O3653" s="3" t="s">
        <v>3768</v>
      </c>
      <c r="P3653" s="3" t="s">
        <v>36</v>
      </c>
      <c r="Q3653" s="3"/>
      <c r="R3653" s="4">
        <v>45996</v>
      </c>
      <c r="S3653" s="3" t="s">
        <v>37</v>
      </c>
      <c r="T3653" s="3" t="s">
        <v>38</v>
      </c>
      <c r="U3653" s="3" t="s">
        <v>39</v>
      </c>
      <c r="V3653" s="5">
        <v>1265.5899999999999</v>
      </c>
      <c r="W3653" s="3">
        <v>537.88</v>
      </c>
      <c r="X3653" s="3">
        <v>509.4</v>
      </c>
      <c r="Y3653" s="3">
        <v>218.31</v>
      </c>
    </row>
    <row r="3654" spans="1:25" ht="60.75" x14ac:dyDescent="0.25">
      <c r="A3654" s="3" t="s">
        <v>26</v>
      </c>
      <c r="B3654" s="3" t="s">
        <v>27</v>
      </c>
      <c r="C3654" s="3" t="s">
        <v>28</v>
      </c>
      <c r="D3654" s="3" t="s">
        <v>29</v>
      </c>
      <c r="E3654" s="3" t="s">
        <v>208</v>
      </c>
      <c r="F3654" s="3" t="s">
        <v>31</v>
      </c>
      <c r="G3654" s="3" t="s">
        <v>208</v>
      </c>
      <c r="H3654" s="3" t="s">
        <v>45</v>
      </c>
      <c r="I3654" s="3">
        <v>2025</v>
      </c>
      <c r="J3654" s="3" t="str">
        <f>CONCATENATE("54820057476")</f>
        <v>54820057476</v>
      </c>
      <c r="K3654" s="3" t="s">
        <v>33</v>
      </c>
      <c r="L3654" s="3"/>
      <c r="M3654" s="3" t="s">
        <v>131</v>
      </c>
      <c r="N3654" s="3" t="str">
        <f>CONCATENATE("PRNMSM78T01L500K")</f>
        <v>PRNMSM78T01L500K</v>
      </c>
      <c r="O3654" s="3" t="s">
        <v>3769</v>
      </c>
      <c r="P3654" s="3" t="s">
        <v>36</v>
      </c>
      <c r="Q3654" s="3"/>
      <c r="R3654" s="4">
        <v>45996</v>
      </c>
      <c r="S3654" s="3" t="s">
        <v>37</v>
      </c>
      <c r="T3654" s="3" t="s">
        <v>38</v>
      </c>
      <c r="U3654" s="3" t="s">
        <v>39</v>
      </c>
      <c r="V3654" s="3">
        <v>246.26</v>
      </c>
      <c r="W3654" s="3">
        <v>104.66</v>
      </c>
      <c r="X3654" s="3">
        <v>99.12</v>
      </c>
      <c r="Y3654" s="3">
        <v>42.48</v>
      </c>
    </row>
    <row r="3655" spans="1:25" ht="60.75" x14ac:dyDescent="0.25">
      <c r="A3655" s="3" t="s">
        <v>26</v>
      </c>
      <c r="B3655" s="3" t="s">
        <v>27</v>
      </c>
      <c r="C3655" s="3" t="s">
        <v>28</v>
      </c>
      <c r="D3655" s="3" t="s">
        <v>40</v>
      </c>
      <c r="E3655" s="3" t="s">
        <v>287</v>
      </c>
      <c r="F3655" s="3" t="s">
        <v>42</v>
      </c>
      <c r="G3655" s="3" t="s">
        <v>287</v>
      </c>
      <c r="H3655" s="3" t="s">
        <v>32</v>
      </c>
      <c r="I3655" s="3">
        <v>2025</v>
      </c>
      <c r="J3655" s="3" t="str">
        <f>CONCATENATE("54820022538")</f>
        <v>54820022538</v>
      </c>
      <c r="K3655" s="3" t="s">
        <v>33</v>
      </c>
      <c r="L3655" s="3"/>
      <c r="M3655" s="3" t="s">
        <v>131</v>
      </c>
      <c r="N3655" s="3" t="str">
        <f>CONCATENATE("PLTGRL03A09D451S")</f>
        <v>PLTGRL03A09D451S</v>
      </c>
      <c r="O3655" s="3" t="s">
        <v>3770</v>
      </c>
      <c r="P3655" s="3" t="s">
        <v>36</v>
      </c>
      <c r="Q3655" s="3"/>
      <c r="R3655" s="4">
        <v>45996</v>
      </c>
      <c r="S3655" s="3" t="s">
        <v>37</v>
      </c>
      <c r="T3655" s="3" t="s">
        <v>38</v>
      </c>
      <c r="U3655" s="3" t="s">
        <v>39</v>
      </c>
      <c r="V3655" s="3">
        <v>401.85</v>
      </c>
      <c r="W3655" s="3">
        <v>170.79</v>
      </c>
      <c r="X3655" s="3">
        <v>161.74</v>
      </c>
      <c r="Y3655" s="3">
        <v>69.319999999999993</v>
      </c>
    </row>
    <row r="3656" spans="1:25" ht="72.75" x14ac:dyDescent="0.25">
      <c r="A3656" s="3" t="s">
        <v>26</v>
      </c>
      <c r="B3656" s="3" t="s">
        <v>27</v>
      </c>
      <c r="C3656" s="3" t="s">
        <v>28</v>
      </c>
      <c r="D3656" s="3" t="s">
        <v>29</v>
      </c>
      <c r="E3656" s="3" t="s">
        <v>233</v>
      </c>
      <c r="F3656" s="3" t="s">
        <v>31</v>
      </c>
      <c r="G3656" s="3" t="s">
        <v>233</v>
      </c>
      <c r="H3656" s="3" t="s">
        <v>96</v>
      </c>
      <c r="I3656" s="3">
        <v>2025</v>
      </c>
      <c r="J3656" s="3" t="str">
        <f>CONCATENATE("54820037296")</f>
        <v>54820037296</v>
      </c>
      <c r="K3656" s="3" t="s">
        <v>33</v>
      </c>
      <c r="L3656" s="3"/>
      <c r="M3656" s="3" t="s">
        <v>131</v>
      </c>
      <c r="N3656" s="3" t="str">
        <f>CONCATENATE("DDMNLR50C69L597B")</f>
        <v>DDMNLR50C69L597B</v>
      </c>
      <c r="O3656" s="3" t="s">
        <v>3771</v>
      </c>
      <c r="P3656" s="3" t="s">
        <v>36</v>
      </c>
      <c r="Q3656" s="3"/>
      <c r="R3656" s="4">
        <v>45996</v>
      </c>
      <c r="S3656" s="3" t="s">
        <v>37</v>
      </c>
      <c r="T3656" s="3" t="s">
        <v>38</v>
      </c>
      <c r="U3656" s="3" t="s">
        <v>39</v>
      </c>
      <c r="V3656" s="3">
        <v>111.67</v>
      </c>
      <c r="W3656" s="3">
        <v>47.46</v>
      </c>
      <c r="X3656" s="3">
        <v>44.95</v>
      </c>
      <c r="Y3656" s="3">
        <v>19.260000000000002</v>
      </c>
    </row>
    <row r="3657" spans="1:25" ht="60.75" x14ac:dyDescent="0.25">
      <c r="A3657" s="3" t="s">
        <v>26</v>
      </c>
      <c r="B3657" s="3" t="s">
        <v>27</v>
      </c>
      <c r="C3657" s="3" t="s">
        <v>28</v>
      </c>
      <c r="D3657" s="3" t="s">
        <v>29</v>
      </c>
      <c r="E3657" s="3" t="s">
        <v>182</v>
      </c>
      <c r="F3657" s="3" t="s">
        <v>31</v>
      </c>
      <c r="G3657" s="3" t="s">
        <v>182</v>
      </c>
      <c r="H3657" s="3" t="s">
        <v>45</v>
      </c>
      <c r="I3657" s="3">
        <v>2025</v>
      </c>
      <c r="J3657" s="3" t="str">
        <f>CONCATENATE("54820146782")</f>
        <v>54820146782</v>
      </c>
      <c r="K3657" s="3" t="s">
        <v>33</v>
      </c>
      <c r="L3657" s="3"/>
      <c r="M3657" s="3" t="s">
        <v>131</v>
      </c>
      <c r="N3657" s="3" t="str">
        <f>CONCATENATE("MRCFLL56H54L500F")</f>
        <v>MRCFLL56H54L500F</v>
      </c>
      <c r="O3657" s="3" t="s">
        <v>3772</v>
      </c>
      <c r="P3657" s="3" t="s">
        <v>36</v>
      </c>
      <c r="Q3657" s="3"/>
      <c r="R3657" s="4">
        <v>45996</v>
      </c>
      <c r="S3657" s="3" t="s">
        <v>37</v>
      </c>
      <c r="T3657" s="3" t="s">
        <v>38</v>
      </c>
      <c r="U3657" s="3" t="s">
        <v>39</v>
      </c>
      <c r="V3657" s="3">
        <v>80.38</v>
      </c>
      <c r="W3657" s="3">
        <v>34.159999999999997</v>
      </c>
      <c r="X3657" s="3">
        <v>32.35</v>
      </c>
      <c r="Y3657" s="3">
        <v>13.87</v>
      </c>
    </row>
    <row r="3658" spans="1:25" ht="60.75" x14ac:dyDescent="0.25">
      <c r="A3658" s="3" t="s">
        <v>26</v>
      </c>
      <c r="B3658" s="3" t="s">
        <v>27</v>
      </c>
      <c r="C3658" s="3" t="s">
        <v>28</v>
      </c>
      <c r="D3658" s="3" t="s">
        <v>29</v>
      </c>
      <c r="E3658" s="3" t="s">
        <v>47</v>
      </c>
      <c r="F3658" s="3" t="s">
        <v>31</v>
      </c>
      <c r="G3658" s="3" t="s">
        <v>47</v>
      </c>
      <c r="H3658" s="3" t="s">
        <v>48</v>
      </c>
      <c r="I3658" s="3">
        <v>2025</v>
      </c>
      <c r="J3658" s="3" t="str">
        <f>CONCATENATE("54820044003")</f>
        <v>54820044003</v>
      </c>
      <c r="K3658" s="3" t="s">
        <v>33</v>
      </c>
      <c r="L3658" s="3"/>
      <c r="M3658" s="3" t="s">
        <v>131</v>
      </c>
      <c r="N3658" s="3" t="str">
        <f>CONCATENATE("RNLRLD55E10B474A")</f>
        <v>RNLRLD55E10B474A</v>
      </c>
      <c r="O3658" s="3" t="s">
        <v>3773</v>
      </c>
      <c r="P3658" s="3" t="s">
        <v>36</v>
      </c>
      <c r="Q3658" s="3"/>
      <c r="R3658" s="4">
        <v>45996</v>
      </c>
      <c r="S3658" s="3" t="s">
        <v>37</v>
      </c>
      <c r="T3658" s="3" t="s">
        <v>38</v>
      </c>
      <c r="U3658" s="3" t="s">
        <v>39</v>
      </c>
      <c r="V3658" s="3">
        <v>97.98</v>
      </c>
      <c r="W3658" s="3">
        <v>41.64</v>
      </c>
      <c r="X3658" s="3">
        <v>39.44</v>
      </c>
      <c r="Y3658" s="3">
        <v>16.899999999999999</v>
      </c>
    </row>
    <row r="3659" spans="1:25" ht="60.75" x14ac:dyDescent="0.25">
      <c r="A3659" s="3" t="s">
        <v>26</v>
      </c>
      <c r="B3659" s="3" t="s">
        <v>27</v>
      </c>
      <c r="C3659" s="3" t="s">
        <v>28</v>
      </c>
      <c r="D3659" s="3" t="s">
        <v>29</v>
      </c>
      <c r="E3659" s="3" t="s">
        <v>47</v>
      </c>
      <c r="F3659" s="3" t="s">
        <v>31</v>
      </c>
      <c r="G3659" s="3" t="s">
        <v>47</v>
      </c>
      <c r="H3659" s="3" t="s">
        <v>48</v>
      </c>
      <c r="I3659" s="3">
        <v>2025</v>
      </c>
      <c r="J3659" s="3" t="str">
        <f>CONCATENATE("54820084348")</f>
        <v>54820084348</v>
      </c>
      <c r="K3659" s="3" t="s">
        <v>33</v>
      </c>
      <c r="L3659" s="3"/>
      <c r="M3659" s="3" t="s">
        <v>131</v>
      </c>
      <c r="N3659" s="3" t="str">
        <f>CONCATENATE("DNGPTR96P12E230A")</f>
        <v>DNGPTR96P12E230A</v>
      </c>
      <c r="O3659" s="3" t="s">
        <v>3774</v>
      </c>
      <c r="P3659" s="3" t="s">
        <v>36</v>
      </c>
      <c r="Q3659" s="3"/>
      <c r="R3659" s="4">
        <v>45996</v>
      </c>
      <c r="S3659" s="3" t="s">
        <v>37</v>
      </c>
      <c r="T3659" s="3" t="s">
        <v>38</v>
      </c>
      <c r="U3659" s="3" t="s">
        <v>39</v>
      </c>
      <c r="V3659" s="3">
        <v>849.27</v>
      </c>
      <c r="W3659" s="3">
        <v>360.94</v>
      </c>
      <c r="X3659" s="3">
        <v>341.83</v>
      </c>
      <c r="Y3659" s="3">
        <v>146.5</v>
      </c>
    </row>
    <row r="3660" spans="1:25" ht="60.75" x14ac:dyDescent="0.25">
      <c r="A3660" s="3" t="s">
        <v>26</v>
      </c>
      <c r="B3660" s="3" t="s">
        <v>27</v>
      </c>
      <c r="C3660" s="3" t="s">
        <v>28</v>
      </c>
      <c r="D3660" s="3" t="s">
        <v>29</v>
      </c>
      <c r="E3660" s="3" t="s">
        <v>119</v>
      </c>
      <c r="F3660" s="3" t="s">
        <v>31</v>
      </c>
      <c r="G3660" s="3" t="s">
        <v>119</v>
      </c>
      <c r="H3660" s="3" t="s">
        <v>96</v>
      </c>
      <c r="I3660" s="3">
        <v>2025</v>
      </c>
      <c r="J3660" s="3" t="str">
        <f>CONCATENATE("54820073465")</f>
        <v>54820073465</v>
      </c>
      <c r="K3660" s="3" t="s">
        <v>33</v>
      </c>
      <c r="L3660" s="3"/>
      <c r="M3660" s="3" t="s">
        <v>131</v>
      </c>
      <c r="N3660" s="3" t="str">
        <f>CONCATENATE("GGLMRA64A19A252Y")</f>
        <v>GGLMRA64A19A252Y</v>
      </c>
      <c r="O3660" s="3" t="s">
        <v>3775</v>
      </c>
      <c r="P3660" s="3" t="s">
        <v>36</v>
      </c>
      <c r="Q3660" s="3"/>
      <c r="R3660" s="4">
        <v>45996</v>
      </c>
      <c r="S3660" s="3" t="s">
        <v>37</v>
      </c>
      <c r="T3660" s="3" t="s">
        <v>38</v>
      </c>
      <c r="U3660" s="3" t="s">
        <v>39</v>
      </c>
      <c r="V3660" s="3">
        <v>145.51</v>
      </c>
      <c r="W3660" s="3">
        <v>61.84</v>
      </c>
      <c r="X3660" s="3">
        <v>58.57</v>
      </c>
      <c r="Y3660" s="3">
        <v>25.1</v>
      </c>
    </row>
    <row r="3661" spans="1:25" ht="60.75" x14ac:dyDescent="0.25">
      <c r="A3661" s="3" t="s">
        <v>26</v>
      </c>
      <c r="B3661" s="3" t="s">
        <v>27</v>
      </c>
      <c r="C3661" s="3" t="s">
        <v>28</v>
      </c>
      <c r="D3661" s="3" t="s">
        <v>40</v>
      </c>
      <c r="E3661" s="3" t="s">
        <v>99</v>
      </c>
      <c r="F3661" s="3" t="s">
        <v>42</v>
      </c>
      <c r="G3661" s="3" t="s">
        <v>99</v>
      </c>
      <c r="H3661" s="3" t="s">
        <v>32</v>
      </c>
      <c r="I3661" s="3">
        <v>2025</v>
      </c>
      <c r="J3661" s="3" t="str">
        <f>CONCATENATE("54820082342")</f>
        <v>54820082342</v>
      </c>
      <c r="K3661" s="3" t="s">
        <v>33</v>
      </c>
      <c r="L3661" s="3"/>
      <c r="M3661" s="3" t="s">
        <v>131</v>
      </c>
      <c r="N3661" s="3" t="str">
        <f>CONCATENATE("CSRFBA93A18L182B")</f>
        <v>CSRFBA93A18L182B</v>
      </c>
      <c r="O3661" s="3" t="s">
        <v>3776</v>
      </c>
      <c r="P3661" s="3" t="s">
        <v>36</v>
      </c>
      <c r="Q3661" s="3"/>
      <c r="R3661" s="4">
        <v>45996</v>
      </c>
      <c r="S3661" s="3" t="s">
        <v>37</v>
      </c>
      <c r="T3661" s="3" t="s">
        <v>38</v>
      </c>
      <c r="U3661" s="3" t="s">
        <v>39</v>
      </c>
      <c r="V3661" s="3">
        <v>71.58</v>
      </c>
      <c r="W3661" s="3">
        <v>30.42</v>
      </c>
      <c r="X3661" s="3">
        <v>28.81</v>
      </c>
      <c r="Y3661" s="3">
        <v>12.35</v>
      </c>
    </row>
    <row r="3662" spans="1:25" ht="60.75" x14ac:dyDescent="0.25">
      <c r="A3662" s="3" t="s">
        <v>26</v>
      </c>
      <c r="B3662" s="3" t="s">
        <v>27</v>
      </c>
      <c r="C3662" s="3" t="s">
        <v>28</v>
      </c>
      <c r="D3662" s="3" t="s">
        <v>104</v>
      </c>
      <c r="E3662" s="3" t="s">
        <v>141</v>
      </c>
      <c r="F3662" s="3" t="s">
        <v>104</v>
      </c>
      <c r="G3662" s="3" t="s">
        <v>141</v>
      </c>
      <c r="H3662" s="3" t="s">
        <v>96</v>
      </c>
      <c r="I3662" s="3">
        <v>2025</v>
      </c>
      <c r="J3662" s="3" t="str">
        <f>CONCATENATE("54820137351")</f>
        <v>54820137351</v>
      </c>
      <c r="K3662" s="3" t="s">
        <v>33</v>
      </c>
      <c r="L3662" s="3"/>
      <c r="M3662" s="3" t="s">
        <v>131</v>
      </c>
      <c r="N3662" s="3" t="str">
        <f>CONCATENATE("MRCDNC65A31F509Y")</f>
        <v>MRCDNC65A31F509Y</v>
      </c>
      <c r="O3662" s="3" t="s">
        <v>3777</v>
      </c>
      <c r="P3662" s="3" t="s">
        <v>36</v>
      </c>
      <c r="Q3662" s="3"/>
      <c r="R3662" s="4">
        <v>45996</v>
      </c>
      <c r="S3662" s="3" t="s">
        <v>37</v>
      </c>
      <c r="T3662" s="3" t="s">
        <v>38</v>
      </c>
      <c r="U3662" s="3" t="s">
        <v>39</v>
      </c>
      <c r="V3662" s="3">
        <v>156.54</v>
      </c>
      <c r="W3662" s="3">
        <v>66.53</v>
      </c>
      <c r="X3662" s="3">
        <v>63.01</v>
      </c>
      <c r="Y3662" s="3">
        <v>27</v>
      </c>
    </row>
    <row r="3663" spans="1:25" ht="60.75" x14ac:dyDescent="0.25">
      <c r="A3663" s="3" t="s">
        <v>26</v>
      </c>
      <c r="B3663" s="3" t="s">
        <v>27</v>
      </c>
      <c r="C3663" s="3" t="s">
        <v>28</v>
      </c>
      <c r="D3663" s="3" t="s">
        <v>50</v>
      </c>
      <c r="E3663" s="3" t="s">
        <v>173</v>
      </c>
      <c r="F3663" s="3" t="s">
        <v>52</v>
      </c>
      <c r="G3663" s="3" t="s">
        <v>173</v>
      </c>
      <c r="H3663" s="3" t="s">
        <v>45</v>
      </c>
      <c r="I3663" s="3">
        <v>2025</v>
      </c>
      <c r="J3663" s="3" t="str">
        <f>CONCATENATE("54820083324")</f>
        <v>54820083324</v>
      </c>
      <c r="K3663" s="3" t="s">
        <v>33</v>
      </c>
      <c r="L3663" s="3"/>
      <c r="M3663" s="3" t="s">
        <v>131</v>
      </c>
      <c r="N3663" s="3" t="str">
        <f>CONCATENATE("SPCGNN61D21F524V")</f>
        <v>SPCGNN61D21F524V</v>
      </c>
      <c r="O3663" s="3" t="s">
        <v>3778</v>
      </c>
      <c r="P3663" s="3" t="s">
        <v>36</v>
      </c>
      <c r="Q3663" s="3"/>
      <c r="R3663" s="4">
        <v>45996</v>
      </c>
      <c r="S3663" s="3" t="s">
        <v>37</v>
      </c>
      <c r="T3663" s="3" t="s">
        <v>38</v>
      </c>
      <c r="U3663" s="3" t="s">
        <v>39</v>
      </c>
      <c r="V3663" s="3">
        <v>97.91</v>
      </c>
      <c r="W3663" s="3">
        <v>41.61</v>
      </c>
      <c r="X3663" s="3">
        <v>39.409999999999997</v>
      </c>
      <c r="Y3663" s="3">
        <v>16.89</v>
      </c>
    </row>
    <row r="3664" spans="1:25" ht="60.75" x14ac:dyDescent="0.25">
      <c r="A3664" s="3" t="s">
        <v>26</v>
      </c>
      <c r="B3664" s="3" t="s">
        <v>27</v>
      </c>
      <c r="C3664" s="3" t="s">
        <v>28</v>
      </c>
      <c r="D3664" s="3" t="s">
        <v>50</v>
      </c>
      <c r="E3664" s="3" t="s">
        <v>147</v>
      </c>
      <c r="F3664" s="3" t="s">
        <v>52</v>
      </c>
      <c r="G3664" s="3" t="s">
        <v>147</v>
      </c>
      <c r="H3664" s="3" t="s">
        <v>45</v>
      </c>
      <c r="I3664" s="3">
        <v>2025</v>
      </c>
      <c r="J3664" s="3" t="str">
        <f>CONCATENATE("54820122981")</f>
        <v>54820122981</v>
      </c>
      <c r="K3664" s="3" t="s">
        <v>33</v>
      </c>
      <c r="L3664" s="3"/>
      <c r="M3664" s="3" t="s">
        <v>131</v>
      </c>
      <c r="N3664" s="3" t="str">
        <f>CONCATENATE("RSOCLD73C56D488A")</f>
        <v>RSOCLD73C56D488A</v>
      </c>
      <c r="O3664" s="3" t="s">
        <v>3779</v>
      </c>
      <c r="P3664" s="3" t="s">
        <v>36</v>
      </c>
      <c r="Q3664" s="3"/>
      <c r="R3664" s="4">
        <v>45996</v>
      </c>
      <c r="S3664" s="3" t="s">
        <v>37</v>
      </c>
      <c r="T3664" s="3" t="s">
        <v>38</v>
      </c>
      <c r="U3664" s="3" t="s">
        <v>39</v>
      </c>
      <c r="V3664" s="3">
        <v>452.97</v>
      </c>
      <c r="W3664" s="3">
        <v>192.51</v>
      </c>
      <c r="X3664" s="3">
        <v>182.32</v>
      </c>
      <c r="Y3664" s="3">
        <v>78.14</v>
      </c>
    </row>
    <row r="3665" spans="1:25" ht="60.75" x14ac:dyDescent="0.25">
      <c r="A3665" s="3" t="s">
        <v>26</v>
      </c>
      <c r="B3665" s="3" t="s">
        <v>27</v>
      </c>
      <c r="C3665" s="3" t="s">
        <v>28</v>
      </c>
      <c r="D3665" s="3" t="s">
        <v>50</v>
      </c>
      <c r="E3665" s="3" t="s">
        <v>51</v>
      </c>
      <c r="F3665" s="3" t="s">
        <v>52</v>
      </c>
      <c r="G3665" s="3" t="s">
        <v>51</v>
      </c>
      <c r="H3665" s="3" t="s">
        <v>48</v>
      </c>
      <c r="I3665" s="3">
        <v>2025</v>
      </c>
      <c r="J3665" s="3" t="str">
        <f>CONCATENATE("54820067574")</f>
        <v>54820067574</v>
      </c>
      <c r="K3665" s="3" t="s">
        <v>33</v>
      </c>
      <c r="L3665" s="3"/>
      <c r="M3665" s="3" t="s">
        <v>131</v>
      </c>
      <c r="N3665" s="3" t="str">
        <f>CONCATENATE("BNCSMN79P30I461T")</f>
        <v>BNCSMN79P30I461T</v>
      </c>
      <c r="O3665" s="3" t="s">
        <v>3780</v>
      </c>
      <c r="P3665" s="3" t="s">
        <v>36</v>
      </c>
      <c r="Q3665" s="3"/>
      <c r="R3665" s="4">
        <v>45996</v>
      </c>
      <c r="S3665" s="3" t="s">
        <v>37</v>
      </c>
      <c r="T3665" s="3" t="s">
        <v>38</v>
      </c>
      <c r="U3665" s="3" t="s">
        <v>39</v>
      </c>
      <c r="V3665" s="3">
        <v>134.63999999999999</v>
      </c>
      <c r="W3665" s="3">
        <v>57.22</v>
      </c>
      <c r="X3665" s="3">
        <v>54.19</v>
      </c>
      <c r="Y3665" s="3">
        <v>23.23</v>
      </c>
    </row>
    <row r="3666" spans="1:25" ht="60.75" x14ac:dyDescent="0.25">
      <c r="A3666" s="3" t="s">
        <v>26</v>
      </c>
      <c r="B3666" s="3" t="s">
        <v>27</v>
      </c>
      <c r="C3666" s="3" t="s">
        <v>28</v>
      </c>
      <c r="D3666" s="3" t="s">
        <v>50</v>
      </c>
      <c r="E3666" s="3" t="s">
        <v>1121</v>
      </c>
      <c r="F3666" s="3" t="s">
        <v>52</v>
      </c>
      <c r="G3666" s="3" t="s">
        <v>1121</v>
      </c>
      <c r="H3666" s="3" t="s">
        <v>48</v>
      </c>
      <c r="I3666" s="3">
        <v>2025</v>
      </c>
      <c r="J3666" s="3" t="str">
        <f>CONCATENATE("54820114921")</f>
        <v>54820114921</v>
      </c>
      <c r="K3666" s="3" t="s">
        <v>33</v>
      </c>
      <c r="L3666" s="3"/>
      <c r="M3666" s="3" t="s">
        <v>131</v>
      </c>
      <c r="N3666" s="3" t="str">
        <f>CONCATENATE("PNSFRC62E04A271M")</f>
        <v>PNSFRC62E04A271M</v>
      </c>
      <c r="O3666" s="3" t="s">
        <v>3781</v>
      </c>
      <c r="P3666" s="3" t="s">
        <v>36</v>
      </c>
      <c r="Q3666" s="3"/>
      <c r="R3666" s="4">
        <v>45996</v>
      </c>
      <c r="S3666" s="3" t="s">
        <v>37</v>
      </c>
      <c r="T3666" s="3" t="s">
        <v>38</v>
      </c>
      <c r="U3666" s="3" t="s">
        <v>39</v>
      </c>
      <c r="V3666" s="3">
        <v>401.22</v>
      </c>
      <c r="W3666" s="3">
        <v>170.52</v>
      </c>
      <c r="X3666" s="3">
        <v>161.49</v>
      </c>
      <c r="Y3666" s="3">
        <v>69.209999999999994</v>
      </c>
    </row>
    <row r="3667" spans="1:25" ht="60.75" x14ac:dyDescent="0.25">
      <c r="A3667" s="3" t="s">
        <v>26</v>
      </c>
      <c r="B3667" s="3" t="s">
        <v>27</v>
      </c>
      <c r="C3667" s="3" t="s">
        <v>28</v>
      </c>
      <c r="D3667" s="3" t="s">
        <v>29</v>
      </c>
      <c r="E3667" s="3" t="s">
        <v>47</v>
      </c>
      <c r="F3667" s="3" t="s">
        <v>31</v>
      </c>
      <c r="G3667" s="3" t="s">
        <v>47</v>
      </c>
      <c r="H3667" s="3" t="s">
        <v>48</v>
      </c>
      <c r="I3667" s="3">
        <v>2025</v>
      </c>
      <c r="J3667" s="3" t="str">
        <f>CONCATENATE("54820073374")</f>
        <v>54820073374</v>
      </c>
      <c r="K3667" s="3" t="s">
        <v>33</v>
      </c>
      <c r="L3667" s="3"/>
      <c r="M3667" s="3" t="s">
        <v>131</v>
      </c>
      <c r="N3667" s="3" t="str">
        <f>CONCATENATE("RNGSML89M15E388Z")</f>
        <v>RNGSML89M15E388Z</v>
      </c>
      <c r="O3667" s="3" t="s">
        <v>3782</v>
      </c>
      <c r="P3667" s="3" t="s">
        <v>36</v>
      </c>
      <c r="Q3667" s="3"/>
      <c r="R3667" s="4">
        <v>45996</v>
      </c>
      <c r="S3667" s="3" t="s">
        <v>37</v>
      </c>
      <c r="T3667" s="3" t="s">
        <v>38</v>
      </c>
      <c r="U3667" s="3" t="s">
        <v>39</v>
      </c>
      <c r="V3667" s="3">
        <v>54.74</v>
      </c>
      <c r="W3667" s="3">
        <v>23.26</v>
      </c>
      <c r="X3667" s="3">
        <v>22.03</v>
      </c>
      <c r="Y3667" s="3">
        <v>9.4499999999999993</v>
      </c>
    </row>
    <row r="3668" spans="1:25" ht="60.75" x14ac:dyDescent="0.25">
      <c r="A3668" s="3" t="s">
        <v>26</v>
      </c>
      <c r="B3668" s="3" t="s">
        <v>27</v>
      </c>
      <c r="C3668" s="3" t="s">
        <v>28</v>
      </c>
      <c r="D3668" s="3" t="s">
        <v>50</v>
      </c>
      <c r="E3668" s="3" t="s">
        <v>107</v>
      </c>
      <c r="F3668" s="3" t="s">
        <v>52</v>
      </c>
      <c r="G3668" s="3" t="s">
        <v>107</v>
      </c>
      <c r="H3668" s="3" t="s">
        <v>48</v>
      </c>
      <c r="I3668" s="3">
        <v>2025</v>
      </c>
      <c r="J3668" s="3" t="str">
        <f>CONCATENATE("54820209671")</f>
        <v>54820209671</v>
      </c>
      <c r="K3668" s="3" t="s">
        <v>33</v>
      </c>
      <c r="L3668" s="3"/>
      <c r="M3668" s="3" t="s">
        <v>131</v>
      </c>
      <c r="N3668" s="3" t="str">
        <f>CONCATENATE("CCCGNN67C22E388T")</f>
        <v>CCCGNN67C22E388T</v>
      </c>
      <c r="O3668" s="3" t="s">
        <v>3783</v>
      </c>
      <c r="P3668" s="3" t="s">
        <v>36</v>
      </c>
      <c r="Q3668" s="3"/>
      <c r="R3668" s="4">
        <v>45996</v>
      </c>
      <c r="S3668" s="3" t="s">
        <v>37</v>
      </c>
      <c r="T3668" s="3" t="s">
        <v>38</v>
      </c>
      <c r="U3668" s="3" t="s">
        <v>39</v>
      </c>
      <c r="V3668" s="3">
        <v>108.12</v>
      </c>
      <c r="W3668" s="3">
        <v>45.95</v>
      </c>
      <c r="X3668" s="3">
        <v>43.52</v>
      </c>
      <c r="Y3668" s="3">
        <v>18.649999999999999</v>
      </c>
    </row>
    <row r="3669" spans="1:25" ht="72.75" x14ac:dyDescent="0.25">
      <c r="A3669" s="3" t="s">
        <v>26</v>
      </c>
      <c r="B3669" s="3" t="s">
        <v>27</v>
      </c>
      <c r="C3669" s="3" t="s">
        <v>28</v>
      </c>
      <c r="D3669" s="3" t="s">
        <v>50</v>
      </c>
      <c r="E3669" s="3" t="s">
        <v>51</v>
      </c>
      <c r="F3669" s="3" t="s">
        <v>52</v>
      </c>
      <c r="G3669" s="3" t="s">
        <v>51</v>
      </c>
      <c r="H3669" s="3" t="s">
        <v>48</v>
      </c>
      <c r="I3669" s="3">
        <v>2025</v>
      </c>
      <c r="J3669" s="3" t="str">
        <f>CONCATENATE("54820052477")</f>
        <v>54820052477</v>
      </c>
      <c r="K3669" s="3" t="s">
        <v>33</v>
      </c>
      <c r="L3669" s="3"/>
      <c r="M3669" s="3" t="s">
        <v>131</v>
      </c>
      <c r="N3669" s="3" t="str">
        <f>CONCATENATE("NGLGLN67R66D451R")</f>
        <v>NGLGLN67R66D451R</v>
      </c>
      <c r="O3669" s="3" t="s">
        <v>3784</v>
      </c>
      <c r="P3669" s="3" t="s">
        <v>36</v>
      </c>
      <c r="Q3669" s="3"/>
      <c r="R3669" s="4">
        <v>45996</v>
      </c>
      <c r="S3669" s="3" t="s">
        <v>37</v>
      </c>
      <c r="T3669" s="3" t="s">
        <v>38</v>
      </c>
      <c r="U3669" s="3" t="s">
        <v>39</v>
      </c>
      <c r="V3669" s="3">
        <v>553.19000000000005</v>
      </c>
      <c r="W3669" s="3">
        <v>235.11</v>
      </c>
      <c r="X3669" s="3">
        <v>222.66</v>
      </c>
      <c r="Y3669" s="3">
        <v>95.42</v>
      </c>
    </row>
    <row r="3670" spans="1:25" ht="72.75" x14ac:dyDescent="0.25">
      <c r="A3670" s="3" t="s">
        <v>26</v>
      </c>
      <c r="B3670" s="3" t="s">
        <v>27</v>
      </c>
      <c r="C3670" s="3" t="s">
        <v>28</v>
      </c>
      <c r="D3670" s="3" t="s">
        <v>29</v>
      </c>
      <c r="E3670" s="3" t="s">
        <v>72</v>
      </c>
      <c r="F3670" s="3" t="s">
        <v>31</v>
      </c>
      <c r="G3670" s="3" t="s">
        <v>72</v>
      </c>
      <c r="H3670" s="3" t="s">
        <v>45</v>
      </c>
      <c r="I3670" s="3">
        <v>2025</v>
      </c>
      <c r="J3670" s="3" t="str">
        <f>CONCATENATE("54820159249")</f>
        <v>54820159249</v>
      </c>
      <c r="K3670" s="3" t="s">
        <v>33</v>
      </c>
      <c r="L3670" s="3"/>
      <c r="M3670" s="3" t="s">
        <v>131</v>
      </c>
      <c r="N3670" s="3" t="str">
        <f>CONCATENATE("MGAFLL56B49B352D")</f>
        <v>MGAFLL56B49B352D</v>
      </c>
      <c r="O3670" s="3" t="s">
        <v>3785</v>
      </c>
      <c r="P3670" s="3" t="s">
        <v>36</v>
      </c>
      <c r="Q3670" s="3"/>
      <c r="R3670" s="4">
        <v>45996</v>
      </c>
      <c r="S3670" s="3" t="s">
        <v>37</v>
      </c>
      <c r="T3670" s="3" t="s">
        <v>38</v>
      </c>
      <c r="U3670" s="3" t="s">
        <v>39</v>
      </c>
      <c r="V3670" s="3">
        <v>179.14</v>
      </c>
      <c r="W3670" s="3">
        <v>76.13</v>
      </c>
      <c r="X3670" s="3">
        <v>72.099999999999994</v>
      </c>
      <c r="Y3670" s="3">
        <v>30.91</v>
      </c>
    </row>
    <row r="3671" spans="1:25" ht="60.75" x14ac:dyDescent="0.25">
      <c r="A3671" s="3" t="s">
        <v>26</v>
      </c>
      <c r="B3671" s="3" t="s">
        <v>27</v>
      </c>
      <c r="C3671" s="3" t="s">
        <v>28</v>
      </c>
      <c r="D3671" s="3" t="s">
        <v>29</v>
      </c>
      <c r="E3671" s="3" t="s">
        <v>136</v>
      </c>
      <c r="F3671" s="3" t="s">
        <v>31</v>
      </c>
      <c r="G3671" s="3" t="s">
        <v>136</v>
      </c>
      <c r="H3671" s="3" t="s">
        <v>48</v>
      </c>
      <c r="I3671" s="3">
        <v>2025</v>
      </c>
      <c r="J3671" s="3" t="str">
        <f>CONCATENATE("54820133137")</f>
        <v>54820133137</v>
      </c>
      <c r="K3671" s="3" t="s">
        <v>33</v>
      </c>
      <c r="L3671" s="3"/>
      <c r="M3671" s="3" t="s">
        <v>131</v>
      </c>
      <c r="N3671" s="3" t="str">
        <f>CONCATENATE("GNTSTN46D26A366Y")</f>
        <v>GNTSTN46D26A366Y</v>
      </c>
      <c r="O3671" s="3" t="s">
        <v>3786</v>
      </c>
      <c r="P3671" s="3" t="s">
        <v>36</v>
      </c>
      <c r="Q3671" s="3"/>
      <c r="R3671" s="4">
        <v>45996</v>
      </c>
      <c r="S3671" s="3" t="s">
        <v>37</v>
      </c>
      <c r="T3671" s="3" t="s">
        <v>38</v>
      </c>
      <c r="U3671" s="3" t="s">
        <v>39</v>
      </c>
      <c r="V3671" s="3">
        <v>176.4</v>
      </c>
      <c r="W3671" s="3">
        <v>74.97</v>
      </c>
      <c r="X3671" s="3">
        <v>71</v>
      </c>
      <c r="Y3671" s="3">
        <v>30.43</v>
      </c>
    </row>
    <row r="3672" spans="1:25" ht="60.75" x14ac:dyDescent="0.25">
      <c r="A3672" s="3" t="s">
        <v>26</v>
      </c>
      <c r="B3672" s="3" t="s">
        <v>27</v>
      </c>
      <c r="C3672" s="3" t="s">
        <v>28</v>
      </c>
      <c r="D3672" s="3" t="s">
        <v>50</v>
      </c>
      <c r="E3672" s="3" t="s">
        <v>51</v>
      </c>
      <c r="F3672" s="3" t="s">
        <v>52</v>
      </c>
      <c r="G3672" s="3" t="s">
        <v>51</v>
      </c>
      <c r="H3672" s="3" t="s">
        <v>48</v>
      </c>
      <c r="I3672" s="3">
        <v>2025</v>
      </c>
      <c r="J3672" s="3" t="str">
        <f>CONCATENATE("54820109988")</f>
        <v>54820109988</v>
      </c>
      <c r="K3672" s="3" t="s">
        <v>33</v>
      </c>
      <c r="L3672" s="3"/>
      <c r="M3672" s="3" t="s">
        <v>131</v>
      </c>
      <c r="N3672" s="3" t="str">
        <f>CONCATENATE("ZCHKDR70L24Z148A")</f>
        <v>ZCHKDR70L24Z148A</v>
      </c>
      <c r="O3672" s="3" t="s">
        <v>3787</v>
      </c>
      <c r="P3672" s="3" t="s">
        <v>36</v>
      </c>
      <c r="Q3672" s="3"/>
      <c r="R3672" s="4">
        <v>45996</v>
      </c>
      <c r="S3672" s="3" t="s">
        <v>37</v>
      </c>
      <c r="T3672" s="3" t="s">
        <v>38</v>
      </c>
      <c r="U3672" s="3" t="s">
        <v>39</v>
      </c>
      <c r="V3672" s="3">
        <v>179.5</v>
      </c>
      <c r="W3672" s="3">
        <v>76.290000000000006</v>
      </c>
      <c r="X3672" s="3">
        <v>72.25</v>
      </c>
      <c r="Y3672" s="3">
        <v>30.96</v>
      </c>
    </row>
    <row r="3673" spans="1:25" ht="60.75" x14ac:dyDescent="0.25">
      <c r="A3673" s="3" t="s">
        <v>26</v>
      </c>
      <c r="B3673" s="3" t="s">
        <v>27</v>
      </c>
      <c r="C3673" s="3" t="s">
        <v>28</v>
      </c>
      <c r="D3673" s="3" t="s">
        <v>29</v>
      </c>
      <c r="E3673" s="3" t="s">
        <v>119</v>
      </c>
      <c r="F3673" s="3" t="s">
        <v>31</v>
      </c>
      <c r="G3673" s="3" t="s">
        <v>119</v>
      </c>
      <c r="H3673" s="3" t="s">
        <v>96</v>
      </c>
      <c r="I3673" s="3">
        <v>2025</v>
      </c>
      <c r="J3673" s="3" t="str">
        <f>CONCATENATE("54820055140")</f>
        <v>54820055140</v>
      </c>
      <c r="K3673" s="3" t="s">
        <v>33</v>
      </c>
      <c r="L3673" s="3"/>
      <c r="M3673" s="3" t="s">
        <v>131</v>
      </c>
      <c r="N3673" s="3" t="str">
        <f>CONCATENATE("RSSNTN51A27D691J")</f>
        <v>RSSNTN51A27D691J</v>
      </c>
      <c r="O3673" s="3" t="s">
        <v>3788</v>
      </c>
      <c r="P3673" s="3" t="s">
        <v>36</v>
      </c>
      <c r="Q3673" s="3"/>
      <c r="R3673" s="4">
        <v>45996</v>
      </c>
      <c r="S3673" s="3" t="s">
        <v>37</v>
      </c>
      <c r="T3673" s="3" t="s">
        <v>38</v>
      </c>
      <c r="U3673" s="3" t="s">
        <v>39</v>
      </c>
      <c r="V3673" s="3">
        <v>92.38</v>
      </c>
      <c r="W3673" s="3">
        <v>39.26</v>
      </c>
      <c r="X3673" s="3">
        <v>37.18</v>
      </c>
      <c r="Y3673" s="3">
        <v>15.94</v>
      </c>
    </row>
    <row r="3674" spans="1:25" ht="72.75" x14ac:dyDescent="0.25">
      <c r="A3674" s="3" t="s">
        <v>26</v>
      </c>
      <c r="B3674" s="3" t="s">
        <v>27</v>
      </c>
      <c r="C3674" s="3" t="s">
        <v>28</v>
      </c>
      <c r="D3674" s="3" t="s">
        <v>50</v>
      </c>
      <c r="E3674" s="3" t="s">
        <v>147</v>
      </c>
      <c r="F3674" s="3" t="s">
        <v>52</v>
      </c>
      <c r="G3674" s="3" t="s">
        <v>147</v>
      </c>
      <c r="H3674" s="3" t="s">
        <v>45</v>
      </c>
      <c r="I3674" s="3">
        <v>2025</v>
      </c>
      <c r="J3674" s="3" t="str">
        <f>CONCATENATE("54820126560")</f>
        <v>54820126560</v>
      </c>
      <c r="K3674" s="3" t="s">
        <v>33</v>
      </c>
      <c r="L3674" s="3"/>
      <c r="M3674" s="3" t="s">
        <v>131</v>
      </c>
      <c r="N3674" s="3" t="str">
        <f>CONCATENATE("MNGNTS47H47L498L")</f>
        <v>MNGNTS47H47L498L</v>
      </c>
      <c r="O3674" s="3" t="s">
        <v>3789</v>
      </c>
      <c r="P3674" s="3" t="s">
        <v>36</v>
      </c>
      <c r="Q3674" s="3"/>
      <c r="R3674" s="4">
        <v>45996</v>
      </c>
      <c r="S3674" s="3" t="s">
        <v>37</v>
      </c>
      <c r="T3674" s="3" t="s">
        <v>38</v>
      </c>
      <c r="U3674" s="3" t="s">
        <v>39</v>
      </c>
      <c r="V3674" s="3">
        <v>147.91</v>
      </c>
      <c r="W3674" s="3">
        <v>62.86</v>
      </c>
      <c r="X3674" s="3">
        <v>59.53</v>
      </c>
      <c r="Y3674" s="3">
        <v>25.52</v>
      </c>
    </row>
    <row r="3675" spans="1:25" ht="60.75" x14ac:dyDescent="0.25">
      <c r="A3675" s="3" t="s">
        <v>26</v>
      </c>
      <c r="B3675" s="3" t="s">
        <v>27</v>
      </c>
      <c r="C3675" s="3" t="s">
        <v>28</v>
      </c>
      <c r="D3675" s="3" t="s">
        <v>29</v>
      </c>
      <c r="E3675" s="3" t="s">
        <v>72</v>
      </c>
      <c r="F3675" s="3" t="s">
        <v>31</v>
      </c>
      <c r="G3675" s="3" t="s">
        <v>72</v>
      </c>
      <c r="H3675" s="3" t="s">
        <v>45</v>
      </c>
      <c r="I3675" s="3">
        <v>2025</v>
      </c>
      <c r="J3675" s="3" t="str">
        <f>CONCATENATE("54820074877")</f>
        <v>54820074877</v>
      </c>
      <c r="K3675" s="3" t="s">
        <v>33</v>
      </c>
      <c r="L3675" s="3"/>
      <c r="M3675" s="3" t="s">
        <v>131</v>
      </c>
      <c r="N3675" s="3" t="str">
        <f>CONCATENATE("BLDNDR77E16L500Z")</f>
        <v>BLDNDR77E16L500Z</v>
      </c>
      <c r="O3675" s="3" t="s">
        <v>3790</v>
      </c>
      <c r="P3675" s="3" t="s">
        <v>36</v>
      </c>
      <c r="Q3675" s="3"/>
      <c r="R3675" s="4">
        <v>45996</v>
      </c>
      <c r="S3675" s="3" t="s">
        <v>37</v>
      </c>
      <c r="T3675" s="3" t="s">
        <v>38</v>
      </c>
      <c r="U3675" s="3" t="s">
        <v>39</v>
      </c>
      <c r="V3675" s="3">
        <v>108.65</v>
      </c>
      <c r="W3675" s="3">
        <v>46.18</v>
      </c>
      <c r="X3675" s="3">
        <v>43.73</v>
      </c>
      <c r="Y3675" s="3">
        <v>18.739999999999998</v>
      </c>
    </row>
    <row r="3676" spans="1:25" ht="60.75" x14ac:dyDescent="0.25">
      <c r="A3676" s="3" t="s">
        <v>26</v>
      </c>
      <c r="B3676" s="3" t="s">
        <v>27</v>
      </c>
      <c r="C3676" s="3" t="s">
        <v>28</v>
      </c>
      <c r="D3676" s="3" t="s">
        <v>50</v>
      </c>
      <c r="E3676" s="3" t="s">
        <v>173</v>
      </c>
      <c r="F3676" s="3" t="s">
        <v>52</v>
      </c>
      <c r="G3676" s="3" t="s">
        <v>173</v>
      </c>
      <c r="H3676" s="3" t="s">
        <v>45</v>
      </c>
      <c r="I3676" s="3">
        <v>2025</v>
      </c>
      <c r="J3676" s="3" t="str">
        <f>CONCATENATE("54820045489")</f>
        <v>54820045489</v>
      </c>
      <c r="K3676" s="3" t="s">
        <v>33</v>
      </c>
      <c r="L3676" s="3"/>
      <c r="M3676" s="3" t="s">
        <v>131</v>
      </c>
      <c r="N3676" s="3" t="str">
        <f>CONCATENATE("RSSMRA60C48F524A")</f>
        <v>RSSMRA60C48F524A</v>
      </c>
      <c r="O3676" s="3" t="s">
        <v>3791</v>
      </c>
      <c r="P3676" s="3" t="s">
        <v>36</v>
      </c>
      <c r="Q3676" s="3"/>
      <c r="R3676" s="4">
        <v>45996</v>
      </c>
      <c r="S3676" s="3" t="s">
        <v>37</v>
      </c>
      <c r="T3676" s="3" t="s">
        <v>38</v>
      </c>
      <c r="U3676" s="3" t="s">
        <v>39</v>
      </c>
      <c r="V3676" s="3">
        <v>107.22</v>
      </c>
      <c r="W3676" s="3">
        <v>45.57</v>
      </c>
      <c r="X3676" s="3">
        <v>43.16</v>
      </c>
      <c r="Y3676" s="3">
        <v>18.489999999999998</v>
      </c>
    </row>
    <row r="3677" spans="1:25" ht="72.75" x14ac:dyDescent="0.25">
      <c r="A3677" s="3" t="s">
        <v>26</v>
      </c>
      <c r="B3677" s="3" t="s">
        <v>27</v>
      </c>
      <c r="C3677" s="3" t="s">
        <v>28</v>
      </c>
      <c r="D3677" s="3" t="s">
        <v>29</v>
      </c>
      <c r="E3677" s="3" t="s">
        <v>119</v>
      </c>
      <c r="F3677" s="3" t="s">
        <v>31</v>
      </c>
      <c r="G3677" s="3" t="s">
        <v>119</v>
      </c>
      <c r="H3677" s="3" t="s">
        <v>96</v>
      </c>
      <c r="I3677" s="3">
        <v>2025</v>
      </c>
      <c r="J3677" s="3" t="str">
        <f>CONCATENATE("54820142310")</f>
        <v>54820142310</v>
      </c>
      <c r="K3677" s="3" t="s">
        <v>33</v>
      </c>
      <c r="L3677" s="3"/>
      <c r="M3677" s="3" t="s">
        <v>131</v>
      </c>
      <c r="N3677" s="3" t="str">
        <f>CONCATENATE("NGLSFN79A52A462B")</f>
        <v>NGLSFN79A52A462B</v>
      </c>
      <c r="O3677" s="3" t="s">
        <v>3792</v>
      </c>
      <c r="P3677" s="3" t="s">
        <v>36</v>
      </c>
      <c r="Q3677" s="3"/>
      <c r="R3677" s="4">
        <v>45996</v>
      </c>
      <c r="S3677" s="3" t="s">
        <v>37</v>
      </c>
      <c r="T3677" s="3" t="s">
        <v>38</v>
      </c>
      <c r="U3677" s="3" t="s">
        <v>39</v>
      </c>
      <c r="V3677" s="3">
        <v>99.37</v>
      </c>
      <c r="W3677" s="3">
        <v>42.23</v>
      </c>
      <c r="X3677" s="3">
        <v>40</v>
      </c>
      <c r="Y3677" s="3">
        <v>17.14</v>
      </c>
    </row>
    <row r="3678" spans="1:25" ht="60.75" x14ac:dyDescent="0.25">
      <c r="A3678" s="3" t="s">
        <v>26</v>
      </c>
      <c r="B3678" s="3" t="s">
        <v>27</v>
      </c>
      <c r="C3678" s="3" t="s">
        <v>28</v>
      </c>
      <c r="D3678" s="3" t="s">
        <v>29</v>
      </c>
      <c r="E3678" s="3" t="s">
        <v>136</v>
      </c>
      <c r="F3678" s="3" t="s">
        <v>31</v>
      </c>
      <c r="G3678" s="3" t="s">
        <v>136</v>
      </c>
      <c r="H3678" s="3" t="s">
        <v>48</v>
      </c>
      <c r="I3678" s="3">
        <v>2025</v>
      </c>
      <c r="J3678" s="3" t="str">
        <f>CONCATENATE("54820131263")</f>
        <v>54820131263</v>
      </c>
      <c r="K3678" s="3" t="s">
        <v>33</v>
      </c>
      <c r="L3678" s="3"/>
      <c r="M3678" s="3" t="s">
        <v>131</v>
      </c>
      <c r="N3678" s="3" t="str">
        <f>CONCATENATE("MNGDNI47P42I461Y")</f>
        <v>MNGDNI47P42I461Y</v>
      </c>
      <c r="O3678" s="3" t="s">
        <v>3793</v>
      </c>
      <c r="P3678" s="3" t="s">
        <v>36</v>
      </c>
      <c r="Q3678" s="3"/>
      <c r="R3678" s="4">
        <v>45996</v>
      </c>
      <c r="S3678" s="3" t="s">
        <v>37</v>
      </c>
      <c r="T3678" s="3" t="s">
        <v>38</v>
      </c>
      <c r="U3678" s="3" t="s">
        <v>39</v>
      </c>
      <c r="V3678" s="3">
        <v>70.92</v>
      </c>
      <c r="W3678" s="3">
        <v>30.14</v>
      </c>
      <c r="X3678" s="3">
        <v>28.55</v>
      </c>
      <c r="Y3678" s="3">
        <v>12.23</v>
      </c>
    </row>
    <row r="3679" spans="1:25" ht="60.75" x14ac:dyDescent="0.25">
      <c r="A3679" s="3" t="s">
        <v>26</v>
      </c>
      <c r="B3679" s="3" t="s">
        <v>27</v>
      </c>
      <c r="C3679" s="3" t="s">
        <v>28</v>
      </c>
      <c r="D3679" s="3" t="s">
        <v>50</v>
      </c>
      <c r="E3679" s="3" t="s">
        <v>149</v>
      </c>
      <c r="F3679" s="3" t="s">
        <v>52</v>
      </c>
      <c r="G3679" s="3" t="s">
        <v>149</v>
      </c>
      <c r="H3679" s="3" t="s">
        <v>96</v>
      </c>
      <c r="I3679" s="3">
        <v>2025</v>
      </c>
      <c r="J3679" s="3" t="str">
        <f>CONCATENATE("54820031455")</f>
        <v>54820031455</v>
      </c>
      <c r="K3679" s="3" t="s">
        <v>33</v>
      </c>
      <c r="L3679" s="3"/>
      <c r="M3679" s="3" t="s">
        <v>131</v>
      </c>
      <c r="N3679" s="3" t="str">
        <f>CONCATENATE("CLMGPP33A01H390P")</f>
        <v>CLMGPP33A01H390P</v>
      </c>
      <c r="O3679" s="3" t="s">
        <v>3794</v>
      </c>
      <c r="P3679" s="3" t="s">
        <v>36</v>
      </c>
      <c r="Q3679" s="3"/>
      <c r="R3679" s="4">
        <v>45996</v>
      </c>
      <c r="S3679" s="3" t="s">
        <v>37</v>
      </c>
      <c r="T3679" s="3" t="s">
        <v>38</v>
      </c>
      <c r="U3679" s="3" t="s">
        <v>39</v>
      </c>
      <c r="V3679" s="3">
        <v>109.45</v>
      </c>
      <c r="W3679" s="3">
        <v>46.52</v>
      </c>
      <c r="X3679" s="3">
        <v>44.05</v>
      </c>
      <c r="Y3679" s="3">
        <v>18.88</v>
      </c>
    </row>
    <row r="3680" spans="1:25" ht="60.75" x14ac:dyDescent="0.25">
      <c r="A3680" s="3" t="s">
        <v>26</v>
      </c>
      <c r="B3680" s="3" t="s">
        <v>27</v>
      </c>
      <c r="C3680" s="3" t="s">
        <v>28</v>
      </c>
      <c r="D3680" s="3" t="s">
        <v>91</v>
      </c>
      <c r="E3680" s="3" t="s">
        <v>522</v>
      </c>
      <c r="F3680" s="3" t="s">
        <v>93</v>
      </c>
      <c r="G3680" s="3" t="s">
        <v>522</v>
      </c>
      <c r="H3680" s="3" t="s">
        <v>32</v>
      </c>
      <c r="I3680" s="3">
        <v>2025</v>
      </c>
      <c r="J3680" s="3" t="str">
        <f>CONCATENATE("54820009386")</f>
        <v>54820009386</v>
      </c>
      <c r="K3680" s="3" t="s">
        <v>33</v>
      </c>
      <c r="L3680" s="3"/>
      <c r="M3680" s="3" t="s">
        <v>131</v>
      </c>
      <c r="N3680" s="3" t="str">
        <f>CONCATENATE("CLDCRL50R21B474P")</f>
        <v>CLDCRL50R21B474P</v>
      </c>
      <c r="O3680" s="3" t="s">
        <v>3795</v>
      </c>
      <c r="P3680" s="3" t="s">
        <v>36</v>
      </c>
      <c r="Q3680" s="3"/>
      <c r="R3680" s="4">
        <v>45996</v>
      </c>
      <c r="S3680" s="3" t="s">
        <v>37</v>
      </c>
      <c r="T3680" s="3" t="s">
        <v>38</v>
      </c>
      <c r="U3680" s="3" t="s">
        <v>39</v>
      </c>
      <c r="V3680" s="3">
        <v>199.06</v>
      </c>
      <c r="W3680" s="3">
        <v>84.6</v>
      </c>
      <c r="X3680" s="3">
        <v>80.12</v>
      </c>
      <c r="Y3680" s="3">
        <v>34.340000000000003</v>
      </c>
    </row>
    <row r="3681" spans="1:25" ht="60.75" x14ac:dyDescent="0.25">
      <c r="A3681" s="3" t="s">
        <v>26</v>
      </c>
      <c r="B3681" s="3" t="s">
        <v>27</v>
      </c>
      <c r="C3681" s="3" t="s">
        <v>28</v>
      </c>
      <c r="D3681" s="3" t="s">
        <v>29</v>
      </c>
      <c r="E3681" s="3" t="s">
        <v>228</v>
      </c>
      <c r="F3681" s="3" t="s">
        <v>31</v>
      </c>
      <c r="G3681" s="3" t="s">
        <v>228</v>
      </c>
      <c r="H3681" s="3" t="s">
        <v>45</v>
      </c>
      <c r="I3681" s="3">
        <v>2025</v>
      </c>
      <c r="J3681" s="3" t="str">
        <f>CONCATENATE("54820012547")</f>
        <v>54820012547</v>
      </c>
      <c r="K3681" s="3" t="s">
        <v>33</v>
      </c>
      <c r="L3681" s="3"/>
      <c r="M3681" s="3" t="s">
        <v>131</v>
      </c>
      <c r="N3681" s="3" t="str">
        <f>CONCATENATE("CRZGDU37S11D791E")</f>
        <v>CRZGDU37S11D791E</v>
      </c>
      <c r="O3681" s="3" t="s">
        <v>3796</v>
      </c>
      <c r="P3681" s="3" t="s">
        <v>36</v>
      </c>
      <c r="Q3681" s="3"/>
      <c r="R3681" s="4">
        <v>45996</v>
      </c>
      <c r="S3681" s="3" t="s">
        <v>37</v>
      </c>
      <c r="T3681" s="3" t="s">
        <v>38</v>
      </c>
      <c r="U3681" s="3" t="s">
        <v>39</v>
      </c>
      <c r="V3681" s="3">
        <v>62.96</v>
      </c>
      <c r="W3681" s="3">
        <v>26.76</v>
      </c>
      <c r="X3681" s="3">
        <v>25.34</v>
      </c>
      <c r="Y3681" s="3">
        <v>10.86</v>
      </c>
    </row>
    <row r="3682" spans="1:25" ht="60.75" x14ac:dyDescent="0.25">
      <c r="A3682" s="3" t="s">
        <v>26</v>
      </c>
      <c r="B3682" s="3" t="s">
        <v>27</v>
      </c>
      <c r="C3682" s="3" t="s">
        <v>28</v>
      </c>
      <c r="D3682" s="3" t="s">
        <v>29</v>
      </c>
      <c r="E3682" s="3" t="s">
        <v>72</v>
      </c>
      <c r="F3682" s="3" t="s">
        <v>31</v>
      </c>
      <c r="G3682" s="3" t="s">
        <v>72</v>
      </c>
      <c r="H3682" s="3" t="s">
        <v>45</v>
      </c>
      <c r="I3682" s="3">
        <v>2025</v>
      </c>
      <c r="J3682" s="3" t="str">
        <f>CONCATENATE("54820008859")</f>
        <v>54820008859</v>
      </c>
      <c r="K3682" s="3" t="s">
        <v>33</v>
      </c>
      <c r="L3682" s="3"/>
      <c r="M3682" s="3" t="s">
        <v>131</v>
      </c>
      <c r="N3682" s="3" t="str">
        <f>CONCATENATE("BRNMRZ56R23A035F")</f>
        <v>BRNMRZ56R23A035F</v>
      </c>
      <c r="O3682" s="3" t="s">
        <v>3797</v>
      </c>
      <c r="P3682" s="3" t="s">
        <v>36</v>
      </c>
      <c r="Q3682" s="3"/>
      <c r="R3682" s="4">
        <v>45996</v>
      </c>
      <c r="S3682" s="3" t="s">
        <v>37</v>
      </c>
      <c r="T3682" s="3" t="s">
        <v>38</v>
      </c>
      <c r="U3682" s="3" t="s">
        <v>39</v>
      </c>
      <c r="V3682" s="3">
        <v>120.12</v>
      </c>
      <c r="W3682" s="3">
        <v>51.05</v>
      </c>
      <c r="X3682" s="3">
        <v>48.35</v>
      </c>
      <c r="Y3682" s="3">
        <v>20.72</v>
      </c>
    </row>
    <row r="3683" spans="1:25" ht="60.75" x14ac:dyDescent="0.25">
      <c r="A3683" s="3" t="s">
        <v>26</v>
      </c>
      <c r="B3683" s="3" t="s">
        <v>27</v>
      </c>
      <c r="C3683" s="3" t="s">
        <v>28</v>
      </c>
      <c r="D3683" s="3" t="s">
        <v>29</v>
      </c>
      <c r="E3683" s="3" t="s">
        <v>119</v>
      </c>
      <c r="F3683" s="3" t="s">
        <v>31</v>
      </c>
      <c r="G3683" s="3" t="s">
        <v>119</v>
      </c>
      <c r="H3683" s="3" t="s">
        <v>96</v>
      </c>
      <c r="I3683" s="3">
        <v>2025</v>
      </c>
      <c r="J3683" s="3" t="str">
        <f>CONCATENATE("54820012778")</f>
        <v>54820012778</v>
      </c>
      <c r="K3683" s="3" t="s">
        <v>33</v>
      </c>
      <c r="L3683" s="3"/>
      <c r="M3683" s="3" t="s">
        <v>131</v>
      </c>
      <c r="N3683" s="3" t="str">
        <f>CONCATENATE("GRCNGL68C25D691Q")</f>
        <v>GRCNGL68C25D691Q</v>
      </c>
      <c r="O3683" s="3" t="s">
        <v>3798</v>
      </c>
      <c r="P3683" s="3" t="s">
        <v>36</v>
      </c>
      <c r="Q3683" s="3"/>
      <c r="R3683" s="4">
        <v>45996</v>
      </c>
      <c r="S3683" s="3" t="s">
        <v>37</v>
      </c>
      <c r="T3683" s="3" t="s">
        <v>38</v>
      </c>
      <c r="U3683" s="3" t="s">
        <v>39</v>
      </c>
      <c r="V3683" s="3">
        <v>432.06</v>
      </c>
      <c r="W3683" s="3">
        <v>183.63</v>
      </c>
      <c r="X3683" s="3">
        <v>173.9</v>
      </c>
      <c r="Y3683" s="3">
        <v>74.53</v>
      </c>
    </row>
    <row r="3684" spans="1:25" ht="60.75" x14ac:dyDescent="0.25">
      <c r="A3684" s="3" t="s">
        <v>26</v>
      </c>
      <c r="B3684" s="3" t="s">
        <v>27</v>
      </c>
      <c r="C3684" s="3" t="s">
        <v>28</v>
      </c>
      <c r="D3684" s="3" t="s">
        <v>29</v>
      </c>
      <c r="E3684" s="3" t="s">
        <v>68</v>
      </c>
      <c r="F3684" s="3" t="s">
        <v>31</v>
      </c>
      <c r="G3684" s="3" t="s">
        <v>68</v>
      </c>
      <c r="H3684" s="3" t="s">
        <v>32</v>
      </c>
      <c r="I3684" s="3">
        <v>2025</v>
      </c>
      <c r="J3684" s="3" t="str">
        <f>CONCATENATE("54820019559")</f>
        <v>54820019559</v>
      </c>
      <c r="K3684" s="3" t="s">
        <v>33</v>
      </c>
      <c r="L3684" s="3"/>
      <c r="M3684" s="3" t="s">
        <v>131</v>
      </c>
      <c r="N3684" s="3" t="str">
        <f>CONCATENATE("PRSLEI74B21B474F")</f>
        <v>PRSLEI74B21B474F</v>
      </c>
      <c r="O3684" s="3" t="s">
        <v>3799</v>
      </c>
      <c r="P3684" s="3" t="s">
        <v>36</v>
      </c>
      <c r="Q3684" s="3"/>
      <c r="R3684" s="4">
        <v>45996</v>
      </c>
      <c r="S3684" s="3" t="s">
        <v>37</v>
      </c>
      <c r="T3684" s="3" t="s">
        <v>38</v>
      </c>
      <c r="U3684" s="3" t="s">
        <v>39</v>
      </c>
      <c r="V3684" s="3">
        <v>53.9</v>
      </c>
      <c r="W3684" s="3">
        <v>22.91</v>
      </c>
      <c r="X3684" s="3">
        <v>21.69</v>
      </c>
      <c r="Y3684" s="3">
        <v>9.3000000000000007</v>
      </c>
    </row>
    <row r="3685" spans="1:25" ht="36.75" x14ac:dyDescent="0.25">
      <c r="A3685" s="3" t="s">
        <v>26</v>
      </c>
      <c r="B3685" s="3" t="s">
        <v>27</v>
      </c>
      <c r="C3685" s="3" t="s">
        <v>28</v>
      </c>
      <c r="D3685" s="3" t="s">
        <v>40</v>
      </c>
      <c r="E3685" s="3" t="s">
        <v>287</v>
      </c>
      <c r="F3685" s="3" t="s">
        <v>42</v>
      </c>
      <c r="G3685" s="3" t="s">
        <v>287</v>
      </c>
      <c r="H3685" s="3" t="s">
        <v>32</v>
      </c>
      <c r="I3685" s="3">
        <v>2025</v>
      </c>
      <c r="J3685" s="3" t="str">
        <f>CONCATENATE("54820024096")</f>
        <v>54820024096</v>
      </c>
      <c r="K3685" s="3" t="s">
        <v>33</v>
      </c>
      <c r="L3685" s="3"/>
      <c r="M3685" s="3" t="s">
        <v>131</v>
      </c>
      <c r="N3685" s="3" t="str">
        <f>CONCATENATE("01882060435")</f>
        <v>01882060435</v>
      </c>
      <c r="O3685" s="3" t="s">
        <v>3800</v>
      </c>
      <c r="P3685" s="3" t="s">
        <v>36</v>
      </c>
      <c r="Q3685" s="3"/>
      <c r="R3685" s="4">
        <v>45996</v>
      </c>
      <c r="S3685" s="3" t="s">
        <v>37</v>
      </c>
      <c r="T3685" s="3" t="s">
        <v>38</v>
      </c>
      <c r="U3685" s="3" t="s">
        <v>39</v>
      </c>
      <c r="V3685" s="3">
        <v>321.11</v>
      </c>
      <c r="W3685" s="3">
        <v>136.47</v>
      </c>
      <c r="X3685" s="3">
        <v>129.25</v>
      </c>
      <c r="Y3685" s="3">
        <v>55.39</v>
      </c>
    </row>
    <row r="3686" spans="1:25" ht="60.75" x14ac:dyDescent="0.25">
      <c r="A3686" s="3" t="s">
        <v>26</v>
      </c>
      <c r="B3686" s="3" t="s">
        <v>27</v>
      </c>
      <c r="C3686" s="3" t="s">
        <v>28</v>
      </c>
      <c r="D3686" s="3" t="s">
        <v>29</v>
      </c>
      <c r="E3686" s="3" t="s">
        <v>101</v>
      </c>
      <c r="F3686" s="3" t="s">
        <v>31</v>
      </c>
      <c r="G3686" s="3" t="s">
        <v>101</v>
      </c>
      <c r="H3686" s="3" t="s">
        <v>32</v>
      </c>
      <c r="I3686" s="3">
        <v>2025</v>
      </c>
      <c r="J3686" s="3" t="str">
        <f>CONCATENATE("54820009014")</f>
        <v>54820009014</v>
      </c>
      <c r="K3686" s="3" t="s">
        <v>33</v>
      </c>
      <c r="L3686" s="3"/>
      <c r="M3686" s="3" t="s">
        <v>131</v>
      </c>
      <c r="N3686" s="3" t="str">
        <f>CONCATENATE("FRRBRN42M21I651P")</f>
        <v>FRRBRN42M21I651P</v>
      </c>
      <c r="O3686" s="3" t="s">
        <v>3801</v>
      </c>
      <c r="P3686" s="3" t="s">
        <v>36</v>
      </c>
      <c r="Q3686" s="3"/>
      <c r="R3686" s="4">
        <v>45996</v>
      </c>
      <c r="S3686" s="3" t="s">
        <v>37</v>
      </c>
      <c r="T3686" s="3" t="s">
        <v>38</v>
      </c>
      <c r="U3686" s="3" t="s">
        <v>39</v>
      </c>
      <c r="V3686" s="3">
        <v>123.48</v>
      </c>
      <c r="W3686" s="3">
        <v>52.48</v>
      </c>
      <c r="X3686" s="3">
        <v>49.7</v>
      </c>
      <c r="Y3686" s="3">
        <v>21.3</v>
      </c>
    </row>
    <row r="3687" spans="1:25" ht="60.75" x14ac:dyDescent="0.25">
      <c r="A3687" s="3" t="s">
        <v>26</v>
      </c>
      <c r="B3687" s="3" t="s">
        <v>27</v>
      </c>
      <c r="C3687" s="3" t="s">
        <v>28</v>
      </c>
      <c r="D3687" s="3" t="s">
        <v>29</v>
      </c>
      <c r="E3687" s="3" t="s">
        <v>186</v>
      </c>
      <c r="F3687" s="3" t="s">
        <v>31</v>
      </c>
      <c r="G3687" s="3" t="s">
        <v>186</v>
      </c>
      <c r="H3687" s="3" t="s">
        <v>45</v>
      </c>
      <c r="I3687" s="3">
        <v>2025</v>
      </c>
      <c r="J3687" s="3" t="str">
        <f>CONCATENATE("54820044888")</f>
        <v>54820044888</v>
      </c>
      <c r="K3687" s="3" t="s">
        <v>33</v>
      </c>
      <c r="L3687" s="3"/>
      <c r="M3687" s="3" t="s">
        <v>131</v>
      </c>
      <c r="N3687" s="3" t="str">
        <f>CONCATENATE("SLVLCU69E31E785R")</f>
        <v>SLVLCU69E31E785R</v>
      </c>
      <c r="O3687" s="3" t="s">
        <v>1414</v>
      </c>
      <c r="P3687" s="3" t="s">
        <v>36</v>
      </c>
      <c r="Q3687" s="3"/>
      <c r="R3687" s="4">
        <v>45996</v>
      </c>
      <c r="S3687" s="3" t="s">
        <v>37</v>
      </c>
      <c r="T3687" s="3" t="s">
        <v>38</v>
      </c>
      <c r="U3687" s="3" t="s">
        <v>39</v>
      </c>
      <c r="V3687" s="3">
        <v>426.82</v>
      </c>
      <c r="W3687" s="3">
        <v>181.4</v>
      </c>
      <c r="X3687" s="3">
        <v>171.8</v>
      </c>
      <c r="Y3687" s="3">
        <v>73.62</v>
      </c>
    </row>
    <row r="3688" spans="1:25" ht="60.75" x14ac:dyDescent="0.25">
      <c r="A3688" s="3" t="s">
        <v>26</v>
      </c>
      <c r="B3688" s="3" t="s">
        <v>27</v>
      </c>
      <c r="C3688" s="3" t="s">
        <v>28</v>
      </c>
      <c r="D3688" s="3" t="s">
        <v>40</v>
      </c>
      <c r="E3688" s="3" t="s">
        <v>287</v>
      </c>
      <c r="F3688" s="3" t="s">
        <v>42</v>
      </c>
      <c r="G3688" s="3" t="s">
        <v>287</v>
      </c>
      <c r="H3688" s="3" t="s">
        <v>32</v>
      </c>
      <c r="I3688" s="3">
        <v>2025</v>
      </c>
      <c r="J3688" s="3" t="str">
        <f>CONCATENATE("54820016506")</f>
        <v>54820016506</v>
      </c>
      <c r="K3688" s="3" t="s">
        <v>33</v>
      </c>
      <c r="L3688" s="3"/>
      <c r="M3688" s="3" t="s">
        <v>131</v>
      </c>
      <c r="N3688" s="3" t="str">
        <f>CONCATENATE("MRNGLN38P58I661T")</f>
        <v>MRNGLN38P58I661T</v>
      </c>
      <c r="O3688" s="3" t="s">
        <v>3802</v>
      </c>
      <c r="P3688" s="3" t="s">
        <v>36</v>
      </c>
      <c r="Q3688" s="3"/>
      <c r="R3688" s="4">
        <v>45996</v>
      </c>
      <c r="S3688" s="3" t="s">
        <v>37</v>
      </c>
      <c r="T3688" s="3" t="s">
        <v>38</v>
      </c>
      <c r="U3688" s="3" t="s">
        <v>39</v>
      </c>
      <c r="V3688" s="3">
        <v>94.46</v>
      </c>
      <c r="W3688" s="3">
        <v>40.15</v>
      </c>
      <c r="X3688" s="3">
        <v>38.020000000000003</v>
      </c>
      <c r="Y3688" s="3">
        <v>16.29</v>
      </c>
    </row>
    <row r="3689" spans="1:25" ht="60.75" x14ac:dyDescent="0.25">
      <c r="A3689" s="3" t="s">
        <v>26</v>
      </c>
      <c r="B3689" s="3" t="s">
        <v>27</v>
      </c>
      <c r="C3689" s="3" t="s">
        <v>28</v>
      </c>
      <c r="D3689" s="3" t="s">
        <v>40</v>
      </c>
      <c r="E3689" s="3" t="s">
        <v>218</v>
      </c>
      <c r="F3689" s="3" t="s">
        <v>42</v>
      </c>
      <c r="G3689" s="3" t="s">
        <v>218</v>
      </c>
      <c r="H3689" s="3" t="s">
        <v>45</v>
      </c>
      <c r="I3689" s="3">
        <v>2025</v>
      </c>
      <c r="J3689" s="3" t="str">
        <f>CONCATENATE("54820361142")</f>
        <v>54820361142</v>
      </c>
      <c r="K3689" s="3" t="s">
        <v>33</v>
      </c>
      <c r="L3689" s="3"/>
      <c r="M3689" s="3" t="s">
        <v>131</v>
      </c>
      <c r="N3689" s="3" t="str">
        <f>CONCATENATE("VNNGST60B11D488F")</f>
        <v>VNNGST60B11D488F</v>
      </c>
      <c r="O3689" s="3" t="s">
        <v>3803</v>
      </c>
      <c r="P3689" s="3" t="s">
        <v>36</v>
      </c>
      <c r="Q3689" s="3"/>
      <c r="R3689" s="4">
        <v>45996</v>
      </c>
      <c r="S3689" s="3" t="s">
        <v>37</v>
      </c>
      <c r="T3689" s="3" t="s">
        <v>38</v>
      </c>
      <c r="U3689" s="3" t="s">
        <v>39</v>
      </c>
      <c r="V3689" s="5">
        <v>1055.69</v>
      </c>
      <c r="W3689" s="3">
        <v>448.67</v>
      </c>
      <c r="X3689" s="3">
        <v>424.92</v>
      </c>
      <c r="Y3689" s="3">
        <v>182.1</v>
      </c>
    </row>
    <row r="3690" spans="1:25" ht="60.75" x14ac:dyDescent="0.25">
      <c r="A3690" s="3" t="s">
        <v>26</v>
      </c>
      <c r="B3690" s="3" t="s">
        <v>27</v>
      </c>
      <c r="C3690" s="3" t="s">
        <v>28</v>
      </c>
      <c r="D3690" s="3" t="s">
        <v>1850</v>
      </c>
      <c r="E3690" s="3" t="s">
        <v>1851</v>
      </c>
      <c r="F3690" s="3" t="s">
        <v>1852</v>
      </c>
      <c r="G3690" s="3" t="s">
        <v>1851</v>
      </c>
      <c r="H3690" s="3" t="s">
        <v>45</v>
      </c>
      <c r="I3690" s="3">
        <v>2025</v>
      </c>
      <c r="J3690" s="3" t="str">
        <f>CONCATENATE("54820287719")</f>
        <v>54820287719</v>
      </c>
      <c r="K3690" s="3" t="s">
        <v>33</v>
      </c>
      <c r="L3690" s="3"/>
      <c r="M3690" s="3" t="s">
        <v>131</v>
      </c>
      <c r="N3690" s="3" t="str">
        <f>CONCATENATE("CFFCRS79B24H294O")</f>
        <v>CFFCRS79B24H294O</v>
      </c>
      <c r="O3690" s="3" t="s">
        <v>3804</v>
      </c>
      <c r="P3690" s="3" t="s">
        <v>36</v>
      </c>
      <c r="Q3690" s="3"/>
      <c r="R3690" s="4">
        <v>45996</v>
      </c>
      <c r="S3690" s="3" t="s">
        <v>37</v>
      </c>
      <c r="T3690" s="3" t="s">
        <v>38</v>
      </c>
      <c r="U3690" s="3" t="s">
        <v>39</v>
      </c>
      <c r="V3690" s="3">
        <v>242.72</v>
      </c>
      <c r="W3690" s="3">
        <v>103.16</v>
      </c>
      <c r="X3690" s="3">
        <v>97.69</v>
      </c>
      <c r="Y3690" s="3">
        <v>41.87</v>
      </c>
    </row>
    <row r="3691" spans="1:25" ht="60.75" x14ac:dyDescent="0.25">
      <c r="A3691" s="3" t="s">
        <v>26</v>
      </c>
      <c r="B3691" s="3" t="s">
        <v>27</v>
      </c>
      <c r="C3691" s="3" t="s">
        <v>28</v>
      </c>
      <c r="D3691" s="3" t="s">
        <v>104</v>
      </c>
      <c r="E3691" s="3" t="s">
        <v>691</v>
      </c>
      <c r="F3691" s="3" t="s">
        <v>104</v>
      </c>
      <c r="G3691" s="3" t="s">
        <v>691</v>
      </c>
      <c r="H3691" s="3" t="s">
        <v>48</v>
      </c>
      <c r="I3691" s="3">
        <v>2025</v>
      </c>
      <c r="J3691" s="3" t="str">
        <f>CONCATENATE("54820367602")</f>
        <v>54820367602</v>
      </c>
      <c r="K3691" s="3" t="s">
        <v>33</v>
      </c>
      <c r="L3691" s="3"/>
      <c r="M3691" s="3" t="s">
        <v>131</v>
      </c>
      <c r="N3691" s="3" t="str">
        <f>CONCATENATE("PTTLSN59E58I932I")</f>
        <v>PTTLSN59E58I932I</v>
      </c>
      <c r="O3691" s="3" t="s">
        <v>3805</v>
      </c>
      <c r="P3691" s="3" t="s">
        <v>36</v>
      </c>
      <c r="Q3691" s="3"/>
      <c r="R3691" s="4">
        <v>45996</v>
      </c>
      <c r="S3691" s="3" t="s">
        <v>37</v>
      </c>
      <c r="T3691" s="3" t="s">
        <v>38</v>
      </c>
      <c r="U3691" s="3" t="s">
        <v>39</v>
      </c>
      <c r="V3691" s="3">
        <v>155.43</v>
      </c>
      <c r="W3691" s="3">
        <v>66.06</v>
      </c>
      <c r="X3691" s="3">
        <v>62.56</v>
      </c>
      <c r="Y3691" s="3">
        <v>26.81</v>
      </c>
    </row>
    <row r="3692" spans="1:25" ht="60.75" x14ac:dyDescent="0.25">
      <c r="A3692" s="3" t="s">
        <v>26</v>
      </c>
      <c r="B3692" s="3" t="s">
        <v>27</v>
      </c>
      <c r="C3692" s="3" t="s">
        <v>28</v>
      </c>
      <c r="D3692" s="3" t="s">
        <v>50</v>
      </c>
      <c r="E3692" s="3" t="s">
        <v>252</v>
      </c>
      <c r="F3692" s="3" t="s">
        <v>52</v>
      </c>
      <c r="G3692" s="3" t="s">
        <v>252</v>
      </c>
      <c r="H3692" s="3" t="s">
        <v>45</v>
      </c>
      <c r="I3692" s="3">
        <v>2025</v>
      </c>
      <c r="J3692" s="3" t="str">
        <f>CONCATENATE("54820291026")</f>
        <v>54820291026</v>
      </c>
      <c r="K3692" s="3" t="s">
        <v>33</v>
      </c>
      <c r="L3692" s="3"/>
      <c r="M3692" s="3" t="s">
        <v>131</v>
      </c>
      <c r="N3692" s="3" t="str">
        <f>CONCATENATE("BNFLSN91L60L500Q")</f>
        <v>BNFLSN91L60L500Q</v>
      </c>
      <c r="O3692" s="3" t="s">
        <v>3806</v>
      </c>
      <c r="P3692" s="3" t="s">
        <v>36</v>
      </c>
      <c r="Q3692" s="3"/>
      <c r="R3692" s="4">
        <v>45996</v>
      </c>
      <c r="S3692" s="3" t="s">
        <v>37</v>
      </c>
      <c r="T3692" s="3" t="s">
        <v>38</v>
      </c>
      <c r="U3692" s="3" t="s">
        <v>39</v>
      </c>
      <c r="V3692" s="3">
        <v>241.67</v>
      </c>
      <c r="W3692" s="3">
        <v>102.71</v>
      </c>
      <c r="X3692" s="3">
        <v>97.27</v>
      </c>
      <c r="Y3692" s="3">
        <v>41.69</v>
      </c>
    </row>
    <row r="3693" spans="1:25" ht="36.75" x14ac:dyDescent="0.25">
      <c r="A3693" s="3" t="s">
        <v>26</v>
      </c>
      <c r="B3693" s="3" t="s">
        <v>27</v>
      </c>
      <c r="C3693" s="3" t="s">
        <v>28</v>
      </c>
      <c r="D3693" s="3" t="s">
        <v>50</v>
      </c>
      <c r="E3693" s="3" t="s">
        <v>163</v>
      </c>
      <c r="F3693" s="3" t="s">
        <v>52</v>
      </c>
      <c r="G3693" s="3" t="s">
        <v>163</v>
      </c>
      <c r="H3693" s="3" t="s">
        <v>96</v>
      </c>
      <c r="I3693" s="3">
        <v>2025</v>
      </c>
      <c r="J3693" s="3" t="str">
        <f>CONCATENATE("54820363304")</f>
        <v>54820363304</v>
      </c>
      <c r="K3693" s="3" t="s">
        <v>33</v>
      </c>
      <c r="L3693" s="3"/>
      <c r="M3693" s="3" t="s">
        <v>131</v>
      </c>
      <c r="N3693" s="3" t="str">
        <f>CONCATENATE("02164470441")</f>
        <v>02164470441</v>
      </c>
      <c r="O3693" s="3" t="s">
        <v>3807</v>
      </c>
      <c r="P3693" s="3" t="s">
        <v>36</v>
      </c>
      <c r="Q3693" s="3"/>
      <c r="R3693" s="4">
        <v>45996</v>
      </c>
      <c r="S3693" s="3" t="s">
        <v>37</v>
      </c>
      <c r="T3693" s="3" t="s">
        <v>38</v>
      </c>
      <c r="U3693" s="3" t="s">
        <v>39</v>
      </c>
      <c r="V3693" s="3">
        <v>397.97</v>
      </c>
      <c r="W3693" s="3">
        <v>169.14</v>
      </c>
      <c r="X3693" s="3">
        <v>160.18</v>
      </c>
      <c r="Y3693" s="3">
        <v>68.650000000000006</v>
      </c>
    </row>
    <row r="3694" spans="1:25" ht="60.75" x14ac:dyDescent="0.25">
      <c r="A3694" s="3" t="s">
        <v>26</v>
      </c>
      <c r="B3694" s="3" t="s">
        <v>27</v>
      </c>
      <c r="C3694" s="3" t="s">
        <v>28</v>
      </c>
      <c r="D3694" s="3" t="s">
        <v>40</v>
      </c>
      <c r="E3694" s="3" t="s">
        <v>99</v>
      </c>
      <c r="F3694" s="3" t="s">
        <v>42</v>
      </c>
      <c r="G3694" s="3" t="s">
        <v>99</v>
      </c>
      <c r="H3694" s="3" t="s">
        <v>32</v>
      </c>
      <c r="I3694" s="3">
        <v>2025</v>
      </c>
      <c r="J3694" s="3" t="str">
        <f>CONCATENATE("54820369590")</f>
        <v>54820369590</v>
      </c>
      <c r="K3694" s="3" t="s">
        <v>33</v>
      </c>
      <c r="L3694" s="3"/>
      <c r="M3694" s="3" t="s">
        <v>131</v>
      </c>
      <c r="N3694" s="3" t="str">
        <f>CONCATENATE("VSSSFN73E01E783T")</f>
        <v>VSSSFN73E01E783T</v>
      </c>
      <c r="O3694" s="3" t="s">
        <v>3808</v>
      </c>
      <c r="P3694" s="3" t="s">
        <v>36</v>
      </c>
      <c r="Q3694" s="3"/>
      <c r="R3694" s="4">
        <v>45996</v>
      </c>
      <c r="S3694" s="3" t="s">
        <v>37</v>
      </c>
      <c r="T3694" s="3" t="s">
        <v>38</v>
      </c>
      <c r="U3694" s="3" t="s">
        <v>39</v>
      </c>
      <c r="V3694" s="3">
        <v>101.19</v>
      </c>
      <c r="W3694" s="3">
        <v>43.01</v>
      </c>
      <c r="X3694" s="3">
        <v>40.729999999999997</v>
      </c>
      <c r="Y3694" s="3">
        <v>17.45</v>
      </c>
    </row>
    <row r="3695" spans="1:25" ht="60.75" x14ac:dyDescent="0.25">
      <c r="A3695" s="3" t="s">
        <v>26</v>
      </c>
      <c r="B3695" s="3" t="s">
        <v>27</v>
      </c>
      <c r="C3695" s="3" t="s">
        <v>28</v>
      </c>
      <c r="D3695" s="3" t="s">
        <v>29</v>
      </c>
      <c r="E3695" s="3" t="s">
        <v>208</v>
      </c>
      <c r="F3695" s="3" t="s">
        <v>31</v>
      </c>
      <c r="G3695" s="3" t="s">
        <v>208</v>
      </c>
      <c r="H3695" s="3" t="s">
        <v>45</v>
      </c>
      <c r="I3695" s="3">
        <v>2025</v>
      </c>
      <c r="J3695" s="3" t="str">
        <f>CONCATENATE("54820413935")</f>
        <v>54820413935</v>
      </c>
      <c r="K3695" s="3" t="s">
        <v>33</v>
      </c>
      <c r="L3695" s="3"/>
      <c r="M3695" s="3" t="s">
        <v>131</v>
      </c>
      <c r="N3695" s="3" t="str">
        <f>CONCATENATE("CLSLGU58T02F135F")</f>
        <v>CLSLGU58T02F135F</v>
      </c>
      <c r="O3695" s="3" t="s">
        <v>3809</v>
      </c>
      <c r="P3695" s="3" t="s">
        <v>36</v>
      </c>
      <c r="Q3695" s="3"/>
      <c r="R3695" s="4">
        <v>45996</v>
      </c>
      <c r="S3695" s="3" t="s">
        <v>37</v>
      </c>
      <c r="T3695" s="3" t="s">
        <v>38</v>
      </c>
      <c r="U3695" s="3" t="s">
        <v>39</v>
      </c>
      <c r="V3695" s="3">
        <v>78.7</v>
      </c>
      <c r="W3695" s="3">
        <v>33.450000000000003</v>
      </c>
      <c r="X3695" s="3">
        <v>31.68</v>
      </c>
      <c r="Y3695" s="3">
        <v>13.57</v>
      </c>
    </row>
    <row r="3696" spans="1:25" ht="36.75" x14ac:dyDescent="0.25">
      <c r="A3696" s="3" t="s">
        <v>26</v>
      </c>
      <c r="B3696" s="3" t="s">
        <v>27</v>
      </c>
      <c r="C3696" s="3" t="s">
        <v>28</v>
      </c>
      <c r="D3696" s="3" t="s">
        <v>91</v>
      </c>
      <c r="E3696" s="3" t="s">
        <v>151</v>
      </c>
      <c r="F3696" s="3" t="s">
        <v>93</v>
      </c>
      <c r="G3696" s="3" t="s">
        <v>151</v>
      </c>
      <c r="H3696" s="3" t="s">
        <v>45</v>
      </c>
      <c r="I3696" s="3">
        <v>2025</v>
      </c>
      <c r="J3696" s="3" t="str">
        <f>CONCATENATE("54820414321")</f>
        <v>54820414321</v>
      </c>
      <c r="K3696" s="3" t="s">
        <v>33</v>
      </c>
      <c r="L3696" s="3"/>
      <c r="M3696" s="3" t="s">
        <v>131</v>
      </c>
      <c r="N3696" s="3" t="str">
        <f>CONCATENATE("02761230412")</f>
        <v>02761230412</v>
      </c>
      <c r="O3696" s="3" t="s">
        <v>3810</v>
      </c>
      <c r="P3696" s="3" t="s">
        <v>36</v>
      </c>
      <c r="Q3696" s="3"/>
      <c r="R3696" s="4">
        <v>45996</v>
      </c>
      <c r="S3696" s="3" t="s">
        <v>37</v>
      </c>
      <c r="T3696" s="3" t="s">
        <v>38</v>
      </c>
      <c r="U3696" s="3" t="s">
        <v>39</v>
      </c>
      <c r="V3696" s="3">
        <v>149.02000000000001</v>
      </c>
      <c r="W3696" s="3">
        <v>63.33</v>
      </c>
      <c r="X3696" s="3">
        <v>59.98</v>
      </c>
      <c r="Y3696" s="3">
        <v>25.71</v>
      </c>
    </row>
    <row r="3697" spans="1:25" ht="60.75" x14ac:dyDescent="0.25">
      <c r="A3697" s="3" t="s">
        <v>26</v>
      </c>
      <c r="B3697" s="3" t="s">
        <v>27</v>
      </c>
      <c r="C3697" s="3" t="s">
        <v>28</v>
      </c>
      <c r="D3697" s="3" t="s">
        <v>29</v>
      </c>
      <c r="E3697" s="3" t="s">
        <v>72</v>
      </c>
      <c r="F3697" s="3" t="s">
        <v>31</v>
      </c>
      <c r="G3697" s="3" t="s">
        <v>72</v>
      </c>
      <c r="H3697" s="3" t="s">
        <v>45</v>
      </c>
      <c r="I3697" s="3">
        <v>2025</v>
      </c>
      <c r="J3697" s="3" t="str">
        <f>CONCATENATE("54820022819")</f>
        <v>54820022819</v>
      </c>
      <c r="K3697" s="3" t="s">
        <v>33</v>
      </c>
      <c r="L3697" s="3"/>
      <c r="M3697" s="3" t="s">
        <v>131</v>
      </c>
      <c r="N3697" s="3" t="str">
        <f>CONCATENATE("MCHRFL59M43B352R")</f>
        <v>MCHRFL59M43B352R</v>
      </c>
      <c r="O3697" s="3" t="s">
        <v>3811</v>
      </c>
      <c r="P3697" s="3" t="s">
        <v>36</v>
      </c>
      <c r="Q3697" s="3"/>
      <c r="R3697" s="4">
        <v>45996</v>
      </c>
      <c r="S3697" s="3" t="s">
        <v>37</v>
      </c>
      <c r="T3697" s="3" t="s">
        <v>38</v>
      </c>
      <c r="U3697" s="3" t="s">
        <v>39</v>
      </c>
      <c r="V3697" s="3">
        <v>131.47999999999999</v>
      </c>
      <c r="W3697" s="3">
        <v>55.88</v>
      </c>
      <c r="X3697" s="3">
        <v>52.92</v>
      </c>
      <c r="Y3697" s="3">
        <v>22.68</v>
      </c>
    </row>
    <row r="3698" spans="1:25" ht="36.75" x14ac:dyDescent="0.25">
      <c r="A3698" s="3" t="s">
        <v>26</v>
      </c>
      <c r="B3698" s="3" t="s">
        <v>27</v>
      </c>
      <c r="C3698" s="3" t="s">
        <v>28</v>
      </c>
      <c r="D3698" s="3" t="s">
        <v>40</v>
      </c>
      <c r="E3698" s="3" t="s">
        <v>44</v>
      </c>
      <c r="F3698" s="3" t="s">
        <v>42</v>
      </c>
      <c r="G3698" s="3" t="s">
        <v>44</v>
      </c>
      <c r="H3698" s="3" t="s">
        <v>32</v>
      </c>
      <c r="I3698" s="3">
        <v>2025</v>
      </c>
      <c r="J3698" s="3" t="str">
        <f>CONCATENATE("54820019971")</f>
        <v>54820019971</v>
      </c>
      <c r="K3698" s="3" t="s">
        <v>33</v>
      </c>
      <c r="L3698" s="3"/>
      <c r="M3698" s="3" t="s">
        <v>131</v>
      </c>
      <c r="N3698" s="3" t="str">
        <f>CONCATENATE("01773020431")</f>
        <v>01773020431</v>
      </c>
      <c r="O3698" s="3" t="s">
        <v>3812</v>
      </c>
      <c r="P3698" s="3" t="s">
        <v>36</v>
      </c>
      <c r="Q3698" s="3"/>
      <c r="R3698" s="4">
        <v>45996</v>
      </c>
      <c r="S3698" s="3" t="s">
        <v>37</v>
      </c>
      <c r="T3698" s="3" t="s">
        <v>38</v>
      </c>
      <c r="U3698" s="3" t="s">
        <v>39</v>
      </c>
      <c r="V3698" s="3">
        <v>157.35</v>
      </c>
      <c r="W3698" s="3">
        <v>66.87</v>
      </c>
      <c r="X3698" s="3">
        <v>63.33</v>
      </c>
      <c r="Y3698" s="3">
        <v>27.15</v>
      </c>
    </row>
    <row r="3699" spans="1:25" ht="60.75" x14ac:dyDescent="0.25">
      <c r="A3699" s="3" t="s">
        <v>26</v>
      </c>
      <c r="B3699" s="3" t="s">
        <v>27</v>
      </c>
      <c r="C3699" s="3" t="s">
        <v>28</v>
      </c>
      <c r="D3699" s="3" t="s">
        <v>29</v>
      </c>
      <c r="E3699" s="3" t="s">
        <v>228</v>
      </c>
      <c r="F3699" s="3" t="s">
        <v>31</v>
      </c>
      <c r="G3699" s="3" t="s">
        <v>228</v>
      </c>
      <c r="H3699" s="3" t="s">
        <v>45</v>
      </c>
      <c r="I3699" s="3">
        <v>2025</v>
      </c>
      <c r="J3699" s="3" t="str">
        <f>CONCATENATE("54820056668")</f>
        <v>54820056668</v>
      </c>
      <c r="K3699" s="3" t="s">
        <v>33</v>
      </c>
      <c r="L3699" s="3"/>
      <c r="M3699" s="3" t="s">
        <v>131</v>
      </c>
      <c r="N3699" s="3" t="str">
        <f>CONCATENATE("VGLNTL47S17D488N")</f>
        <v>VGLNTL47S17D488N</v>
      </c>
      <c r="O3699" s="3" t="s">
        <v>3813</v>
      </c>
      <c r="P3699" s="3" t="s">
        <v>36</v>
      </c>
      <c r="Q3699" s="3"/>
      <c r="R3699" s="4">
        <v>45996</v>
      </c>
      <c r="S3699" s="3" t="s">
        <v>37</v>
      </c>
      <c r="T3699" s="3" t="s">
        <v>38</v>
      </c>
      <c r="U3699" s="3" t="s">
        <v>39</v>
      </c>
      <c r="V3699" s="3">
        <v>312.58999999999997</v>
      </c>
      <c r="W3699" s="3">
        <v>132.85</v>
      </c>
      <c r="X3699" s="3">
        <v>125.82</v>
      </c>
      <c r="Y3699" s="3">
        <v>53.92</v>
      </c>
    </row>
    <row r="3700" spans="1:25" ht="72.75" x14ac:dyDescent="0.25">
      <c r="A3700" s="3" t="s">
        <v>26</v>
      </c>
      <c r="B3700" s="3" t="s">
        <v>27</v>
      </c>
      <c r="C3700" s="3" t="s">
        <v>28</v>
      </c>
      <c r="D3700" s="3" t="s">
        <v>29</v>
      </c>
      <c r="E3700" s="3" t="s">
        <v>228</v>
      </c>
      <c r="F3700" s="3" t="s">
        <v>31</v>
      </c>
      <c r="G3700" s="3" t="s">
        <v>228</v>
      </c>
      <c r="H3700" s="3" t="s">
        <v>45</v>
      </c>
      <c r="I3700" s="3">
        <v>2025</v>
      </c>
      <c r="J3700" s="3" t="str">
        <f>CONCATENATE("54820070578")</f>
        <v>54820070578</v>
      </c>
      <c r="K3700" s="3" t="s">
        <v>33</v>
      </c>
      <c r="L3700" s="3"/>
      <c r="M3700" s="3" t="s">
        <v>131</v>
      </c>
      <c r="N3700" s="3" t="str">
        <f>CONCATENATE("FDRMRN50T17E351O")</f>
        <v>FDRMRN50T17E351O</v>
      </c>
      <c r="O3700" s="3" t="s">
        <v>3814</v>
      </c>
      <c r="P3700" s="3" t="s">
        <v>36</v>
      </c>
      <c r="Q3700" s="3"/>
      <c r="R3700" s="4">
        <v>45996</v>
      </c>
      <c r="S3700" s="3" t="s">
        <v>37</v>
      </c>
      <c r="T3700" s="3" t="s">
        <v>38</v>
      </c>
      <c r="U3700" s="3" t="s">
        <v>39</v>
      </c>
      <c r="V3700" s="3">
        <v>510.45</v>
      </c>
      <c r="W3700" s="3">
        <v>216.94</v>
      </c>
      <c r="X3700" s="3">
        <v>205.46</v>
      </c>
      <c r="Y3700" s="3">
        <v>88.05</v>
      </c>
    </row>
    <row r="3701" spans="1:25" ht="72.75" x14ac:dyDescent="0.25">
      <c r="A3701" s="3" t="s">
        <v>26</v>
      </c>
      <c r="B3701" s="3" t="s">
        <v>27</v>
      </c>
      <c r="C3701" s="3" t="s">
        <v>28</v>
      </c>
      <c r="D3701" s="3" t="s">
        <v>40</v>
      </c>
      <c r="E3701" s="3" t="s">
        <v>496</v>
      </c>
      <c r="F3701" s="3" t="s">
        <v>42</v>
      </c>
      <c r="G3701" s="3" t="s">
        <v>496</v>
      </c>
      <c r="H3701" s="3" t="s">
        <v>32</v>
      </c>
      <c r="I3701" s="3">
        <v>2025</v>
      </c>
      <c r="J3701" s="3" t="str">
        <f>CONCATENATE("54820079710")</f>
        <v>54820079710</v>
      </c>
      <c r="K3701" s="3" t="s">
        <v>33</v>
      </c>
      <c r="L3701" s="3"/>
      <c r="M3701" s="3" t="s">
        <v>131</v>
      </c>
      <c r="N3701" s="3" t="str">
        <f>CONCATENATE("PCCNZE61R17B474O")</f>
        <v>PCCNZE61R17B474O</v>
      </c>
      <c r="O3701" s="3" t="s">
        <v>3815</v>
      </c>
      <c r="P3701" s="3" t="s">
        <v>36</v>
      </c>
      <c r="Q3701" s="3"/>
      <c r="R3701" s="4">
        <v>45996</v>
      </c>
      <c r="S3701" s="3" t="s">
        <v>37</v>
      </c>
      <c r="T3701" s="3" t="s">
        <v>38</v>
      </c>
      <c r="U3701" s="3" t="s">
        <v>39</v>
      </c>
      <c r="V3701" s="3">
        <v>598.49</v>
      </c>
      <c r="W3701" s="3">
        <v>254.36</v>
      </c>
      <c r="X3701" s="3">
        <v>240.89</v>
      </c>
      <c r="Y3701" s="3">
        <v>103.24</v>
      </c>
    </row>
    <row r="3702" spans="1:25" ht="60.75" x14ac:dyDescent="0.25">
      <c r="A3702" s="3" t="s">
        <v>26</v>
      </c>
      <c r="B3702" s="3" t="s">
        <v>27</v>
      </c>
      <c r="C3702" s="3" t="s">
        <v>28</v>
      </c>
      <c r="D3702" s="3" t="s">
        <v>29</v>
      </c>
      <c r="E3702" s="3" t="s">
        <v>56</v>
      </c>
      <c r="F3702" s="3" t="s">
        <v>31</v>
      </c>
      <c r="G3702" s="3" t="s">
        <v>56</v>
      </c>
      <c r="H3702" s="3" t="s">
        <v>32</v>
      </c>
      <c r="I3702" s="3">
        <v>2025</v>
      </c>
      <c r="J3702" s="3" t="str">
        <f>CONCATENATE("54820080536")</f>
        <v>54820080536</v>
      </c>
      <c r="K3702" s="3" t="s">
        <v>33</v>
      </c>
      <c r="L3702" s="3"/>
      <c r="M3702" s="3" t="s">
        <v>131</v>
      </c>
      <c r="N3702" s="3" t="str">
        <f>CONCATENATE("FDLFLL55T55B504J")</f>
        <v>FDLFLL55T55B504J</v>
      </c>
      <c r="O3702" s="3" t="s">
        <v>3816</v>
      </c>
      <c r="P3702" s="3" t="s">
        <v>36</v>
      </c>
      <c r="Q3702" s="3"/>
      <c r="R3702" s="4">
        <v>45996</v>
      </c>
      <c r="S3702" s="3" t="s">
        <v>37</v>
      </c>
      <c r="T3702" s="3" t="s">
        <v>38</v>
      </c>
      <c r="U3702" s="3" t="s">
        <v>39</v>
      </c>
      <c r="V3702" s="3">
        <v>152.07</v>
      </c>
      <c r="W3702" s="3">
        <v>64.63</v>
      </c>
      <c r="X3702" s="3">
        <v>61.21</v>
      </c>
      <c r="Y3702" s="3">
        <v>26.23</v>
      </c>
    </row>
    <row r="3703" spans="1:25" ht="60.75" x14ac:dyDescent="0.25">
      <c r="A3703" s="3" t="s">
        <v>26</v>
      </c>
      <c r="B3703" s="3" t="s">
        <v>27</v>
      </c>
      <c r="C3703" s="3" t="s">
        <v>28</v>
      </c>
      <c r="D3703" s="3" t="s">
        <v>29</v>
      </c>
      <c r="E3703" s="3" t="s">
        <v>119</v>
      </c>
      <c r="F3703" s="3" t="s">
        <v>31</v>
      </c>
      <c r="G3703" s="3" t="s">
        <v>119</v>
      </c>
      <c r="H3703" s="3" t="s">
        <v>96</v>
      </c>
      <c r="I3703" s="3">
        <v>2025</v>
      </c>
      <c r="J3703" s="3" t="str">
        <f>CONCATENATE("54820023437")</f>
        <v>54820023437</v>
      </c>
      <c r="K3703" s="3" t="s">
        <v>33</v>
      </c>
      <c r="L3703" s="3"/>
      <c r="M3703" s="3" t="s">
        <v>131</v>
      </c>
      <c r="N3703" s="3" t="str">
        <f>CONCATENATE("SCGTRS58T63A252H")</f>
        <v>SCGTRS58T63A252H</v>
      </c>
      <c r="O3703" s="3" t="s">
        <v>3817</v>
      </c>
      <c r="P3703" s="3" t="s">
        <v>36</v>
      </c>
      <c r="Q3703" s="3"/>
      <c r="R3703" s="4">
        <v>45996</v>
      </c>
      <c r="S3703" s="3" t="s">
        <v>37</v>
      </c>
      <c r="T3703" s="3" t="s">
        <v>38</v>
      </c>
      <c r="U3703" s="3" t="s">
        <v>39</v>
      </c>
      <c r="V3703" s="3">
        <v>170.99</v>
      </c>
      <c r="W3703" s="3">
        <v>72.67</v>
      </c>
      <c r="X3703" s="3">
        <v>68.819999999999993</v>
      </c>
      <c r="Y3703" s="3">
        <v>29.5</v>
      </c>
    </row>
    <row r="3704" spans="1:25" ht="60.75" x14ac:dyDescent="0.25">
      <c r="A3704" s="3" t="s">
        <v>26</v>
      </c>
      <c r="B3704" s="3" t="s">
        <v>27</v>
      </c>
      <c r="C3704" s="3" t="s">
        <v>28</v>
      </c>
      <c r="D3704" s="3" t="s">
        <v>29</v>
      </c>
      <c r="E3704" s="3" t="s">
        <v>119</v>
      </c>
      <c r="F3704" s="3" t="s">
        <v>31</v>
      </c>
      <c r="G3704" s="3" t="s">
        <v>119</v>
      </c>
      <c r="H3704" s="3" t="s">
        <v>96</v>
      </c>
      <c r="I3704" s="3">
        <v>2025</v>
      </c>
      <c r="J3704" s="3" t="str">
        <f>CONCATENATE("54820024070")</f>
        <v>54820024070</v>
      </c>
      <c r="K3704" s="3" t="s">
        <v>33</v>
      </c>
      <c r="L3704" s="3"/>
      <c r="M3704" s="3" t="s">
        <v>131</v>
      </c>
      <c r="N3704" s="3" t="str">
        <f>CONCATENATE("DLTGNN54T28D691U")</f>
        <v>DLTGNN54T28D691U</v>
      </c>
      <c r="O3704" s="3" t="s">
        <v>3818</v>
      </c>
      <c r="P3704" s="3" t="s">
        <v>36</v>
      </c>
      <c r="Q3704" s="3"/>
      <c r="R3704" s="4">
        <v>45996</v>
      </c>
      <c r="S3704" s="3" t="s">
        <v>37</v>
      </c>
      <c r="T3704" s="3" t="s">
        <v>38</v>
      </c>
      <c r="U3704" s="3" t="s">
        <v>39</v>
      </c>
      <c r="V3704" s="3">
        <v>183.89</v>
      </c>
      <c r="W3704" s="3">
        <v>78.150000000000006</v>
      </c>
      <c r="X3704" s="3">
        <v>74.02</v>
      </c>
      <c r="Y3704" s="3">
        <v>31.72</v>
      </c>
    </row>
    <row r="3705" spans="1:25" ht="60.75" x14ac:dyDescent="0.25">
      <c r="A3705" s="3" t="s">
        <v>26</v>
      </c>
      <c r="B3705" s="3" t="s">
        <v>27</v>
      </c>
      <c r="C3705" s="3" t="s">
        <v>28</v>
      </c>
      <c r="D3705" s="3" t="s">
        <v>50</v>
      </c>
      <c r="E3705" s="3" t="s">
        <v>252</v>
      </c>
      <c r="F3705" s="3" t="s">
        <v>52</v>
      </c>
      <c r="G3705" s="3" t="s">
        <v>252</v>
      </c>
      <c r="H3705" s="3" t="s">
        <v>45</v>
      </c>
      <c r="I3705" s="3">
        <v>2025</v>
      </c>
      <c r="J3705" s="3" t="str">
        <f>CONCATENATE("54820191663")</f>
        <v>54820191663</v>
      </c>
      <c r="K3705" s="3" t="s">
        <v>33</v>
      </c>
      <c r="L3705" s="3"/>
      <c r="M3705" s="3" t="s">
        <v>131</v>
      </c>
      <c r="N3705" s="3" t="str">
        <f>CONCATENATE("MLFFST53E10F497P")</f>
        <v>MLFFST53E10F497P</v>
      </c>
      <c r="O3705" s="3" t="s">
        <v>3819</v>
      </c>
      <c r="P3705" s="3" t="s">
        <v>36</v>
      </c>
      <c r="Q3705" s="3"/>
      <c r="R3705" s="4">
        <v>45996</v>
      </c>
      <c r="S3705" s="3" t="s">
        <v>37</v>
      </c>
      <c r="T3705" s="3" t="s">
        <v>38</v>
      </c>
      <c r="U3705" s="3" t="s">
        <v>39</v>
      </c>
      <c r="V3705" s="3">
        <v>87.24</v>
      </c>
      <c r="W3705" s="3">
        <v>37.08</v>
      </c>
      <c r="X3705" s="3">
        <v>35.11</v>
      </c>
      <c r="Y3705" s="3">
        <v>15.05</v>
      </c>
    </row>
    <row r="3706" spans="1:25" ht="60.75" x14ac:dyDescent="0.25">
      <c r="A3706" s="3" t="s">
        <v>26</v>
      </c>
      <c r="B3706" s="3" t="s">
        <v>27</v>
      </c>
      <c r="C3706" s="3" t="s">
        <v>28</v>
      </c>
      <c r="D3706" s="3" t="s">
        <v>50</v>
      </c>
      <c r="E3706" s="3" t="s">
        <v>60</v>
      </c>
      <c r="F3706" s="3" t="s">
        <v>52</v>
      </c>
      <c r="G3706" s="3" t="s">
        <v>60</v>
      </c>
      <c r="H3706" s="3" t="s">
        <v>45</v>
      </c>
      <c r="I3706" s="3">
        <v>2025</v>
      </c>
      <c r="J3706" s="3" t="str">
        <f>CONCATENATE("54820290481")</f>
        <v>54820290481</v>
      </c>
      <c r="K3706" s="3" t="s">
        <v>33</v>
      </c>
      <c r="L3706" s="3"/>
      <c r="M3706" s="3" t="s">
        <v>131</v>
      </c>
      <c r="N3706" s="3" t="str">
        <f>CONCATENATE("PRZDRN72P16G453C")</f>
        <v>PRZDRN72P16G453C</v>
      </c>
      <c r="O3706" s="3" t="s">
        <v>3820</v>
      </c>
      <c r="P3706" s="3" t="s">
        <v>36</v>
      </c>
      <c r="Q3706" s="3"/>
      <c r="R3706" s="4">
        <v>45996</v>
      </c>
      <c r="S3706" s="3" t="s">
        <v>37</v>
      </c>
      <c r="T3706" s="3" t="s">
        <v>38</v>
      </c>
      <c r="U3706" s="3" t="s">
        <v>39</v>
      </c>
      <c r="V3706" s="3">
        <v>438.76</v>
      </c>
      <c r="W3706" s="3">
        <v>186.47</v>
      </c>
      <c r="X3706" s="3">
        <v>176.6</v>
      </c>
      <c r="Y3706" s="3">
        <v>75.69</v>
      </c>
    </row>
    <row r="3707" spans="1:25" ht="60.75" x14ac:dyDescent="0.25">
      <c r="A3707" s="3" t="s">
        <v>26</v>
      </c>
      <c r="B3707" s="3" t="s">
        <v>27</v>
      </c>
      <c r="C3707" s="3" t="s">
        <v>28</v>
      </c>
      <c r="D3707" s="3" t="s">
        <v>29</v>
      </c>
      <c r="E3707" s="3" t="s">
        <v>111</v>
      </c>
      <c r="F3707" s="3" t="s">
        <v>31</v>
      </c>
      <c r="G3707" s="3" t="s">
        <v>111</v>
      </c>
      <c r="H3707" s="3" t="s">
        <v>96</v>
      </c>
      <c r="I3707" s="3">
        <v>2025</v>
      </c>
      <c r="J3707" s="3" t="str">
        <f>CONCATENATE("54820240965")</f>
        <v>54820240965</v>
      </c>
      <c r="K3707" s="3" t="s">
        <v>33</v>
      </c>
      <c r="L3707" s="3"/>
      <c r="M3707" s="3" t="s">
        <v>131</v>
      </c>
      <c r="N3707" s="3" t="str">
        <f>CONCATENATE("MCHMCL61L12D691O")</f>
        <v>MCHMCL61L12D691O</v>
      </c>
      <c r="O3707" s="3" t="s">
        <v>3821</v>
      </c>
      <c r="P3707" s="3" t="s">
        <v>36</v>
      </c>
      <c r="Q3707" s="3"/>
      <c r="R3707" s="4">
        <v>45996</v>
      </c>
      <c r="S3707" s="3" t="s">
        <v>37</v>
      </c>
      <c r="T3707" s="3" t="s">
        <v>38</v>
      </c>
      <c r="U3707" s="3" t="s">
        <v>39</v>
      </c>
      <c r="V3707" s="3">
        <v>672.14</v>
      </c>
      <c r="W3707" s="3">
        <v>285.66000000000003</v>
      </c>
      <c r="X3707" s="3">
        <v>270.54000000000002</v>
      </c>
      <c r="Y3707" s="3">
        <v>115.94</v>
      </c>
    </row>
    <row r="3708" spans="1:25" ht="72.75" x14ac:dyDescent="0.25">
      <c r="A3708" s="3" t="s">
        <v>26</v>
      </c>
      <c r="B3708" s="3" t="s">
        <v>27</v>
      </c>
      <c r="C3708" s="3" t="s">
        <v>28</v>
      </c>
      <c r="D3708" s="3" t="s">
        <v>50</v>
      </c>
      <c r="E3708" s="3" t="s">
        <v>149</v>
      </c>
      <c r="F3708" s="3" t="s">
        <v>52</v>
      </c>
      <c r="G3708" s="3" t="s">
        <v>149</v>
      </c>
      <c r="H3708" s="3" t="s">
        <v>96</v>
      </c>
      <c r="I3708" s="3">
        <v>2025</v>
      </c>
      <c r="J3708" s="3" t="str">
        <f>CONCATENATE("54820265467")</f>
        <v>54820265467</v>
      </c>
      <c r="K3708" s="3" t="s">
        <v>33</v>
      </c>
      <c r="L3708" s="3"/>
      <c r="M3708" s="3" t="s">
        <v>131</v>
      </c>
      <c r="N3708" s="3" t="str">
        <f>CONCATENATE("CCCGPP87M18A462Q")</f>
        <v>CCCGPP87M18A462Q</v>
      </c>
      <c r="O3708" s="3" t="s">
        <v>3822</v>
      </c>
      <c r="P3708" s="3" t="s">
        <v>36</v>
      </c>
      <c r="Q3708" s="3"/>
      <c r="R3708" s="4">
        <v>45996</v>
      </c>
      <c r="S3708" s="3" t="s">
        <v>37</v>
      </c>
      <c r="T3708" s="3" t="s">
        <v>38</v>
      </c>
      <c r="U3708" s="3" t="s">
        <v>39</v>
      </c>
      <c r="V3708" s="3">
        <v>82.28</v>
      </c>
      <c r="W3708" s="3">
        <v>34.97</v>
      </c>
      <c r="X3708" s="3">
        <v>33.119999999999997</v>
      </c>
      <c r="Y3708" s="3">
        <v>14.19</v>
      </c>
    </row>
    <row r="3709" spans="1:25" ht="60.75" x14ac:dyDescent="0.25">
      <c r="A3709" s="3" t="s">
        <v>26</v>
      </c>
      <c r="B3709" s="3" t="s">
        <v>27</v>
      </c>
      <c r="C3709" s="3" t="s">
        <v>28</v>
      </c>
      <c r="D3709" s="3" t="s">
        <v>29</v>
      </c>
      <c r="E3709" s="3" t="s">
        <v>72</v>
      </c>
      <c r="F3709" s="3" t="s">
        <v>31</v>
      </c>
      <c r="G3709" s="3" t="s">
        <v>72</v>
      </c>
      <c r="H3709" s="3" t="s">
        <v>45</v>
      </c>
      <c r="I3709" s="3">
        <v>2025</v>
      </c>
      <c r="J3709" s="3" t="str">
        <f>CONCATENATE("54820189253")</f>
        <v>54820189253</v>
      </c>
      <c r="K3709" s="3" t="s">
        <v>33</v>
      </c>
      <c r="L3709" s="3"/>
      <c r="M3709" s="3" t="s">
        <v>131</v>
      </c>
      <c r="N3709" s="3" t="str">
        <f>CONCATENATE("TCCLBT76H68B352E")</f>
        <v>TCCLBT76H68B352E</v>
      </c>
      <c r="O3709" s="3" t="s">
        <v>3823</v>
      </c>
      <c r="P3709" s="3" t="s">
        <v>36</v>
      </c>
      <c r="Q3709" s="3"/>
      <c r="R3709" s="4">
        <v>45996</v>
      </c>
      <c r="S3709" s="3" t="s">
        <v>37</v>
      </c>
      <c r="T3709" s="3" t="s">
        <v>38</v>
      </c>
      <c r="U3709" s="3" t="s">
        <v>39</v>
      </c>
      <c r="V3709" s="3">
        <v>259.12</v>
      </c>
      <c r="W3709" s="3">
        <v>110.13</v>
      </c>
      <c r="X3709" s="3">
        <v>104.3</v>
      </c>
      <c r="Y3709" s="3">
        <v>44.69</v>
      </c>
    </row>
    <row r="3710" spans="1:25" ht="60.75" x14ac:dyDescent="0.25">
      <c r="A3710" s="3" t="s">
        <v>26</v>
      </c>
      <c r="B3710" s="3" t="s">
        <v>27</v>
      </c>
      <c r="C3710" s="3" t="s">
        <v>28</v>
      </c>
      <c r="D3710" s="3" t="s">
        <v>464</v>
      </c>
      <c r="E3710" s="3" t="s">
        <v>465</v>
      </c>
      <c r="F3710" s="3" t="s">
        <v>466</v>
      </c>
      <c r="G3710" s="3" t="s">
        <v>465</v>
      </c>
      <c r="H3710" s="3" t="s">
        <v>96</v>
      </c>
      <c r="I3710" s="3">
        <v>2025</v>
      </c>
      <c r="J3710" s="3" t="str">
        <f>CONCATENATE("54820192539")</f>
        <v>54820192539</v>
      </c>
      <c r="K3710" s="3" t="s">
        <v>33</v>
      </c>
      <c r="L3710" s="3"/>
      <c r="M3710" s="3" t="s">
        <v>131</v>
      </c>
      <c r="N3710" s="3" t="str">
        <f>CONCATENATE("FRRMRZ68A15H390P")</f>
        <v>FRRMRZ68A15H390P</v>
      </c>
      <c r="O3710" s="3" t="s">
        <v>3824</v>
      </c>
      <c r="P3710" s="3" t="s">
        <v>36</v>
      </c>
      <c r="Q3710" s="3"/>
      <c r="R3710" s="4">
        <v>45996</v>
      </c>
      <c r="S3710" s="3" t="s">
        <v>37</v>
      </c>
      <c r="T3710" s="3" t="s">
        <v>38</v>
      </c>
      <c r="U3710" s="3" t="s">
        <v>39</v>
      </c>
      <c r="V3710" s="3">
        <v>113.55</v>
      </c>
      <c r="W3710" s="3">
        <v>48.26</v>
      </c>
      <c r="X3710" s="3">
        <v>45.7</v>
      </c>
      <c r="Y3710" s="3">
        <v>19.59</v>
      </c>
    </row>
    <row r="3711" spans="1:25" ht="72.75" x14ac:dyDescent="0.25">
      <c r="A3711" s="3" t="s">
        <v>26</v>
      </c>
      <c r="B3711" s="3" t="s">
        <v>27</v>
      </c>
      <c r="C3711" s="3" t="s">
        <v>28</v>
      </c>
      <c r="D3711" s="3" t="s">
        <v>91</v>
      </c>
      <c r="E3711" s="3" t="s">
        <v>151</v>
      </c>
      <c r="F3711" s="3" t="s">
        <v>93</v>
      </c>
      <c r="G3711" s="3" t="s">
        <v>151</v>
      </c>
      <c r="H3711" s="3" t="s">
        <v>45</v>
      </c>
      <c r="I3711" s="3">
        <v>2025</v>
      </c>
      <c r="J3711" s="3" t="str">
        <f>CONCATENATE("54820208939")</f>
        <v>54820208939</v>
      </c>
      <c r="K3711" s="3" t="s">
        <v>33</v>
      </c>
      <c r="L3711" s="3"/>
      <c r="M3711" s="3" t="s">
        <v>131</v>
      </c>
      <c r="N3711" s="3" t="str">
        <f>CONCATENATE("VLNMRS40A63D791B")</f>
        <v>VLNMRS40A63D791B</v>
      </c>
      <c r="O3711" s="3" t="s">
        <v>3825</v>
      </c>
      <c r="P3711" s="3" t="s">
        <v>36</v>
      </c>
      <c r="Q3711" s="3"/>
      <c r="R3711" s="4">
        <v>45996</v>
      </c>
      <c r="S3711" s="3" t="s">
        <v>37</v>
      </c>
      <c r="T3711" s="3" t="s">
        <v>38</v>
      </c>
      <c r="U3711" s="3" t="s">
        <v>39</v>
      </c>
      <c r="V3711" s="3">
        <v>208.26</v>
      </c>
      <c r="W3711" s="3">
        <v>88.51</v>
      </c>
      <c r="X3711" s="3">
        <v>83.82</v>
      </c>
      <c r="Y3711" s="3">
        <v>35.93</v>
      </c>
    </row>
    <row r="3712" spans="1:25" ht="60.75" x14ac:dyDescent="0.25">
      <c r="A3712" s="3" t="s">
        <v>26</v>
      </c>
      <c r="B3712" s="3" t="s">
        <v>27</v>
      </c>
      <c r="C3712" s="3" t="s">
        <v>28</v>
      </c>
      <c r="D3712" s="3" t="s">
        <v>104</v>
      </c>
      <c r="E3712" s="3" t="s">
        <v>141</v>
      </c>
      <c r="F3712" s="3" t="s">
        <v>104</v>
      </c>
      <c r="G3712" s="3" t="s">
        <v>141</v>
      </c>
      <c r="H3712" s="3" t="s">
        <v>96</v>
      </c>
      <c r="I3712" s="3">
        <v>2025</v>
      </c>
      <c r="J3712" s="3" t="str">
        <f>CONCATENATE("54820277108")</f>
        <v>54820277108</v>
      </c>
      <c r="K3712" s="3" t="s">
        <v>33</v>
      </c>
      <c r="L3712" s="3"/>
      <c r="M3712" s="3" t="s">
        <v>131</v>
      </c>
      <c r="N3712" s="3" t="str">
        <f>CONCATENATE("BRTNDA80L69D542W")</f>
        <v>BRTNDA80L69D542W</v>
      </c>
      <c r="O3712" s="3" t="s">
        <v>3826</v>
      </c>
      <c r="P3712" s="3" t="s">
        <v>36</v>
      </c>
      <c r="Q3712" s="3"/>
      <c r="R3712" s="4">
        <v>45996</v>
      </c>
      <c r="S3712" s="3" t="s">
        <v>37</v>
      </c>
      <c r="T3712" s="3" t="s">
        <v>38</v>
      </c>
      <c r="U3712" s="3" t="s">
        <v>39</v>
      </c>
      <c r="V3712" s="3">
        <v>69.47</v>
      </c>
      <c r="W3712" s="3">
        <v>29.52</v>
      </c>
      <c r="X3712" s="3">
        <v>27.96</v>
      </c>
      <c r="Y3712" s="3">
        <v>11.99</v>
      </c>
    </row>
    <row r="3713" spans="1:25" ht="60.75" x14ac:dyDescent="0.25">
      <c r="A3713" s="3" t="s">
        <v>26</v>
      </c>
      <c r="B3713" s="3" t="s">
        <v>27</v>
      </c>
      <c r="C3713" s="3" t="s">
        <v>28</v>
      </c>
      <c r="D3713" s="3" t="s">
        <v>104</v>
      </c>
      <c r="E3713" s="3" t="s">
        <v>141</v>
      </c>
      <c r="F3713" s="3" t="s">
        <v>104</v>
      </c>
      <c r="G3713" s="3" t="s">
        <v>141</v>
      </c>
      <c r="H3713" s="3" t="s">
        <v>96</v>
      </c>
      <c r="I3713" s="3">
        <v>2025</v>
      </c>
      <c r="J3713" s="3" t="str">
        <f>CONCATENATE("54820277165")</f>
        <v>54820277165</v>
      </c>
      <c r="K3713" s="3" t="s">
        <v>33</v>
      </c>
      <c r="L3713" s="3"/>
      <c r="M3713" s="3" t="s">
        <v>131</v>
      </c>
      <c r="N3713" s="3" t="str">
        <f>CONCATENATE("PVNFNC70L24A252O")</f>
        <v>PVNFNC70L24A252O</v>
      </c>
      <c r="O3713" s="3" t="s">
        <v>3827</v>
      </c>
      <c r="P3713" s="3" t="s">
        <v>36</v>
      </c>
      <c r="Q3713" s="3"/>
      <c r="R3713" s="4">
        <v>45996</v>
      </c>
      <c r="S3713" s="3" t="s">
        <v>37</v>
      </c>
      <c r="T3713" s="3" t="s">
        <v>38</v>
      </c>
      <c r="U3713" s="3" t="s">
        <v>39</v>
      </c>
      <c r="V3713" s="3">
        <v>71.56</v>
      </c>
      <c r="W3713" s="3">
        <v>30.41</v>
      </c>
      <c r="X3713" s="3">
        <v>28.8</v>
      </c>
      <c r="Y3713" s="3">
        <v>12.35</v>
      </c>
    </row>
    <row r="3714" spans="1:25" ht="72.75" x14ac:dyDescent="0.25">
      <c r="A3714" s="3" t="s">
        <v>26</v>
      </c>
      <c r="B3714" s="3" t="s">
        <v>27</v>
      </c>
      <c r="C3714" s="3" t="s">
        <v>28</v>
      </c>
      <c r="D3714" s="3" t="s">
        <v>50</v>
      </c>
      <c r="E3714" s="3" t="s">
        <v>173</v>
      </c>
      <c r="F3714" s="3" t="s">
        <v>52</v>
      </c>
      <c r="G3714" s="3" t="s">
        <v>173</v>
      </c>
      <c r="H3714" s="3" t="s">
        <v>45</v>
      </c>
      <c r="I3714" s="3">
        <v>2025</v>
      </c>
      <c r="J3714" s="3" t="str">
        <f>CONCATENATE("54820083589")</f>
        <v>54820083589</v>
      </c>
      <c r="K3714" s="3" t="s">
        <v>33</v>
      </c>
      <c r="L3714" s="3"/>
      <c r="M3714" s="3" t="s">
        <v>131</v>
      </c>
      <c r="N3714" s="3" t="str">
        <f>CONCATENATE("BRZVCN49D27G627H")</f>
        <v>BRZVCN49D27G627H</v>
      </c>
      <c r="O3714" s="3" t="s">
        <v>3828</v>
      </c>
      <c r="P3714" s="3" t="s">
        <v>36</v>
      </c>
      <c r="Q3714" s="3"/>
      <c r="R3714" s="4">
        <v>45996</v>
      </c>
      <c r="S3714" s="3" t="s">
        <v>37</v>
      </c>
      <c r="T3714" s="3" t="s">
        <v>38</v>
      </c>
      <c r="U3714" s="3" t="s">
        <v>39</v>
      </c>
      <c r="V3714" s="3">
        <v>73.33</v>
      </c>
      <c r="W3714" s="3">
        <v>31.17</v>
      </c>
      <c r="X3714" s="3">
        <v>29.52</v>
      </c>
      <c r="Y3714" s="3">
        <v>12.64</v>
      </c>
    </row>
    <row r="3715" spans="1:25" ht="60.75" x14ac:dyDescent="0.25">
      <c r="A3715" s="3" t="s">
        <v>26</v>
      </c>
      <c r="B3715" s="3" t="s">
        <v>27</v>
      </c>
      <c r="C3715" s="3" t="s">
        <v>28</v>
      </c>
      <c r="D3715" s="3" t="s">
        <v>29</v>
      </c>
      <c r="E3715" s="3" t="s">
        <v>47</v>
      </c>
      <c r="F3715" s="3" t="s">
        <v>31</v>
      </c>
      <c r="G3715" s="3" t="s">
        <v>47</v>
      </c>
      <c r="H3715" s="3" t="s">
        <v>48</v>
      </c>
      <c r="I3715" s="3">
        <v>2025</v>
      </c>
      <c r="J3715" s="3" t="str">
        <f>CONCATENATE("54820042999")</f>
        <v>54820042999</v>
      </c>
      <c r="K3715" s="3" t="s">
        <v>33</v>
      </c>
      <c r="L3715" s="3"/>
      <c r="M3715" s="3" t="s">
        <v>131</v>
      </c>
      <c r="N3715" s="3" t="str">
        <f>CONCATENATE("PLBCST43C64C704D")</f>
        <v>PLBCST43C64C704D</v>
      </c>
      <c r="O3715" s="3" t="s">
        <v>3829</v>
      </c>
      <c r="P3715" s="3" t="s">
        <v>36</v>
      </c>
      <c r="Q3715" s="3"/>
      <c r="R3715" s="4">
        <v>45996</v>
      </c>
      <c r="S3715" s="3" t="s">
        <v>37</v>
      </c>
      <c r="T3715" s="3" t="s">
        <v>38</v>
      </c>
      <c r="U3715" s="3" t="s">
        <v>39</v>
      </c>
      <c r="V3715" s="3">
        <v>281.14999999999998</v>
      </c>
      <c r="W3715" s="3">
        <v>119.49</v>
      </c>
      <c r="X3715" s="3">
        <v>113.16</v>
      </c>
      <c r="Y3715" s="3">
        <v>48.5</v>
      </c>
    </row>
    <row r="3716" spans="1:25" ht="60.75" x14ac:dyDescent="0.25">
      <c r="A3716" s="3" t="s">
        <v>26</v>
      </c>
      <c r="B3716" s="3" t="s">
        <v>27</v>
      </c>
      <c r="C3716" s="3" t="s">
        <v>28</v>
      </c>
      <c r="D3716" s="3" t="s">
        <v>157</v>
      </c>
      <c r="E3716" s="3" t="s">
        <v>158</v>
      </c>
      <c r="F3716" s="3" t="s">
        <v>159</v>
      </c>
      <c r="G3716" s="3" t="s">
        <v>158</v>
      </c>
      <c r="H3716" s="3" t="s">
        <v>45</v>
      </c>
      <c r="I3716" s="3">
        <v>2025</v>
      </c>
      <c r="J3716" s="3" t="str">
        <f>CONCATENATE("54820231865")</f>
        <v>54820231865</v>
      </c>
      <c r="K3716" s="3" t="s">
        <v>33</v>
      </c>
      <c r="L3716" s="3"/>
      <c r="M3716" s="3" t="s">
        <v>131</v>
      </c>
      <c r="N3716" s="3" t="str">
        <f>CONCATENATE("RMBNNA36L57G479F")</f>
        <v>RMBNNA36L57G479F</v>
      </c>
      <c r="O3716" s="3" t="s">
        <v>3830</v>
      </c>
      <c r="P3716" s="3" t="s">
        <v>36</v>
      </c>
      <c r="Q3716" s="3"/>
      <c r="R3716" s="4">
        <v>45996</v>
      </c>
      <c r="S3716" s="3" t="s">
        <v>37</v>
      </c>
      <c r="T3716" s="3" t="s">
        <v>38</v>
      </c>
      <c r="U3716" s="3" t="s">
        <v>39</v>
      </c>
      <c r="V3716" s="3">
        <v>125.18</v>
      </c>
      <c r="W3716" s="3">
        <v>53.2</v>
      </c>
      <c r="X3716" s="3">
        <v>50.38</v>
      </c>
      <c r="Y3716" s="3">
        <v>21.6</v>
      </c>
    </row>
    <row r="3717" spans="1:25" ht="36.75" x14ac:dyDescent="0.25">
      <c r="A3717" s="3" t="s">
        <v>26</v>
      </c>
      <c r="B3717" s="3" t="s">
        <v>27</v>
      </c>
      <c r="C3717" s="3" t="s">
        <v>28</v>
      </c>
      <c r="D3717" s="3" t="s">
        <v>91</v>
      </c>
      <c r="E3717" s="3" t="s">
        <v>95</v>
      </c>
      <c r="F3717" s="3" t="s">
        <v>93</v>
      </c>
      <c r="G3717" s="3" t="s">
        <v>95</v>
      </c>
      <c r="H3717" s="3" t="s">
        <v>96</v>
      </c>
      <c r="I3717" s="3">
        <v>2025</v>
      </c>
      <c r="J3717" s="3" t="str">
        <f>CONCATENATE("54820094123")</f>
        <v>54820094123</v>
      </c>
      <c r="K3717" s="3" t="s">
        <v>33</v>
      </c>
      <c r="L3717" s="3"/>
      <c r="M3717" s="3" t="s">
        <v>131</v>
      </c>
      <c r="N3717" s="3" t="str">
        <f>CONCATENATE("00448090449")</f>
        <v>00448090449</v>
      </c>
      <c r="O3717" s="3" t="s">
        <v>3831</v>
      </c>
      <c r="P3717" s="3" t="s">
        <v>36</v>
      </c>
      <c r="Q3717" s="3"/>
      <c r="R3717" s="4">
        <v>45996</v>
      </c>
      <c r="S3717" s="3" t="s">
        <v>37</v>
      </c>
      <c r="T3717" s="3" t="s">
        <v>38</v>
      </c>
      <c r="U3717" s="3" t="s">
        <v>39</v>
      </c>
      <c r="V3717" s="5">
        <v>1403.56</v>
      </c>
      <c r="W3717" s="3">
        <v>596.51</v>
      </c>
      <c r="X3717" s="3">
        <v>564.92999999999995</v>
      </c>
      <c r="Y3717" s="3">
        <v>242.12</v>
      </c>
    </row>
    <row r="3718" spans="1:25" ht="60.75" x14ac:dyDescent="0.25">
      <c r="A3718" s="3" t="s">
        <v>26</v>
      </c>
      <c r="B3718" s="3" t="s">
        <v>27</v>
      </c>
      <c r="C3718" s="3" t="s">
        <v>28</v>
      </c>
      <c r="D3718" s="3" t="s">
        <v>29</v>
      </c>
      <c r="E3718" s="3" t="s">
        <v>233</v>
      </c>
      <c r="F3718" s="3" t="s">
        <v>31</v>
      </c>
      <c r="G3718" s="3" t="s">
        <v>233</v>
      </c>
      <c r="H3718" s="3" t="s">
        <v>96</v>
      </c>
      <c r="I3718" s="3">
        <v>2025</v>
      </c>
      <c r="J3718" s="3" t="str">
        <f>CONCATENATE("54820035217")</f>
        <v>54820035217</v>
      </c>
      <c r="K3718" s="3" t="s">
        <v>33</v>
      </c>
      <c r="L3718" s="3"/>
      <c r="M3718" s="3" t="s">
        <v>131</v>
      </c>
      <c r="N3718" s="3" t="str">
        <f>CONCATENATE("CCCCRL61S24H390S")</f>
        <v>CCCCRL61S24H390S</v>
      </c>
      <c r="O3718" s="3" t="s">
        <v>3832</v>
      </c>
      <c r="P3718" s="3" t="s">
        <v>36</v>
      </c>
      <c r="Q3718" s="3"/>
      <c r="R3718" s="4">
        <v>45996</v>
      </c>
      <c r="S3718" s="3" t="s">
        <v>37</v>
      </c>
      <c r="T3718" s="3" t="s">
        <v>38</v>
      </c>
      <c r="U3718" s="3" t="s">
        <v>39</v>
      </c>
      <c r="V3718" s="3">
        <v>174.48</v>
      </c>
      <c r="W3718" s="3">
        <v>74.150000000000006</v>
      </c>
      <c r="X3718" s="3">
        <v>70.23</v>
      </c>
      <c r="Y3718" s="3">
        <v>30.1</v>
      </c>
    </row>
    <row r="3719" spans="1:25" ht="60.75" x14ac:dyDescent="0.25">
      <c r="A3719" s="3" t="s">
        <v>26</v>
      </c>
      <c r="B3719" s="3" t="s">
        <v>27</v>
      </c>
      <c r="C3719" s="3" t="s">
        <v>28</v>
      </c>
      <c r="D3719" s="3" t="s">
        <v>50</v>
      </c>
      <c r="E3719" s="3" t="s">
        <v>51</v>
      </c>
      <c r="F3719" s="3" t="s">
        <v>52</v>
      </c>
      <c r="G3719" s="3" t="s">
        <v>51</v>
      </c>
      <c r="H3719" s="3" t="s">
        <v>48</v>
      </c>
      <c r="I3719" s="3">
        <v>2025</v>
      </c>
      <c r="J3719" s="3" t="str">
        <f>CONCATENATE("54820042155")</f>
        <v>54820042155</v>
      </c>
      <c r="K3719" s="3" t="s">
        <v>33</v>
      </c>
      <c r="L3719" s="3"/>
      <c r="M3719" s="3" t="s">
        <v>131</v>
      </c>
      <c r="N3719" s="3" t="str">
        <f>CONCATENATE("QLNSRG52D20I461N")</f>
        <v>QLNSRG52D20I461N</v>
      </c>
      <c r="O3719" s="3" t="s">
        <v>3833</v>
      </c>
      <c r="P3719" s="3" t="s">
        <v>36</v>
      </c>
      <c r="Q3719" s="3"/>
      <c r="R3719" s="4">
        <v>45996</v>
      </c>
      <c r="S3719" s="3" t="s">
        <v>37</v>
      </c>
      <c r="T3719" s="3" t="s">
        <v>38</v>
      </c>
      <c r="U3719" s="3" t="s">
        <v>39</v>
      </c>
      <c r="V3719" s="3">
        <v>96.24</v>
      </c>
      <c r="W3719" s="3">
        <v>40.9</v>
      </c>
      <c r="X3719" s="3">
        <v>38.74</v>
      </c>
      <c r="Y3719" s="3">
        <v>16.600000000000001</v>
      </c>
    </row>
    <row r="3720" spans="1:25" ht="72.75" x14ac:dyDescent="0.25">
      <c r="A3720" s="3" t="s">
        <v>26</v>
      </c>
      <c r="B3720" s="3" t="s">
        <v>27</v>
      </c>
      <c r="C3720" s="3" t="s">
        <v>28</v>
      </c>
      <c r="D3720" s="3" t="s">
        <v>40</v>
      </c>
      <c r="E3720" s="3" t="s">
        <v>99</v>
      </c>
      <c r="F3720" s="3" t="s">
        <v>42</v>
      </c>
      <c r="G3720" s="3" t="s">
        <v>99</v>
      </c>
      <c r="H3720" s="3" t="s">
        <v>32</v>
      </c>
      <c r="I3720" s="3">
        <v>2025</v>
      </c>
      <c r="J3720" s="3" t="str">
        <f>CONCATENATE("54820071840")</f>
        <v>54820071840</v>
      </c>
      <c r="K3720" s="3" t="s">
        <v>33</v>
      </c>
      <c r="L3720" s="3"/>
      <c r="M3720" s="3" t="s">
        <v>131</v>
      </c>
      <c r="N3720" s="3" t="str">
        <f>CONCATENATE("BTTFNC77B47H211O")</f>
        <v>BTTFNC77B47H211O</v>
      </c>
      <c r="O3720" s="3" t="s">
        <v>3834</v>
      </c>
      <c r="P3720" s="3" t="s">
        <v>36</v>
      </c>
      <c r="Q3720" s="3"/>
      <c r="R3720" s="4">
        <v>45996</v>
      </c>
      <c r="S3720" s="3" t="s">
        <v>37</v>
      </c>
      <c r="T3720" s="3" t="s">
        <v>38</v>
      </c>
      <c r="U3720" s="3" t="s">
        <v>39</v>
      </c>
      <c r="V3720" s="3">
        <v>99.04</v>
      </c>
      <c r="W3720" s="3">
        <v>42.09</v>
      </c>
      <c r="X3720" s="3">
        <v>39.86</v>
      </c>
      <c r="Y3720" s="3">
        <v>17.09</v>
      </c>
    </row>
    <row r="3721" spans="1:25" ht="60.75" x14ac:dyDescent="0.25">
      <c r="A3721" s="3" t="s">
        <v>26</v>
      </c>
      <c r="B3721" s="3" t="s">
        <v>27</v>
      </c>
      <c r="C3721" s="3" t="s">
        <v>28</v>
      </c>
      <c r="D3721" s="3" t="s">
        <v>50</v>
      </c>
      <c r="E3721" s="3" t="s">
        <v>51</v>
      </c>
      <c r="F3721" s="3" t="s">
        <v>52</v>
      </c>
      <c r="G3721" s="3" t="s">
        <v>51</v>
      </c>
      <c r="H3721" s="3" t="s">
        <v>48</v>
      </c>
      <c r="I3721" s="3">
        <v>2025</v>
      </c>
      <c r="J3721" s="3" t="str">
        <f>CONCATENATE("54820051008")</f>
        <v>54820051008</v>
      </c>
      <c r="K3721" s="3" t="s">
        <v>33</v>
      </c>
      <c r="L3721" s="3"/>
      <c r="M3721" s="3" t="s">
        <v>131</v>
      </c>
      <c r="N3721" s="3" t="str">
        <f>CONCATENATE("GZZPNC98E31I608B")</f>
        <v>GZZPNC98E31I608B</v>
      </c>
      <c r="O3721" s="3" t="s">
        <v>3835</v>
      </c>
      <c r="P3721" s="3" t="s">
        <v>36</v>
      </c>
      <c r="Q3721" s="3"/>
      <c r="R3721" s="4">
        <v>45996</v>
      </c>
      <c r="S3721" s="3" t="s">
        <v>37</v>
      </c>
      <c r="T3721" s="3" t="s">
        <v>38</v>
      </c>
      <c r="U3721" s="3" t="s">
        <v>39</v>
      </c>
      <c r="V3721" s="3">
        <v>828.31</v>
      </c>
      <c r="W3721" s="3">
        <v>352.03</v>
      </c>
      <c r="X3721" s="3">
        <v>333.39</v>
      </c>
      <c r="Y3721" s="3">
        <v>142.88999999999999</v>
      </c>
    </row>
    <row r="3722" spans="1:25" ht="60.75" x14ac:dyDescent="0.25">
      <c r="A3722" s="3" t="s">
        <v>26</v>
      </c>
      <c r="B3722" s="3" t="s">
        <v>27</v>
      </c>
      <c r="C3722" s="3" t="s">
        <v>28</v>
      </c>
      <c r="D3722" s="3" t="s">
        <v>29</v>
      </c>
      <c r="E3722" s="3" t="s">
        <v>119</v>
      </c>
      <c r="F3722" s="3" t="s">
        <v>31</v>
      </c>
      <c r="G3722" s="3" t="s">
        <v>119</v>
      </c>
      <c r="H3722" s="3" t="s">
        <v>96</v>
      </c>
      <c r="I3722" s="3">
        <v>2025</v>
      </c>
      <c r="J3722" s="3" t="str">
        <f>CONCATENATE("54820039151")</f>
        <v>54820039151</v>
      </c>
      <c r="K3722" s="3" t="s">
        <v>33</v>
      </c>
      <c r="L3722" s="3"/>
      <c r="M3722" s="3" t="s">
        <v>131</v>
      </c>
      <c r="N3722" s="3" t="str">
        <f>CONCATENATE("TSSLSN73S16D542X")</f>
        <v>TSSLSN73S16D542X</v>
      </c>
      <c r="O3722" s="3" t="s">
        <v>3836</v>
      </c>
      <c r="P3722" s="3" t="s">
        <v>36</v>
      </c>
      <c r="Q3722" s="3"/>
      <c r="R3722" s="4">
        <v>45996</v>
      </c>
      <c r="S3722" s="3" t="s">
        <v>37</v>
      </c>
      <c r="T3722" s="3" t="s">
        <v>38</v>
      </c>
      <c r="U3722" s="3" t="s">
        <v>39</v>
      </c>
      <c r="V3722" s="3">
        <v>357.06</v>
      </c>
      <c r="W3722" s="3">
        <v>151.75</v>
      </c>
      <c r="X3722" s="3">
        <v>143.72</v>
      </c>
      <c r="Y3722" s="3">
        <v>61.59</v>
      </c>
    </row>
    <row r="3723" spans="1:25" ht="72.75" x14ac:dyDescent="0.25">
      <c r="A3723" s="3" t="s">
        <v>26</v>
      </c>
      <c r="B3723" s="3" t="s">
        <v>27</v>
      </c>
      <c r="C3723" s="3" t="s">
        <v>28</v>
      </c>
      <c r="D3723" s="3" t="s">
        <v>40</v>
      </c>
      <c r="E3723" s="3" t="s">
        <v>44</v>
      </c>
      <c r="F3723" s="3" t="s">
        <v>42</v>
      </c>
      <c r="G3723" s="3" t="s">
        <v>44</v>
      </c>
      <c r="H3723" s="3" t="s">
        <v>32</v>
      </c>
      <c r="I3723" s="3">
        <v>2025</v>
      </c>
      <c r="J3723" s="3" t="str">
        <f>CONCATENATE("54820082508")</f>
        <v>54820082508</v>
      </c>
      <c r="K3723" s="3" t="s">
        <v>33</v>
      </c>
      <c r="L3723" s="3"/>
      <c r="M3723" s="3" t="s">
        <v>131</v>
      </c>
      <c r="N3723" s="3" t="str">
        <f>CONCATENATE("PZZMGN79R03L191W")</f>
        <v>PZZMGN79R03L191W</v>
      </c>
      <c r="O3723" s="3" t="s">
        <v>3837</v>
      </c>
      <c r="P3723" s="3" t="s">
        <v>36</v>
      </c>
      <c r="Q3723" s="3"/>
      <c r="R3723" s="4">
        <v>45996</v>
      </c>
      <c r="S3723" s="3" t="s">
        <v>37</v>
      </c>
      <c r="T3723" s="3" t="s">
        <v>38</v>
      </c>
      <c r="U3723" s="3" t="s">
        <v>39</v>
      </c>
      <c r="V3723" s="3">
        <v>215.15</v>
      </c>
      <c r="W3723" s="3">
        <v>91.44</v>
      </c>
      <c r="X3723" s="3">
        <v>86.6</v>
      </c>
      <c r="Y3723" s="3">
        <v>37.11</v>
      </c>
    </row>
    <row r="3724" spans="1:25" ht="60.75" x14ac:dyDescent="0.25">
      <c r="A3724" s="3" t="s">
        <v>26</v>
      </c>
      <c r="B3724" s="3" t="s">
        <v>27</v>
      </c>
      <c r="C3724" s="3" t="s">
        <v>28</v>
      </c>
      <c r="D3724" s="3" t="s">
        <v>50</v>
      </c>
      <c r="E3724" s="3" t="s">
        <v>149</v>
      </c>
      <c r="F3724" s="3" t="s">
        <v>52</v>
      </c>
      <c r="G3724" s="3" t="s">
        <v>149</v>
      </c>
      <c r="H3724" s="3" t="s">
        <v>96</v>
      </c>
      <c r="I3724" s="3">
        <v>2025</v>
      </c>
      <c r="J3724" s="3" t="str">
        <f>CONCATENATE("54820068135")</f>
        <v>54820068135</v>
      </c>
      <c r="K3724" s="3" t="s">
        <v>33</v>
      </c>
      <c r="L3724" s="3"/>
      <c r="M3724" s="3" t="s">
        <v>131</v>
      </c>
      <c r="N3724" s="3" t="str">
        <f>CONCATENATE("GLNCMN38D60L728B")</f>
        <v>GLNCMN38D60L728B</v>
      </c>
      <c r="O3724" s="3" t="s">
        <v>3838</v>
      </c>
      <c r="P3724" s="3" t="s">
        <v>36</v>
      </c>
      <c r="Q3724" s="3"/>
      <c r="R3724" s="4">
        <v>45996</v>
      </c>
      <c r="S3724" s="3" t="s">
        <v>37</v>
      </c>
      <c r="T3724" s="3" t="s">
        <v>38</v>
      </c>
      <c r="U3724" s="3" t="s">
        <v>39</v>
      </c>
      <c r="V3724" s="3">
        <v>89.33</v>
      </c>
      <c r="W3724" s="3">
        <v>37.97</v>
      </c>
      <c r="X3724" s="3">
        <v>35.96</v>
      </c>
      <c r="Y3724" s="3">
        <v>15.4</v>
      </c>
    </row>
    <row r="3725" spans="1:25" ht="60.75" x14ac:dyDescent="0.25">
      <c r="A3725" s="3" t="s">
        <v>26</v>
      </c>
      <c r="B3725" s="3" t="s">
        <v>27</v>
      </c>
      <c r="C3725" s="3" t="s">
        <v>28</v>
      </c>
      <c r="D3725" s="3" t="s">
        <v>29</v>
      </c>
      <c r="E3725" s="3" t="s">
        <v>119</v>
      </c>
      <c r="F3725" s="3" t="s">
        <v>31</v>
      </c>
      <c r="G3725" s="3" t="s">
        <v>119</v>
      </c>
      <c r="H3725" s="3" t="s">
        <v>96</v>
      </c>
      <c r="I3725" s="3">
        <v>2025</v>
      </c>
      <c r="J3725" s="3" t="str">
        <f>CONCATENATE("54820023833")</f>
        <v>54820023833</v>
      </c>
      <c r="K3725" s="3" t="s">
        <v>33</v>
      </c>
      <c r="L3725" s="3"/>
      <c r="M3725" s="3" t="s">
        <v>131</v>
      </c>
      <c r="N3725" s="3" t="str">
        <f>CONCATENATE("RSSVTR42S13D691S")</f>
        <v>RSSVTR42S13D691S</v>
      </c>
      <c r="O3725" s="3" t="s">
        <v>3839</v>
      </c>
      <c r="P3725" s="3" t="s">
        <v>36</v>
      </c>
      <c r="Q3725" s="3"/>
      <c r="R3725" s="4">
        <v>45996</v>
      </c>
      <c r="S3725" s="3" t="s">
        <v>37</v>
      </c>
      <c r="T3725" s="3" t="s">
        <v>38</v>
      </c>
      <c r="U3725" s="3" t="s">
        <v>39</v>
      </c>
      <c r="V3725" s="3">
        <v>166.17</v>
      </c>
      <c r="W3725" s="3">
        <v>70.62</v>
      </c>
      <c r="X3725" s="3">
        <v>66.88</v>
      </c>
      <c r="Y3725" s="3">
        <v>28.67</v>
      </c>
    </row>
    <row r="3726" spans="1:25" ht="36.75" x14ac:dyDescent="0.25">
      <c r="A3726" s="3" t="s">
        <v>26</v>
      </c>
      <c r="B3726" s="3" t="s">
        <v>27</v>
      </c>
      <c r="C3726" s="3" t="s">
        <v>28</v>
      </c>
      <c r="D3726" s="3" t="s">
        <v>29</v>
      </c>
      <c r="E3726" s="3" t="s">
        <v>47</v>
      </c>
      <c r="F3726" s="3" t="s">
        <v>31</v>
      </c>
      <c r="G3726" s="3" t="s">
        <v>47</v>
      </c>
      <c r="H3726" s="3" t="s">
        <v>48</v>
      </c>
      <c r="I3726" s="3">
        <v>2025</v>
      </c>
      <c r="J3726" s="3" t="str">
        <f>CONCATENATE("54820047634")</f>
        <v>54820047634</v>
      </c>
      <c r="K3726" s="3" t="s">
        <v>33</v>
      </c>
      <c r="L3726" s="3"/>
      <c r="M3726" s="3" t="s">
        <v>131</v>
      </c>
      <c r="N3726" s="3" t="str">
        <f>CONCATENATE("03000030423")</f>
        <v>03000030423</v>
      </c>
      <c r="O3726" s="3" t="s">
        <v>3840</v>
      </c>
      <c r="P3726" s="3" t="s">
        <v>36</v>
      </c>
      <c r="Q3726" s="3"/>
      <c r="R3726" s="4">
        <v>45996</v>
      </c>
      <c r="S3726" s="3" t="s">
        <v>37</v>
      </c>
      <c r="T3726" s="3" t="s">
        <v>38</v>
      </c>
      <c r="U3726" s="3" t="s">
        <v>39</v>
      </c>
      <c r="V3726" s="5">
        <v>2022.27</v>
      </c>
      <c r="W3726" s="3">
        <v>859.46</v>
      </c>
      <c r="X3726" s="3">
        <v>813.96</v>
      </c>
      <c r="Y3726" s="3">
        <v>348.85</v>
      </c>
    </row>
    <row r="3727" spans="1:25" ht="72.75" x14ac:dyDescent="0.25">
      <c r="A3727" s="3" t="s">
        <v>26</v>
      </c>
      <c r="B3727" s="3" t="s">
        <v>27</v>
      </c>
      <c r="C3727" s="3" t="s">
        <v>28</v>
      </c>
      <c r="D3727" s="3" t="s">
        <v>157</v>
      </c>
      <c r="E3727" s="3" t="s">
        <v>158</v>
      </c>
      <c r="F3727" s="3" t="s">
        <v>159</v>
      </c>
      <c r="G3727" s="3" t="s">
        <v>158</v>
      </c>
      <c r="H3727" s="3" t="s">
        <v>45</v>
      </c>
      <c r="I3727" s="3">
        <v>2025</v>
      </c>
      <c r="J3727" s="3" t="str">
        <f>CONCATENATE("54820011572")</f>
        <v>54820011572</v>
      </c>
      <c r="K3727" s="3" t="s">
        <v>33</v>
      </c>
      <c r="L3727" s="3"/>
      <c r="M3727" s="3" t="s">
        <v>131</v>
      </c>
      <c r="N3727" s="3" t="str">
        <f>CONCATENATE("CRZSRA73D51D488M")</f>
        <v>CRZSRA73D51D488M</v>
      </c>
      <c r="O3727" s="3" t="s">
        <v>3841</v>
      </c>
      <c r="P3727" s="3" t="s">
        <v>36</v>
      </c>
      <c r="Q3727" s="3"/>
      <c r="R3727" s="4">
        <v>45996</v>
      </c>
      <c r="S3727" s="3" t="s">
        <v>37</v>
      </c>
      <c r="T3727" s="3" t="s">
        <v>38</v>
      </c>
      <c r="U3727" s="3" t="s">
        <v>39</v>
      </c>
      <c r="V3727" s="3">
        <v>251.84</v>
      </c>
      <c r="W3727" s="3">
        <v>107.03</v>
      </c>
      <c r="X3727" s="3">
        <v>101.37</v>
      </c>
      <c r="Y3727" s="3">
        <v>43.44</v>
      </c>
    </row>
    <row r="3728" spans="1:25" ht="60.75" x14ac:dyDescent="0.25">
      <c r="A3728" s="3" t="s">
        <v>26</v>
      </c>
      <c r="B3728" s="3" t="s">
        <v>27</v>
      </c>
      <c r="C3728" s="3" t="s">
        <v>28</v>
      </c>
      <c r="D3728" s="3" t="s">
        <v>40</v>
      </c>
      <c r="E3728" s="3" t="s">
        <v>218</v>
      </c>
      <c r="F3728" s="3" t="s">
        <v>42</v>
      </c>
      <c r="G3728" s="3" t="s">
        <v>218</v>
      </c>
      <c r="H3728" s="3" t="s">
        <v>45</v>
      </c>
      <c r="I3728" s="3">
        <v>2025</v>
      </c>
      <c r="J3728" s="3" t="str">
        <f>CONCATENATE("54820029707")</f>
        <v>54820029707</v>
      </c>
      <c r="K3728" s="3" t="s">
        <v>33</v>
      </c>
      <c r="L3728" s="3"/>
      <c r="M3728" s="3" t="s">
        <v>131</v>
      </c>
      <c r="N3728" s="3" t="str">
        <f>CONCATENATE("LNGRNI58H22I287E")</f>
        <v>LNGRNI58H22I287E</v>
      </c>
      <c r="O3728" s="3" t="s">
        <v>3842</v>
      </c>
      <c r="P3728" s="3" t="s">
        <v>36</v>
      </c>
      <c r="Q3728" s="3"/>
      <c r="R3728" s="4">
        <v>45996</v>
      </c>
      <c r="S3728" s="3" t="s">
        <v>37</v>
      </c>
      <c r="T3728" s="3" t="s">
        <v>38</v>
      </c>
      <c r="U3728" s="3" t="s">
        <v>39</v>
      </c>
      <c r="V3728" s="3">
        <v>109.4</v>
      </c>
      <c r="W3728" s="3">
        <v>46.5</v>
      </c>
      <c r="X3728" s="3">
        <v>44.03</v>
      </c>
      <c r="Y3728" s="3">
        <v>18.87</v>
      </c>
    </row>
    <row r="3729" spans="1:25" ht="60.75" x14ac:dyDescent="0.25">
      <c r="A3729" s="3" t="s">
        <v>26</v>
      </c>
      <c r="B3729" s="3" t="s">
        <v>27</v>
      </c>
      <c r="C3729" s="3" t="s">
        <v>28</v>
      </c>
      <c r="D3729" s="3" t="s">
        <v>29</v>
      </c>
      <c r="E3729" s="3" t="s">
        <v>119</v>
      </c>
      <c r="F3729" s="3" t="s">
        <v>31</v>
      </c>
      <c r="G3729" s="3" t="s">
        <v>119</v>
      </c>
      <c r="H3729" s="3" t="s">
        <v>96</v>
      </c>
      <c r="I3729" s="3">
        <v>2025</v>
      </c>
      <c r="J3729" s="3" t="str">
        <f>CONCATENATE("54820076690")</f>
        <v>54820076690</v>
      </c>
      <c r="K3729" s="3" t="s">
        <v>33</v>
      </c>
      <c r="L3729" s="3"/>
      <c r="M3729" s="3" t="s">
        <v>131</v>
      </c>
      <c r="N3729" s="3" t="str">
        <f>CONCATENATE("MRCFLC43B11D691N")</f>
        <v>MRCFLC43B11D691N</v>
      </c>
      <c r="O3729" s="3" t="s">
        <v>3843</v>
      </c>
      <c r="P3729" s="3" t="s">
        <v>36</v>
      </c>
      <c r="Q3729" s="3"/>
      <c r="R3729" s="4">
        <v>45996</v>
      </c>
      <c r="S3729" s="3" t="s">
        <v>37</v>
      </c>
      <c r="T3729" s="3" t="s">
        <v>38</v>
      </c>
      <c r="U3729" s="3" t="s">
        <v>39</v>
      </c>
      <c r="V3729" s="3">
        <v>210.18</v>
      </c>
      <c r="W3729" s="3">
        <v>89.33</v>
      </c>
      <c r="X3729" s="3">
        <v>84.6</v>
      </c>
      <c r="Y3729" s="3">
        <v>36.25</v>
      </c>
    </row>
    <row r="3730" spans="1:25" ht="60.75" x14ac:dyDescent="0.25">
      <c r="A3730" s="3" t="s">
        <v>26</v>
      </c>
      <c r="B3730" s="3" t="s">
        <v>27</v>
      </c>
      <c r="C3730" s="3" t="s">
        <v>28</v>
      </c>
      <c r="D3730" s="3" t="s">
        <v>40</v>
      </c>
      <c r="E3730" s="3" t="s">
        <v>41</v>
      </c>
      <c r="F3730" s="3" t="s">
        <v>42</v>
      </c>
      <c r="G3730" s="3" t="s">
        <v>41</v>
      </c>
      <c r="H3730" s="3" t="s">
        <v>32</v>
      </c>
      <c r="I3730" s="3">
        <v>2025</v>
      </c>
      <c r="J3730" s="3" t="str">
        <f>CONCATENATE("54820036025")</f>
        <v>54820036025</v>
      </c>
      <c r="K3730" s="3" t="s">
        <v>33</v>
      </c>
      <c r="L3730" s="3"/>
      <c r="M3730" s="3" t="s">
        <v>131</v>
      </c>
      <c r="N3730" s="3" t="str">
        <f>CONCATENATE("NSCLND67R52A271Z")</f>
        <v>NSCLND67R52A271Z</v>
      </c>
      <c r="O3730" s="3" t="s">
        <v>3844</v>
      </c>
      <c r="P3730" s="3" t="s">
        <v>36</v>
      </c>
      <c r="Q3730" s="3"/>
      <c r="R3730" s="4">
        <v>45996</v>
      </c>
      <c r="S3730" s="3" t="s">
        <v>37</v>
      </c>
      <c r="T3730" s="3" t="s">
        <v>38</v>
      </c>
      <c r="U3730" s="3" t="s">
        <v>39</v>
      </c>
      <c r="V3730" s="3">
        <v>457.23</v>
      </c>
      <c r="W3730" s="3">
        <v>194.32</v>
      </c>
      <c r="X3730" s="3">
        <v>184.04</v>
      </c>
      <c r="Y3730" s="3">
        <v>78.87</v>
      </c>
    </row>
    <row r="3731" spans="1:25" ht="60.75" x14ac:dyDescent="0.25">
      <c r="A3731" s="3" t="s">
        <v>26</v>
      </c>
      <c r="B3731" s="3" t="s">
        <v>27</v>
      </c>
      <c r="C3731" s="3" t="s">
        <v>28</v>
      </c>
      <c r="D3731" s="3" t="s">
        <v>29</v>
      </c>
      <c r="E3731" s="3" t="s">
        <v>228</v>
      </c>
      <c r="F3731" s="3" t="s">
        <v>31</v>
      </c>
      <c r="G3731" s="3" t="s">
        <v>228</v>
      </c>
      <c r="H3731" s="3" t="s">
        <v>45</v>
      </c>
      <c r="I3731" s="3">
        <v>2025</v>
      </c>
      <c r="J3731" s="3" t="str">
        <f>CONCATENATE("54820056395")</f>
        <v>54820056395</v>
      </c>
      <c r="K3731" s="3" t="s">
        <v>33</v>
      </c>
      <c r="L3731" s="3"/>
      <c r="M3731" s="3" t="s">
        <v>131</v>
      </c>
      <c r="N3731" s="3" t="str">
        <f>CONCATENATE("SROGNN58C30G071T")</f>
        <v>SROGNN58C30G071T</v>
      </c>
      <c r="O3731" s="3" t="s">
        <v>3845</v>
      </c>
      <c r="P3731" s="3" t="s">
        <v>36</v>
      </c>
      <c r="Q3731" s="3"/>
      <c r="R3731" s="4">
        <v>45996</v>
      </c>
      <c r="S3731" s="3" t="s">
        <v>37</v>
      </c>
      <c r="T3731" s="3" t="s">
        <v>38</v>
      </c>
      <c r="U3731" s="3" t="s">
        <v>39</v>
      </c>
      <c r="V3731" s="3">
        <v>236.63</v>
      </c>
      <c r="W3731" s="3">
        <v>100.57</v>
      </c>
      <c r="X3731" s="3">
        <v>95.24</v>
      </c>
      <c r="Y3731" s="3">
        <v>40.82</v>
      </c>
    </row>
    <row r="3732" spans="1:25" ht="60.75" x14ac:dyDescent="0.25">
      <c r="A3732" s="3" t="s">
        <v>26</v>
      </c>
      <c r="B3732" s="3" t="s">
        <v>27</v>
      </c>
      <c r="C3732" s="3" t="s">
        <v>28</v>
      </c>
      <c r="D3732" s="3" t="s">
        <v>29</v>
      </c>
      <c r="E3732" s="3" t="s">
        <v>47</v>
      </c>
      <c r="F3732" s="3" t="s">
        <v>31</v>
      </c>
      <c r="G3732" s="3" t="s">
        <v>47</v>
      </c>
      <c r="H3732" s="3" t="s">
        <v>48</v>
      </c>
      <c r="I3732" s="3">
        <v>2025</v>
      </c>
      <c r="J3732" s="3" t="str">
        <f>CONCATENATE("54820038765")</f>
        <v>54820038765</v>
      </c>
      <c r="K3732" s="3" t="s">
        <v>33</v>
      </c>
      <c r="L3732" s="3"/>
      <c r="M3732" s="3" t="s">
        <v>131</v>
      </c>
      <c r="N3732" s="3" t="str">
        <f>CONCATENATE("FRRLRA68M47D211Y")</f>
        <v>FRRLRA68M47D211Y</v>
      </c>
      <c r="O3732" s="3" t="s">
        <v>3846</v>
      </c>
      <c r="P3732" s="3" t="s">
        <v>36</v>
      </c>
      <c r="Q3732" s="3"/>
      <c r="R3732" s="4">
        <v>45996</v>
      </c>
      <c r="S3732" s="3" t="s">
        <v>37</v>
      </c>
      <c r="T3732" s="3" t="s">
        <v>38</v>
      </c>
      <c r="U3732" s="3" t="s">
        <v>39</v>
      </c>
      <c r="V3732" s="3">
        <v>464.61</v>
      </c>
      <c r="W3732" s="3">
        <v>197.46</v>
      </c>
      <c r="X3732" s="3">
        <v>187.01</v>
      </c>
      <c r="Y3732" s="3">
        <v>80.14</v>
      </c>
    </row>
    <row r="3733" spans="1:25" ht="60.75" x14ac:dyDescent="0.25">
      <c r="A3733" s="3" t="s">
        <v>26</v>
      </c>
      <c r="B3733" s="3" t="s">
        <v>27</v>
      </c>
      <c r="C3733" s="3" t="s">
        <v>28</v>
      </c>
      <c r="D3733" s="3" t="s">
        <v>29</v>
      </c>
      <c r="E3733" s="3" t="s">
        <v>182</v>
      </c>
      <c r="F3733" s="3" t="s">
        <v>31</v>
      </c>
      <c r="G3733" s="3" t="s">
        <v>182</v>
      </c>
      <c r="H3733" s="3" t="s">
        <v>45</v>
      </c>
      <c r="I3733" s="3">
        <v>2025</v>
      </c>
      <c r="J3733" s="3" t="str">
        <f>CONCATENATE("54820049259")</f>
        <v>54820049259</v>
      </c>
      <c r="K3733" s="3" t="s">
        <v>33</v>
      </c>
      <c r="L3733" s="3"/>
      <c r="M3733" s="3" t="s">
        <v>131</v>
      </c>
      <c r="N3733" s="3" t="str">
        <f>CONCATENATE("BRTMRC85D11L500G")</f>
        <v>BRTMRC85D11L500G</v>
      </c>
      <c r="O3733" s="3" t="s">
        <v>3847</v>
      </c>
      <c r="P3733" s="3" t="s">
        <v>36</v>
      </c>
      <c r="Q3733" s="3"/>
      <c r="R3733" s="4">
        <v>45996</v>
      </c>
      <c r="S3733" s="3" t="s">
        <v>37</v>
      </c>
      <c r="T3733" s="3" t="s">
        <v>38</v>
      </c>
      <c r="U3733" s="3" t="s">
        <v>39</v>
      </c>
      <c r="V3733" s="3">
        <v>702.3</v>
      </c>
      <c r="W3733" s="3">
        <v>298.48</v>
      </c>
      <c r="X3733" s="3">
        <v>282.68</v>
      </c>
      <c r="Y3733" s="3">
        <v>121.14</v>
      </c>
    </row>
    <row r="3734" spans="1:25" ht="60.75" x14ac:dyDescent="0.25">
      <c r="A3734" s="3" t="s">
        <v>26</v>
      </c>
      <c r="B3734" s="3" t="s">
        <v>27</v>
      </c>
      <c r="C3734" s="3" t="s">
        <v>28</v>
      </c>
      <c r="D3734" s="3" t="s">
        <v>29</v>
      </c>
      <c r="E3734" s="3" t="s">
        <v>228</v>
      </c>
      <c r="F3734" s="3" t="s">
        <v>31</v>
      </c>
      <c r="G3734" s="3" t="s">
        <v>228</v>
      </c>
      <c r="H3734" s="3" t="s">
        <v>45</v>
      </c>
      <c r="I3734" s="3">
        <v>2025</v>
      </c>
      <c r="J3734" s="3" t="str">
        <f>CONCATENATE("54820056692")</f>
        <v>54820056692</v>
      </c>
      <c r="K3734" s="3" t="s">
        <v>33</v>
      </c>
      <c r="L3734" s="3"/>
      <c r="M3734" s="3" t="s">
        <v>131</v>
      </c>
      <c r="N3734" s="3" t="str">
        <f>CONCATENATE("VNCCLD59S17I344N")</f>
        <v>VNCCLD59S17I344N</v>
      </c>
      <c r="O3734" s="3" t="s">
        <v>3848</v>
      </c>
      <c r="P3734" s="3" t="s">
        <v>36</v>
      </c>
      <c r="Q3734" s="3"/>
      <c r="R3734" s="4">
        <v>45996</v>
      </c>
      <c r="S3734" s="3" t="s">
        <v>37</v>
      </c>
      <c r="T3734" s="3" t="s">
        <v>38</v>
      </c>
      <c r="U3734" s="3" t="s">
        <v>39</v>
      </c>
      <c r="V3734" s="3">
        <v>77.56</v>
      </c>
      <c r="W3734" s="3">
        <v>32.96</v>
      </c>
      <c r="X3734" s="3">
        <v>31.22</v>
      </c>
      <c r="Y3734" s="3">
        <v>13.38</v>
      </c>
    </row>
    <row r="3735" spans="1:25" ht="60.75" x14ac:dyDescent="0.25">
      <c r="A3735" s="3" t="s">
        <v>26</v>
      </c>
      <c r="B3735" s="3" t="s">
        <v>27</v>
      </c>
      <c r="C3735" s="3" t="s">
        <v>28</v>
      </c>
      <c r="D3735" s="3" t="s">
        <v>29</v>
      </c>
      <c r="E3735" s="3" t="s">
        <v>80</v>
      </c>
      <c r="F3735" s="3" t="s">
        <v>31</v>
      </c>
      <c r="G3735" s="3" t="s">
        <v>80</v>
      </c>
      <c r="H3735" s="3" t="s">
        <v>45</v>
      </c>
      <c r="I3735" s="3">
        <v>2025</v>
      </c>
      <c r="J3735" s="3" t="str">
        <f>CONCATENATE("54820062252")</f>
        <v>54820062252</v>
      </c>
      <c r="K3735" s="3" t="s">
        <v>33</v>
      </c>
      <c r="L3735" s="3"/>
      <c r="M3735" s="3" t="s">
        <v>131</v>
      </c>
      <c r="N3735" s="3" t="str">
        <f>CONCATENATE("BNCFRZ69E10D749G")</f>
        <v>BNCFRZ69E10D749G</v>
      </c>
      <c r="O3735" s="3" t="s">
        <v>3849</v>
      </c>
      <c r="P3735" s="3" t="s">
        <v>36</v>
      </c>
      <c r="Q3735" s="3"/>
      <c r="R3735" s="4">
        <v>45996</v>
      </c>
      <c r="S3735" s="3" t="s">
        <v>37</v>
      </c>
      <c r="T3735" s="3" t="s">
        <v>38</v>
      </c>
      <c r="U3735" s="3" t="s">
        <v>39</v>
      </c>
      <c r="V3735" s="3">
        <v>198.94</v>
      </c>
      <c r="W3735" s="3">
        <v>84.55</v>
      </c>
      <c r="X3735" s="3">
        <v>80.069999999999993</v>
      </c>
      <c r="Y3735" s="3">
        <v>34.32</v>
      </c>
    </row>
    <row r="3736" spans="1:25" ht="72.75" x14ac:dyDescent="0.25">
      <c r="A3736" s="3" t="s">
        <v>26</v>
      </c>
      <c r="B3736" s="3" t="s">
        <v>27</v>
      </c>
      <c r="C3736" s="3" t="s">
        <v>28</v>
      </c>
      <c r="D3736" s="3" t="s">
        <v>40</v>
      </c>
      <c r="E3736" s="3" t="s">
        <v>287</v>
      </c>
      <c r="F3736" s="3" t="s">
        <v>42</v>
      </c>
      <c r="G3736" s="3" t="s">
        <v>287</v>
      </c>
      <c r="H3736" s="3" t="s">
        <v>32</v>
      </c>
      <c r="I3736" s="3">
        <v>2025</v>
      </c>
      <c r="J3736" s="3" t="str">
        <f>CONCATENATE("54820014873")</f>
        <v>54820014873</v>
      </c>
      <c r="K3736" s="3" t="s">
        <v>33</v>
      </c>
      <c r="L3736" s="3"/>
      <c r="M3736" s="3" t="s">
        <v>131</v>
      </c>
      <c r="N3736" s="3" t="str">
        <f>CONCATENATE("BTTRCR63D03G657R")</f>
        <v>BTTRCR63D03G657R</v>
      </c>
      <c r="O3736" s="3" t="s">
        <v>3850</v>
      </c>
      <c r="P3736" s="3" t="s">
        <v>36</v>
      </c>
      <c r="Q3736" s="3"/>
      <c r="R3736" s="4">
        <v>45996</v>
      </c>
      <c r="S3736" s="3" t="s">
        <v>37</v>
      </c>
      <c r="T3736" s="3" t="s">
        <v>38</v>
      </c>
      <c r="U3736" s="3" t="s">
        <v>39</v>
      </c>
      <c r="V3736" s="5">
        <v>1181.1600000000001</v>
      </c>
      <c r="W3736" s="3">
        <v>501.99</v>
      </c>
      <c r="X3736" s="3">
        <v>475.42</v>
      </c>
      <c r="Y3736" s="3">
        <v>203.75</v>
      </c>
    </row>
    <row r="3737" spans="1:25" ht="72.75" x14ac:dyDescent="0.25">
      <c r="A3737" s="3" t="s">
        <v>26</v>
      </c>
      <c r="B3737" s="3" t="s">
        <v>27</v>
      </c>
      <c r="C3737" s="3" t="s">
        <v>28</v>
      </c>
      <c r="D3737" s="3" t="s">
        <v>29</v>
      </c>
      <c r="E3737" s="3" t="s">
        <v>47</v>
      </c>
      <c r="F3737" s="3" t="s">
        <v>31</v>
      </c>
      <c r="G3737" s="3" t="s">
        <v>47</v>
      </c>
      <c r="H3737" s="3" t="s">
        <v>48</v>
      </c>
      <c r="I3737" s="3">
        <v>2025</v>
      </c>
      <c r="J3737" s="3" t="str">
        <f>CONCATENATE("54820044136")</f>
        <v>54820044136</v>
      </c>
      <c r="K3737" s="3" t="s">
        <v>33</v>
      </c>
      <c r="L3737" s="3"/>
      <c r="M3737" s="3" t="s">
        <v>131</v>
      </c>
      <c r="N3737" s="3" t="str">
        <f>CONCATENATE("BVSDNC40H08D965Q")</f>
        <v>BVSDNC40H08D965Q</v>
      </c>
      <c r="O3737" s="3" t="s">
        <v>3851</v>
      </c>
      <c r="P3737" s="3" t="s">
        <v>36</v>
      </c>
      <c r="Q3737" s="3"/>
      <c r="R3737" s="4">
        <v>45996</v>
      </c>
      <c r="S3737" s="3" t="s">
        <v>37</v>
      </c>
      <c r="T3737" s="3" t="s">
        <v>38</v>
      </c>
      <c r="U3737" s="3" t="s">
        <v>39</v>
      </c>
      <c r="V3737" s="3">
        <v>102.69</v>
      </c>
      <c r="W3737" s="3">
        <v>43.64</v>
      </c>
      <c r="X3737" s="3">
        <v>41.33</v>
      </c>
      <c r="Y3737" s="3">
        <v>17.72</v>
      </c>
    </row>
    <row r="3738" spans="1:25" ht="72.75" x14ac:dyDescent="0.25">
      <c r="A3738" s="3" t="s">
        <v>26</v>
      </c>
      <c r="B3738" s="3" t="s">
        <v>27</v>
      </c>
      <c r="C3738" s="3" t="s">
        <v>28</v>
      </c>
      <c r="D3738" s="3" t="s">
        <v>29</v>
      </c>
      <c r="E3738" s="3" t="s">
        <v>233</v>
      </c>
      <c r="F3738" s="3" t="s">
        <v>31</v>
      </c>
      <c r="G3738" s="3" t="s">
        <v>233</v>
      </c>
      <c r="H3738" s="3" t="s">
        <v>96</v>
      </c>
      <c r="I3738" s="3">
        <v>2025</v>
      </c>
      <c r="J3738" s="3" t="str">
        <f>CONCATENATE("54820066691")</f>
        <v>54820066691</v>
      </c>
      <c r="K3738" s="3" t="s">
        <v>33</v>
      </c>
      <c r="L3738" s="3"/>
      <c r="M3738" s="3" t="s">
        <v>131</v>
      </c>
      <c r="N3738" s="3" t="str">
        <f>CONCATENATE("VGNMGR62M70G005N")</f>
        <v>VGNMGR62M70G005N</v>
      </c>
      <c r="O3738" s="3" t="s">
        <v>3852</v>
      </c>
      <c r="P3738" s="3" t="s">
        <v>36</v>
      </c>
      <c r="Q3738" s="3"/>
      <c r="R3738" s="4">
        <v>45996</v>
      </c>
      <c r="S3738" s="3" t="s">
        <v>37</v>
      </c>
      <c r="T3738" s="3" t="s">
        <v>38</v>
      </c>
      <c r="U3738" s="3" t="s">
        <v>39</v>
      </c>
      <c r="V3738" s="3">
        <v>118.46</v>
      </c>
      <c r="W3738" s="3">
        <v>50.35</v>
      </c>
      <c r="X3738" s="3">
        <v>47.68</v>
      </c>
      <c r="Y3738" s="3">
        <v>20.43</v>
      </c>
    </row>
    <row r="3739" spans="1:25" ht="60.75" x14ac:dyDescent="0.25">
      <c r="A3739" s="3" t="s">
        <v>26</v>
      </c>
      <c r="B3739" s="3" t="s">
        <v>27</v>
      </c>
      <c r="C3739" s="3" t="s">
        <v>28</v>
      </c>
      <c r="D3739" s="3" t="s">
        <v>104</v>
      </c>
      <c r="E3739" s="3" t="s">
        <v>1935</v>
      </c>
      <c r="F3739" s="3" t="s">
        <v>104</v>
      </c>
      <c r="G3739" s="3" t="s">
        <v>1935</v>
      </c>
      <c r="H3739" s="3" t="s">
        <v>96</v>
      </c>
      <c r="I3739" s="3">
        <v>2025</v>
      </c>
      <c r="J3739" s="3" t="str">
        <f>CONCATENATE("54820012059")</f>
        <v>54820012059</v>
      </c>
      <c r="K3739" s="3" t="s">
        <v>33</v>
      </c>
      <c r="L3739" s="3"/>
      <c r="M3739" s="3" t="s">
        <v>131</v>
      </c>
      <c r="N3739" s="3" t="str">
        <f>CONCATENATE("MSSNDR79H07A462J")</f>
        <v>MSSNDR79H07A462J</v>
      </c>
      <c r="O3739" s="3" t="s">
        <v>3853</v>
      </c>
      <c r="P3739" s="3" t="s">
        <v>36</v>
      </c>
      <c r="Q3739" s="3"/>
      <c r="R3739" s="4">
        <v>45996</v>
      </c>
      <c r="S3739" s="3" t="s">
        <v>37</v>
      </c>
      <c r="T3739" s="3" t="s">
        <v>38</v>
      </c>
      <c r="U3739" s="3" t="s">
        <v>39</v>
      </c>
      <c r="V3739" s="3">
        <v>315.3</v>
      </c>
      <c r="W3739" s="3">
        <v>134</v>
      </c>
      <c r="X3739" s="3">
        <v>126.91</v>
      </c>
      <c r="Y3739" s="3">
        <v>54.39</v>
      </c>
    </row>
    <row r="3740" spans="1:25" ht="60.75" x14ac:dyDescent="0.25">
      <c r="A3740" s="3" t="s">
        <v>26</v>
      </c>
      <c r="B3740" s="3" t="s">
        <v>27</v>
      </c>
      <c r="C3740" s="3" t="s">
        <v>28</v>
      </c>
      <c r="D3740" s="3" t="s">
        <v>91</v>
      </c>
      <c r="E3740" s="3" t="s">
        <v>92</v>
      </c>
      <c r="F3740" s="3" t="s">
        <v>93</v>
      </c>
      <c r="G3740" s="3" t="s">
        <v>92</v>
      </c>
      <c r="H3740" s="3" t="s">
        <v>48</v>
      </c>
      <c r="I3740" s="3">
        <v>2025</v>
      </c>
      <c r="J3740" s="3" t="str">
        <f>CONCATENATE("54820011226")</f>
        <v>54820011226</v>
      </c>
      <c r="K3740" s="3" t="s">
        <v>33</v>
      </c>
      <c r="L3740" s="3"/>
      <c r="M3740" s="3" t="s">
        <v>131</v>
      </c>
      <c r="N3740" s="3" t="str">
        <f>CONCATENATE("STLVLR90S18D451R")</f>
        <v>STLVLR90S18D451R</v>
      </c>
      <c r="O3740" s="3" t="s">
        <v>3854</v>
      </c>
      <c r="P3740" s="3" t="s">
        <v>36</v>
      </c>
      <c r="Q3740" s="3"/>
      <c r="R3740" s="4">
        <v>45996</v>
      </c>
      <c r="S3740" s="3" t="s">
        <v>37</v>
      </c>
      <c r="T3740" s="3" t="s">
        <v>38</v>
      </c>
      <c r="U3740" s="3" t="s">
        <v>39</v>
      </c>
      <c r="V3740" s="3">
        <v>171.06</v>
      </c>
      <c r="W3740" s="3">
        <v>72.7</v>
      </c>
      <c r="X3740" s="3">
        <v>68.849999999999994</v>
      </c>
      <c r="Y3740" s="3">
        <v>29.51</v>
      </c>
    </row>
    <row r="3741" spans="1:25" ht="60.75" x14ac:dyDescent="0.25">
      <c r="A3741" s="3" t="s">
        <v>26</v>
      </c>
      <c r="B3741" s="3" t="s">
        <v>27</v>
      </c>
      <c r="C3741" s="3" t="s">
        <v>28</v>
      </c>
      <c r="D3741" s="3" t="s">
        <v>29</v>
      </c>
      <c r="E3741" s="3" t="s">
        <v>47</v>
      </c>
      <c r="F3741" s="3" t="s">
        <v>31</v>
      </c>
      <c r="G3741" s="3" t="s">
        <v>47</v>
      </c>
      <c r="H3741" s="3" t="s">
        <v>48</v>
      </c>
      <c r="I3741" s="3">
        <v>2025</v>
      </c>
      <c r="J3741" s="3" t="str">
        <f>CONCATENATE("54820053301")</f>
        <v>54820053301</v>
      </c>
      <c r="K3741" s="3" t="s">
        <v>33</v>
      </c>
      <c r="L3741" s="3"/>
      <c r="M3741" s="3" t="s">
        <v>131</v>
      </c>
      <c r="N3741" s="3" t="str">
        <f>CONCATENATE("TBCGBR63D20D451K")</f>
        <v>TBCGBR63D20D451K</v>
      </c>
      <c r="O3741" s="3" t="s">
        <v>3855</v>
      </c>
      <c r="P3741" s="3" t="s">
        <v>36</v>
      </c>
      <c r="Q3741" s="3"/>
      <c r="R3741" s="4">
        <v>45996</v>
      </c>
      <c r="S3741" s="3" t="s">
        <v>37</v>
      </c>
      <c r="T3741" s="3" t="s">
        <v>38</v>
      </c>
      <c r="U3741" s="3" t="s">
        <v>39</v>
      </c>
      <c r="V3741" s="3">
        <v>162.97</v>
      </c>
      <c r="W3741" s="3">
        <v>69.260000000000005</v>
      </c>
      <c r="X3741" s="3">
        <v>65.599999999999994</v>
      </c>
      <c r="Y3741" s="3">
        <v>28.11</v>
      </c>
    </row>
    <row r="3742" spans="1:25" ht="60.75" x14ac:dyDescent="0.25">
      <c r="A3742" s="3" t="s">
        <v>26</v>
      </c>
      <c r="B3742" s="3" t="s">
        <v>27</v>
      </c>
      <c r="C3742" s="3" t="s">
        <v>28</v>
      </c>
      <c r="D3742" s="3" t="s">
        <v>29</v>
      </c>
      <c r="E3742" s="3" t="s">
        <v>233</v>
      </c>
      <c r="F3742" s="3" t="s">
        <v>31</v>
      </c>
      <c r="G3742" s="3" t="s">
        <v>233</v>
      </c>
      <c r="H3742" s="3" t="s">
        <v>96</v>
      </c>
      <c r="I3742" s="3">
        <v>2025</v>
      </c>
      <c r="J3742" s="3" t="str">
        <f>CONCATENATE("54820035399")</f>
        <v>54820035399</v>
      </c>
      <c r="K3742" s="3" t="s">
        <v>33</v>
      </c>
      <c r="L3742" s="3"/>
      <c r="M3742" s="3" t="s">
        <v>131</v>
      </c>
      <c r="N3742" s="3" t="str">
        <f>CONCATENATE("CNTDNC63L23F509X")</f>
        <v>CNTDNC63L23F509X</v>
      </c>
      <c r="O3742" s="3" t="s">
        <v>3856</v>
      </c>
      <c r="P3742" s="3" t="s">
        <v>36</v>
      </c>
      <c r="Q3742" s="3"/>
      <c r="R3742" s="4">
        <v>45996</v>
      </c>
      <c r="S3742" s="3" t="s">
        <v>37</v>
      </c>
      <c r="T3742" s="3" t="s">
        <v>38</v>
      </c>
      <c r="U3742" s="3" t="s">
        <v>39</v>
      </c>
      <c r="V3742" s="3">
        <v>192.48</v>
      </c>
      <c r="W3742" s="3">
        <v>81.8</v>
      </c>
      <c r="X3742" s="3">
        <v>77.47</v>
      </c>
      <c r="Y3742" s="3">
        <v>33.21</v>
      </c>
    </row>
    <row r="3743" spans="1:25" ht="72.75" x14ac:dyDescent="0.25">
      <c r="A3743" s="3" t="s">
        <v>26</v>
      </c>
      <c r="B3743" s="3" t="s">
        <v>27</v>
      </c>
      <c r="C3743" s="3" t="s">
        <v>28</v>
      </c>
      <c r="D3743" s="3" t="s">
        <v>29</v>
      </c>
      <c r="E3743" s="3" t="s">
        <v>186</v>
      </c>
      <c r="F3743" s="3" t="s">
        <v>31</v>
      </c>
      <c r="G3743" s="3" t="s">
        <v>186</v>
      </c>
      <c r="H3743" s="3" t="s">
        <v>45</v>
      </c>
      <c r="I3743" s="3">
        <v>2025</v>
      </c>
      <c r="J3743" s="3" t="str">
        <f>CONCATENATE("54820025028")</f>
        <v>54820025028</v>
      </c>
      <c r="K3743" s="3" t="s">
        <v>33</v>
      </c>
      <c r="L3743" s="3"/>
      <c r="M3743" s="3" t="s">
        <v>131</v>
      </c>
      <c r="N3743" s="3" t="str">
        <f>CONCATENATE("PGLGRD53A04B816O")</f>
        <v>PGLGRD53A04B816O</v>
      </c>
      <c r="O3743" s="3" t="s">
        <v>3857</v>
      </c>
      <c r="P3743" s="3" t="s">
        <v>36</v>
      </c>
      <c r="Q3743" s="3"/>
      <c r="R3743" s="4">
        <v>45996</v>
      </c>
      <c r="S3743" s="3" t="s">
        <v>37</v>
      </c>
      <c r="T3743" s="3" t="s">
        <v>38</v>
      </c>
      <c r="U3743" s="3" t="s">
        <v>39</v>
      </c>
      <c r="V3743" s="3">
        <v>145.86000000000001</v>
      </c>
      <c r="W3743" s="3">
        <v>61.99</v>
      </c>
      <c r="X3743" s="3">
        <v>58.71</v>
      </c>
      <c r="Y3743" s="3">
        <v>25.16</v>
      </c>
    </row>
    <row r="3744" spans="1:25" ht="60.75" x14ac:dyDescent="0.25">
      <c r="A3744" s="3" t="s">
        <v>26</v>
      </c>
      <c r="B3744" s="3" t="s">
        <v>27</v>
      </c>
      <c r="C3744" s="3" t="s">
        <v>28</v>
      </c>
      <c r="D3744" s="3" t="s">
        <v>40</v>
      </c>
      <c r="E3744" s="3" t="s">
        <v>41</v>
      </c>
      <c r="F3744" s="3" t="s">
        <v>42</v>
      </c>
      <c r="G3744" s="3" t="s">
        <v>41</v>
      </c>
      <c r="H3744" s="3" t="s">
        <v>32</v>
      </c>
      <c r="I3744" s="3">
        <v>2025</v>
      </c>
      <c r="J3744" s="3" t="str">
        <f>CONCATENATE("54820036926")</f>
        <v>54820036926</v>
      </c>
      <c r="K3744" s="3" t="s">
        <v>33</v>
      </c>
      <c r="L3744" s="3"/>
      <c r="M3744" s="3" t="s">
        <v>131</v>
      </c>
      <c r="N3744" s="3" t="str">
        <f>CONCATENATE("PZZFNC04R26I156G")</f>
        <v>PZZFNC04R26I156G</v>
      </c>
      <c r="O3744" s="3" t="s">
        <v>3858</v>
      </c>
      <c r="P3744" s="3" t="s">
        <v>36</v>
      </c>
      <c r="Q3744" s="3"/>
      <c r="R3744" s="4">
        <v>45996</v>
      </c>
      <c r="S3744" s="3" t="s">
        <v>37</v>
      </c>
      <c r="T3744" s="3" t="s">
        <v>38</v>
      </c>
      <c r="U3744" s="3" t="s">
        <v>39</v>
      </c>
      <c r="V3744" s="3">
        <v>317.29000000000002</v>
      </c>
      <c r="W3744" s="3">
        <v>134.85</v>
      </c>
      <c r="X3744" s="3">
        <v>127.71</v>
      </c>
      <c r="Y3744" s="3">
        <v>54.73</v>
      </c>
    </row>
    <row r="3745" spans="1:25" ht="60.75" x14ac:dyDescent="0.25">
      <c r="A3745" s="3" t="s">
        <v>26</v>
      </c>
      <c r="B3745" s="3" t="s">
        <v>27</v>
      </c>
      <c r="C3745" s="3" t="s">
        <v>28</v>
      </c>
      <c r="D3745" s="3" t="s">
        <v>50</v>
      </c>
      <c r="E3745" s="3" t="s">
        <v>51</v>
      </c>
      <c r="F3745" s="3" t="s">
        <v>52</v>
      </c>
      <c r="G3745" s="3" t="s">
        <v>51</v>
      </c>
      <c r="H3745" s="3" t="s">
        <v>48</v>
      </c>
      <c r="I3745" s="3">
        <v>2025</v>
      </c>
      <c r="J3745" s="3" t="str">
        <f>CONCATENATE("54820043047")</f>
        <v>54820043047</v>
      </c>
      <c r="K3745" s="3" t="s">
        <v>33</v>
      </c>
      <c r="L3745" s="3"/>
      <c r="M3745" s="3" t="s">
        <v>131</v>
      </c>
      <c r="N3745" s="3" t="str">
        <f>CONCATENATE("BGRSFN77B48D451S")</f>
        <v>BGRSFN77B48D451S</v>
      </c>
      <c r="O3745" s="3" t="s">
        <v>3859</v>
      </c>
      <c r="P3745" s="3" t="s">
        <v>36</v>
      </c>
      <c r="Q3745" s="3"/>
      <c r="R3745" s="4">
        <v>45996</v>
      </c>
      <c r="S3745" s="3" t="s">
        <v>37</v>
      </c>
      <c r="T3745" s="3" t="s">
        <v>38</v>
      </c>
      <c r="U3745" s="3" t="s">
        <v>39</v>
      </c>
      <c r="V3745" s="3">
        <v>67.47</v>
      </c>
      <c r="W3745" s="3">
        <v>28.67</v>
      </c>
      <c r="X3745" s="3">
        <v>27.16</v>
      </c>
      <c r="Y3745" s="3">
        <v>11.64</v>
      </c>
    </row>
    <row r="3746" spans="1:25" ht="60.75" x14ac:dyDescent="0.25">
      <c r="A3746" s="3" t="s">
        <v>26</v>
      </c>
      <c r="B3746" s="3" t="s">
        <v>27</v>
      </c>
      <c r="C3746" s="3" t="s">
        <v>28</v>
      </c>
      <c r="D3746" s="3" t="s">
        <v>29</v>
      </c>
      <c r="E3746" s="3" t="s">
        <v>72</v>
      </c>
      <c r="F3746" s="3" t="s">
        <v>31</v>
      </c>
      <c r="G3746" s="3" t="s">
        <v>72</v>
      </c>
      <c r="H3746" s="3" t="s">
        <v>45</v>
      </c>
      <c r="I3746" s="3">
        <v>2025</v>
      </c>
      <c r="J3746" s="3" t="str">
        <f>CONCATENATE("54820030614")</f>
        <v>54820030614</v>
      </c>
      <c r="K3746" s="3" t="s">
        <v>33</v>
      </c>
      <c r="L3746" s="3"/>
      <c r="M3746" s="3" t="s">
        <v>131</v>
      </c>
      <c r="N3746" s="3" t="str">
        <f>CONCATENATE("GCMLNI68B27B352E")</f>
        <v>GCMLNI68B27B352E</v>
      </c>
      <c r="O3746" s="3" t="s">
        <v>3860</v>
      </c>
      <c r="P3746" s="3" t="s">
        <v>36</v>
      </c>
      <c r="Q3746" s="3"/>
      <c r="R3746" s="4">
        <v>45996</v>
      </c>
      <c r="S3746" s="3" t="s">
        <v>37</v>
      </c>
      <c r="T3746" s="3" t="s">
        <v>38</v>
      </c>
      <c r="U3746" s="3" t="s">
        <v>39</v>
      </c>
      <c r="V3746" s="5">
        <v>1032.33</v>
      </c>
      <c r="W3746" s="3">
        <v>438.74</v>
      </c>
      <c r="X3746" s="3">
        <v>415.51</v>
      </c>
      <c r="Y3746" s="3">
        <v>178.08</v>
      </c>
    </row>
    <row r="3747" spans="1:25" ht="60.75" x14ac:dyDescent="0.25">
      <c r="A3747" s="3" t="s">
        <v>26</v>
      </c>
      <c r="B3747" s="3" t="s">
        <v>27</v>
      </c>
      <c r="C3747" s="3" t="s">
        <v>28</v>
      </c>
      <c r="D3747" s="3" t="s">
        <v>29</v>
      </c>
      <c r="E3747" s="3" t="s">
        <v>80</v>
      </c>
      <c r="F3747" s="3" t="s">
        <v>31</v>
      </c>
      <c r="G3747" s="3" t="s">
        <v>80</v>
      </c>
      <c r="H3747" s="3" t="s">
        <v>45</v>
      </c>
      <c r="I3747" s="3">
        <v>2025</v>
      </c>
      <c r="J3747" s="3" t="str">
        <f>CONCATENATE("54820061726")</f>
        <v>54820061726</v>
      </c>
      <c r="K3747" s="3" t="s">
        <v>33</v>
      </c>
      <c r="L3747" s="3"/>
      <c r="M3747" s="3" t="s">
        <v>131</v>
      </c>
      <c r="N3747" s="3" t="str">
        <f>CONCATENATE("MTTMLS72D57A944L")</f>
        <v>MTTMLS72D57A944L</v>
      </c>
      <c r="O3747" s="3" t="s">
        <v>3861</v>
      </c>
      <c r="P3747" s="3" t="s">
        <v>36</v>
      </c>
      <c r="Q3747" s="3"/>
      <c r="R3747" s="4">
        <v>45996</v>
      </c>
      <c r="S3747" s="3" t="s">
        <v>37</v>
      </c>
      <c r="T3747" s="3" t="s">
        <v>38</v>
      </c>
      <c r="U3747" s="3" t="s">
        <v>39</v>
      </c>
      <c r="V3747" s="3">
        <v>50.74</v>
      </c>
      <c r="W3747" s="3">
        <v>21.56</v>
      </c>
      <c r="X3747" s="3">
        <v>20.420000000000002</v>
      </c>
      <c r="Y3747" s="3">
        <v>8.76</v>
      </c>
    </row>
    <row r="3748" spans="1:25" ht="60.75" x14ac:dyDescent="0.25">
      <c r="A3748" s="3" t="s">
        <v>26</v>
      </c>
      <c r="B3748" s="3" t="s">
        <v>27</v>
      </c>
      <c r="C3748" s="3" t="s">
        <v>28</v>
      </c>
      <c r="D3748" s="3" t="s">
        <v>40</v>
      </c>
      <c r="E3748" s="3" t="s">
        <v>287</v>
      </c>
      <c r="F3748" s="3" t="s">
        <v>42</v>
      </c>
      <c r="G3748" s="3" t="s">
        <v>287</v>
      </c>
      <c r="H3748" s="3" t="s">
        <v>32</v>
      </c>
      <c r="I3748" s="3">
        <v>2025</v>
      </c>
      <c r="J3748" s="3" t="str">
        <f>CONCATENATE("54820070511")</f>
        <v>54820070511</v>
      </c>
      <c r="K3748" s="3" t="s">
        <v>33</v>
      </c>
      <c r="L3748" s="3"/>
      <c r="M3748" s="3" t="s">
        <v>131</v>
      </c>
      <c r="N3748" s="3" t="str">
        <f>CONCATENATE("MSCMRT02P28I156F")</f>
        <v>MSCMRT02P28I156F</v>
      </c>
      <c r="O3748" s="3" t="s">
        <v>3862</v>
      </c>
      <c r="P3748" s="3" t="s">
        <v>36</v>
      </c>
      <c r="Q3748" s="3"/>
      <c r="R3748" s="4">
        <v>45996</v>
      </c>
      <c r="S3748" s="3" t="s">
        <v>37</v>
      </c>
      <c r="T3748" s="3" t="s">
        <v>38</v>
      </c>
      <c r="U3748" s="3" t="s">
        <v>39</v>
      </c>
      <c r="V3748" s="5">
        <v>1290.45</v>
      </c>
      <c r="W3748" s="3">
        <v>548.44000000000005</v>
      </c>
      <c r="X3748" s="3">
        <v>519.41</v>
      </c>
      <c r="Y3748" s="3">
        <v>222.6</v>
      </c>
    </row>
    <row r="3749" spans="1:25" ht="60.75" x14ac:dyDescent="0.25">
      <c r="A3749" s="3" t="s">
        <v>26</v>
      </c>
      <c r="B3749" s="3" t="s">
        <v>27</v>
      </c>
      <c r="C3749" s="3" t="s">
        <v>28</v>
      </c>
      <c r="D3749" s="3" t="s">
        <v>29</v>
      </c>
      <c r="E3749" s="3" t="s">
        <v>68</v>
      </c>
      <c r="F3749" s="3" t="s">
        <v>31</v>
      </c>
      <c r="G3749" s="3" t="s">
        <v>68</v>
      </c>
      <c r="H3749" s="3" t="s">
        <v>32</v>
      </c>
      <c r="I3749" s="3">
        <v>2025</v>
      </c>
      <c r="J3749" s="3" t="str">
        <f>CONCATENATE("54820076096")</f>
        <v>54820076096</v>
      </c>
      <c r="K3749" s="3" t="s">
        <v>33</v>
      </c>
      <c r="L3749" s="3"/>
      <c r="M3749" s="3" t="s">
        <v>131</v>
      </c>
      <c r="N3749" s="3" t="str">
        <f>CONCATENATE("GRDVLR60S45I436E")</f>
        <v>GRDVLR60S45I436E</v>
      </c>
      <c r="O3749" s="3" t="s">
        <v>3863</v>
      </c>
      <c r="P3749" s="3" t="s">
        <v>36</v>
      </c>
      <c r="Q3749" s="3"/>
      <c r="R3749" s="4">
        <v>45996</v>
      </c>
      <c r="S3749" s="3" t="s">
        <v>37</v>
      </c>
      <c r="T3749" s="3" t="s">
        <v>38</v>
      </c>
      <c r="U3749" s="3" t="s">
        <v>39</v>
      </c>
      <c r="V3749" s="3">
        <v>474.21</v>
      </c>
      <c r="W3749" s="3">
        <v>201.54</v>
      </c>
      <c r="X3749" s="3">
        <v>190.87</v>
      </c>
      <c r="Y3749" s="3">
        <v>81.8</v>
      </c>
    </row>
    <row r="3750" spans="1:25" ht="60.75" x14ac:dyDescent="0.25">
      <c r="A3750" s="3" t="s">
        <v>26</v>
      </c>
      <c r="B3750" s="3" t="s">
        <v>27</v>
      </c>
      <c r="C3750" s="3" t="s">
        <v>28</v>
      </c>
      <c r="D3750" s="3" t="s">
        <v>29</v>
      </c>
      <c r="E3750" s="3" t="s">
        <v>136</v>
      </c>
      <c r="F3750" s="3" t="s">
        <v>31</v>
      </c>
      <c r="G3750" s="3" t="s">
        <v>136</v>
      </c>
      <c r="H3750" s="3" t="s">
        <v>48</v>
      </c>
      <c r="I3750" s="3">
        <v>2025</v>
      </c>
      <c r="J3750" s="3" t="str">
        <f>CONCATENATE("54820080940")</f>
        <v>54820080940</v>
      </c>
      <c r="K3750" s="3" t="s">
        <v>33</v>
      </c>
      <c r="L3750" s="3"/>
      <c r="M3750" s="3" t="s">
        <v>131</v>
      </c>
      <c r="N3750" s="3" t="str">
        <f>CONCATENATE("BZZGLN53C06D965U")</f>
        <v>BZZGLN53C06D965U</v>
      </c>
      <c r="O3750" s="3" t="s">
        <v>3864</v>
      </c>
      <c r="P3750" s="3" t="s">
        <v>36</v>
      </c>
      <c r="Q3750" s="3"/>
      <c r="R3750" s="4">
        <v>45996</v>
      </c>
      <c r="S3750" s="3" t="s">
        <v>37</v>
      </c>
      <c r="T3750" s="3" t="s">
        <v>38</v>
      </c>
      <c r="U3750" s="3" t="s">
        <v>39</v>
      </c>
      <c r="V3750" s="3">
        <v>58.1</v>
      </c>
      <c r="W3750" s="3">
        <v>24.69</v>
      </c>
      <c r="X3750" s="3">
        <v>23.39</v>
      </c>
      <c r="Y3750" s="3">
        <v>10.02</v>
      </c>
    </row>
    <row r="3751" spans="1:25" ht="60.75" x14ac:dyDescent="0.25">
      <c r="A3751" s="3" t="s">
        <v>26</v>
      </c>
      <c r="B3751" s="3" t="s">
        <v>27</v>
      </c>
      <c r="C3751" s="3" t="s">
        <v>28</v>
      </c>
      <c r="D3751" s="3" t="s">
        <v>104</v>
      </c>
      <c r="E3751" s="3" t="s">
        <v>141</v>
      </c>
      <c r="F3751" s="3" t="s">
        <v>104</v>
      </c>
      <c r="G3751" s="3" t="s">
        <v>141</v>
      </c>
      <c r="H3751" s="3" t="s">
        <v>96</v>
      </c>
      <c r="I3751" s="3">
        <v>2025</v>
      </c>
      <c r="J3751" s="3" t="str">
        <f>CONCATENATE("54820137153")</f>
        <v>54820137153</v>
      </c>
      <c r="K3751" s="3" t="s">
        <v>33</v>
      </c>
      <c r="L3751" s="3"/>
      <c r="M3751" s="3" t="s">
        <v>131</v>
      </c>
      <c r="N3751" s="3" t="str">
        <f>CONCATENATE("TDILGU60R03D691J")</f>
        <v>TDILGU60R03D691J</v>
      </c>
      <c r="O3751" s="3" t="s">
        <v>3865</v>
      </c>
      <c r="P3751" s="3" t="s">
        <v>36</v>
      </c>
      <c r="Q3751" s="3"/>
      <c r="R3751" s="4">
        <v>45996</v>
      </c>
      <c r="S3751" s="3" t="s">
        <v>37</v>
      </c>
      <c r="T3751" s="3" t="s">
        <v>38</v>
      </c>
      <c r="U3751" s="3" t="s">
        <v>39</v>
      </c>
      <c r="V3751" s="3">
        <v>122.13</v>
      </c>
      <c r="W3751" s="3">
        <v>51.91</v>
      </c>
      <c r="X3751" s="3">
        <v>49.16</v>
      </c>
      <c r="Y3751" s="3">
        <v>21.06</v>
      </c>
    </row>
    <row r="3752" spans="1:25" ht="60.75" x14ac:dyDescent="0.25">
      <c r="A3752" s="3" t="s">
        <v>26</v>
      </c>
      <c r="B3752" s="3" t="s">
        <v>27</v>
      </c>
      <c r="C3752" s="3" t="s">
        <v>28</v>
      </c>
      <c r="D3752" s="3" t="s">
        <v>50</v>
      </c>
      <c r="E3752" s="3" t="s">
        <v>51</v>
      </c>
      <c r="F3752" s="3" t="s">
        <v>52</v>
      </c>
      <c r="G3752" s="3" t="s">
        <v>51</v>
      </c>
      <c r="H3752" s="3" t="s">
        <v>48</v>
      </c>
      <c r="I3752" s="3">
        <v>2025</v>
      </c>
      <c r="J3752" s="3" t="str">
        <f>CONCATENATE("54820209515")</f>
        <v>54820209515</v>
      </c>
      <c r="K3752" s="3" t="s">
        <v>33</v>
      </c>
      <c r="L3752" s="3"/>
      <c r="M3752" s="3" t="s">
        <v>131</v>
      </c>
      <c r="N3752" s="3" t="str">
        <f>CONCATENATE("BRNSRN95A66G479L")</f>
        <v>BRNSRN95A66G479L</v>
      </c>
      <c r="O3752" s="3" t="s">
        <v>3866</v>
      </c>
      <c r="P3752" s="3" t="s">
        <v>36</v>
      </c>
      <c r="Q3752" s="3"/>
      <c r="R3752" s="4">
        <v>45996</v>
      </c>
      <c r="S3752" s="3" t="s">
        <v>37</v>
      </c>
      <c r="T3752" s="3" t="s">
        <v>38</v>
      </c>
      <c r="U3752" s="3" t="s">
        <v>39</v>
      </c>
      <c r="V3752" s="3">
        <v>57.38</v>
      </c>
      <c r="W3752" s="3">
        <v>24.39</v>
      </c>
      <c r="X3752" s="3">
        <v>23.1</v>
      </c>
      <c r="Y3752" s="3">
        <v>9.89</v>
      </c>
    </row>
    <row r="3753" spans="1:25" ht="60.75" x14ac:dyDescent="0.25">
      <c r="A3753" s="3" t="s">
        <v>26</v>
      </c>
      <c r="B3753" s="3" t="s">
        <v>27</v>
      </c>
      <c r="C3753" s="3" t="s">
        <v>28</v>
      </c>
      <c r="D3753" s="3" t="s">
        <v>29</v>
      </c>
      <c r="E3753" s="3" t="s">
        <v>136</v>
      </c>
      <c r="F3753" s="3" t="s">
        <v>31</v>
      </c>
      <c r="G3753" s="3" t="s">
        <v>136</v>
      </c>
      <c r="H3753" s="3" t="s">
        <v>48</v>
      </c>
      <c r="I3753" s="3">
        <v>2025</v>
      </c>
      <c r="J3753" s="3" t="str">
        <f>CONCATENATE("54820180096")</f>
        <v>54820180096</v>
      </c>
      <c r="K3753" s="3" t="s">
        <v>33</v>
      </c>
      <c r="L3753" s="3"/>
      <c r="M3753" s="3" t="s">
        <v>131</v>
      </c>
      <c r="N3753" s="3" t="str">
        <f>CONCATENATE("SLVSML94S12D451K")</f>
        <v>SLVSML94S12D451K</v>
      </c>
      <c r="O3753" s="3" t="s">
        <v>3867</v>
      </c>
      <c r="P3753" s="3" t="s">
        <v>36</v>
      </c>
      <c r="Q3753" s="3"/>
      <c r="R3753" s="4">
        <v>45996</v>
      </c>
      <c r="S3753" s="3" t="s">
        <v>37</v>
      </c>
      <c r="T3753" s="3" t="s">
        <v>38</v>
      </c>
      <c r="U3753" s="3" t="s">
        <v>39</v>
      </c>
      <c r="V3753" s="3">
        <v>144.27000000000001</v>
      </c>
      <c r="W3753" s="3">
        <v>61.31</v>
      </c>
      <c r="X3753" s="3">
        <v>58.07</v>
      </c>
      <c r="Y3753" s="3">
        <v>24.89</v>
      </c>
    </row>
    <row r="3754" spans="1:25" ht="60.75" x14ac:dyDescent="0.25">
      <c r="A3754" s="3" t="s">
        <v>26</v>
      </c>
      <c r="B3754" s="3" t="s">
        <v>27</v>
      </c>
      <c r="C3754" s="3" t="s">
        <v>28</v>
      </c>
      <c r="D3754" s="3" t="s">
        <v>50</v>
      </c>
      <c r="E3754" s="3" t="s">
        <v>147</v>
      </c>
      <c r="F3754" s="3" t="s">
        <v>52</v>
      </c>
      <c r="G3754" s="3" t="s">
        <v>147</v>
      </c>
      <c r="H3754" s="3" t="s">
        <v>45</v>
      </c>
      <c r="I3754" s="3">
        <v>2025</v>
      </c>
      <c r="J3754" s="3" t="str">
        <f>CONCATENATE("54820193735")</f>
        <v>54820193735</v>
      </c>
      <c r="K3754" s="3" t="s">
        <v>33</v>
      </c>
      <c r="L3754" s="3"/>
      <c r="M3754" s="3" t="s">
        <v>131</v>
      </c>
      <c r="N3754" s="3" t="str">
        <f>CONCATENATE("FRBMRA33A70L500Q")</f>
        <v>FRBMRA33A70L500Q</v>
      </c>
      <c r="O3754" s="3" t="s">
        <v>3868</v>
      </c>
      <c r="P3754" s="3" t="s">
        <v>36</v>
      </c>
      <c r="Q3754" s="3"/>
      <c r="R3754" s="4">
        <v>45996</v>
      </c>
      <c r="S3754" s="3" t="s">
        <v>37</v>
      </c>
      <c r="T3754" s="3" t="s">
        <v>38</v>
      </c>
      <c r="U3754" s="3" t="s">
        <v>39</v>
      </c>
      <c r="V3754" s="3">
        <v>149.9</v>
      </c>
      <c r="W3754" s="3">
        <v>63.71</v>
      </c>
      <c r="X3754" s="3">
        <v>60.33</v>
      </c>
      <c r="Y3754" s="3">
        <v>25.86</v>
      </c>
    </row>
    <row r="3755" spans="1:25" ht="72.75" x14ac:dyDescent="0.25">
      <c r="A3755" s="3" t="s">
        <v>26</v>
      </c>
      <c r="B3755" s="3" t="s">
        <v>27</v>
      </c>
      <c r="C3755" s="3" t="s">
        <v>28</v>
      </c>
      <c r="D3755" s="3" t="s">
        <v>50</v>
      </c>
      <c r="E3755" s="3" t="s">
        <v>225</v>
      </c>
      <c r="F3755" s="3" t="s">
        <v>52</v>
      </c>
      <c r="G3755" s="3" t="s">
        <v>225</v>
      </c>
      <c r="H3755" s="3" t="s">
        <v>96</v>
      </c>
      <c r="I3755" s="3">
        <v>2025</v>
      </c>
      <c r="J3755" s="3" t="str">
        <f>CONCATENATE("54820101589")</f>
        <v>54820101589</v>
      </c>
      <c r="K3755" s="3" t="s">
        <v>33</v>
      </c>
      <c r="L3755" s="3"/>
      <c r="M3755" s="3" t="s">
        <v>131</v>
      </c>
      <c r="N3755" s="3" t="str">
        <f>CONCATENATE("MRTMRN86L07A252N")</f>
        <v>MRTMRN86L07A252N</v>
      </c>
      <c r="O3755" s="3" t="s">
        <v>3869</v>
      </c>
      <c r="P3755" s="3" t="s">
        <v>36</v>
      </c>
      <c r="Q3755" s="3"/>
      <c r="R3755" s="4">
        <v>45996</v>
      </c>
      <c r="S3755" s="3" t="s">
        <v>37</v>
      </c>
      <c r="T3755" s="3" t="s">
        <v>38</v>
      </c>
      <c r="U3755" s="3" t="s">
        <v>39</v>
      </c>
      <c r="V3755" s="3">
        <v>61.46</v>
      </c>
      <c r="W3755" s="3">
        <v>26.12</v>
      </c>
      <c r="X3755" s="3">
        <v>24.74</v>
      </c>
      <c r="Y3755" s="3">
        <v>10.6</v>
      </c>
    </row>
    <row r="3756" spans="1:25" ht="60.75" x14ac:dyDescent="0.25">
      <c r="A3756" s="3" t="s">
        <v>26</v>
      </c>
      <c r="B3756" s="3" t="s">
        <v>27</v>
      </c>
      <c r="C3756" s="3" t="s">
        <v>28</v>
      </c>
      <c r="D3756" s="3" t="s">
        <v>29</v>
      </c>
      <c r="E3756" s="3" t="s">
        <v>182</v>
      </c>
      <c r="F3756" s="3" t="s">
        <v>31</v>
      </c>
      <c r="G3756" s="3" t="s">
        <v>182</v>
      </c>
      <c r="H3756" s="3" t="s">
        <v>45</v>
      </c>
      <c r="I3756" s="3">
        <v>2025</v>
      </c>
      <c r="J3756" s="3" t="str">
        <f>CONCATENATE("54820236559")</f>
        <v>54820236559</v>
      </c>
      <c r="K3756" s="3" t="s">
        <v>33</v>
      </c>
      <c r="L3756" s="3"/>
      <c r="M3756" s="3" t="s">
        <v>131</v>
      </c>
      <c r="N3756" s="3" t="str">
        <f>CONCATENATE("FGLFPP84B26L500H")</f>
        <v>FGLFPP84B26L500H</v>
      </c>
      <c r="O3756" s="3" t="s">
        <v>3870</v>
      </c>
      <c r="P3756" s="3" t="s">
        <v>36</v>
      </c>
      <c r="Q3756" s="3"/>
      <c r="R3756" s="4">
        <v>45996</v>
      </c>
      <c r="S3756" s="3" t="s">
        <v>37</v>
      </c>
      <c r="T3756" s="3" t="s">
        <v>38</v>
      </c>
      <c r="U3756" s="3" t="s">
        <v>39</v>
      </c>
      <c r="V3756" s="3">
        <v>952.93</v>
      </c>
      <c r="W3756" s="3">
        <v>405</v>
      </c>
      <c r="X3756" s="3">
        <v>383.55</v>
      </c>
      <c r="Y3756" s="3">
        <v>164.38</v>
      </c>
    </row>
    <row r="3757" spans="1:25" ht="60.75" x14ac:dyDescent="0.25">
      <c r="A3757" s="3" t="s">
        <v>26</v>
      </c>
      <c r="B3757" s="3" t="s">
        <v>27</v>
      </c>
      <c r="C3757" s="3" t="s">
        <v>28</v>
      </c>
      <c r="D3757" s="3" t="s">
        <v>50</v>
      </c>
      <c r="E3757" s="3" t="s">
        <v>60</v>
      </c>
      <c r="F3757" s="3" t="s">
        <v>52</v>
      </c>
      <c r="G3757" s="3" t="s">
        <v>60</v>
      </c>
      <c r="H3757" s="3" t="s">
        <v>45</v>
      </c>
      <c r="I3757" s="3">
        <v>2025</v>
      </c>
      <c r="J3757" s="3" t="str">
        <f>CONCATENATE("54820107214")</f>
        <v>54820107214</v>
      </c>
      <c r="K3757" s="3" t="s">
        <v>33</v>
      </c>
      <c r="L3757" s="3"/>
      <c r="M3757" s="3" t="s">
        <v>131</v>
      </c>
      <c r="N3757" s="3" t="str">
        <f>CONCATENATE("NGLCLS49S12G453N")</f>
        <v>NGLCLS49S12G453N</v>
      </c>
      <c r="O3757" s="3" t="s">
        <v>3871</v>
      </c>
      <c r="P3757" s="3" t="s">
        <v>36</v>
      </c>
      <c r="Q3757" s="3"/>
      <c r="R3757" s="4">
        <v>45996</v>
      </c>
      <c r="S3757" s="3" t="s">
        <v>37</v>
      </c>
      <c r="T3757" s="3" t="s">
        <v>38</v>
      </c>
      <c r="U3757" s="3" t="s">
        <v>39</v>
      </c>
      <c r="V3757" s="3">
        <v>127.5</v>
      </c>
      <c r="W3757" s="3">
        <v>54.19</v>
      </c>
      <c r="X3757" s="3">
        <v>51.32</v>
      </c>
      <c r="Y3757" s="3">
        <v>21.99</v>
      </c>
    </row>
    <row r="3758" spans="1:25" ht="60.75" x14ac:dyDescent="0.25">
      <c r="A3758" s="3" t="s">
        <v>26</v>
      </c>
      <c r="B3758" s="3" t="s">
        <v>27</v>
      </c>
      <c r="C3758" s="3" t="s">
        <v>28</v>
      </c>
      <c r="D3758" s="3" t="s">
        <v>50</v>
      </c>
      <c r="E3758" s="3" t="s">
        <v>60</v>
      </c>
      <c r="F3758" s="3" t="s">
        <v>52</v>
      </c>
      <c r="G3758" s="3" t="s">
        <v>60</v>
      </c>
      <c r="H3758" s="3" t="s">
        <v>45</v>
      </c>
      <c r="I3758" s="3">
        <v>2025</v>
      </c>
      <c r="J3758" s="3" t="str">
        <f>CONCATENATE("54820113345")</f>
        <v>54820113345</v>
      </c>
      <c r="K3758" s="3" t="s">
        <v>33</v>
      </c>
      <c r="L3758" s="3"/>
      <c r="M3758" s="3" t="s">
        <v>131</v>
      </c>
      <c r="N3758" s="3" t="str">
        <f>CONCATENATE("GDUFLV58H26G453Q")</f>
        <v>GDUFLV58H26G453Q</v>
      </c>
      <c r="O3758" s="3" t="s">
        <v>3872</v>
      </c>
      <c r="P3758" s="3" t="s">
        <v>36</v>
      </c>
      <c r="Q3758" s="3"/>
      <c r="R3758" s="4">
        <v>45996</v>
      </c>
      <c r="S3758" s="3" t="s">
        <v>37</v>
      </c>
      <c r="T3758" s="3" t="s">
        <v>38</v>
      </c>
      <c r="U3758" s="3" t="s">
        <v>39</v>
      </c>
      <c r="V3758" s="3">
        <v>57.08</v>
      </c>
      <c r="W3758" s="3">
        <v>24.26</v>
      </c>
      <c r="X3758" s="3">
        <v>22.97</v>
      </c>
      <c r="Y3758" s="3">
        <v>9.85</v>
      </c>
    </row>
    <row r="3759" spans="1:25" ht="72.75" x14ac:dyDescent="0.25">
      <c r="A3759" s="3" t="s">
        <v>26</v>
      </c>
      <c r="B3759" s="3" t="s">
        <v>27</v>
      </c>
      <c r="C3759" s="3" t="s">
        <v>28</v>
      </c>
      <c r="D3759" s="3" t="s">
        <v>1850</v>
      </c>
      <c r="E3759" s="3" t="s">
        <v>2577</v>
      </c>
      <c r="F3759" s="3" t="s">
        <v>1852</v>
      </c>
      <c r="G3759" s="3" t="s">
        <v>2577</v>
      </c>
      <c r="H3759" s="3" t="s">
        <v>45</v>
      </c>
      <c r="I3759" s="3">
        <v>2025</v>
      </c>
      <c r="J3759" s="3" t="str">
        <f>CONCATENATE("54820264833")</f>
        <v>54820264833</v>
      </c>
      <c r="K3759" s="3" t="s">
        <v>33</v>
      </c>
      <c r="L3759" s="3"/>
      <c r="M3759" s="3" t="s">
        <v>131</v>
      </c>
      <c r="N3759" s="3" t="str">
        <f>CONCATENATE("RGNMRN42D05H949V")</f>
        <v>RGNMRN42D05H949V</v>
      </c>
      <c r="O3759" s="3" t="s">
        <v>3873</v>
      </c>
      <c r="P3759" s="3" t="s">
        <v>36</v>
      </c>
      <c r="Q3759" s="3"/>
      <c r="R3759" s="4">
        <v>45996</v>
      </c>
      <c r="S3759" s="3" t="s">
        <v>37</v>
      </c>
      <c r="T3759" s="3" t="s">
        <v>38</v>
      </c>
      <c r="U3759" s="3" t="s">
        <v>39</v>
      </c>
      <c r="V3759" s="3">
        <v>148.1</v>
      </c>
      <c r="W3759" s="3">
        <v>62.94</v>
      </c>
      <c r="X3759" s="3">
        <v>59.61</v>
      </c>
      <c r="Y3759" s="3">
        <v>25.55</v>
      </c>
    </row>
    <row r="3760" spans="1:25" ht="60.75" x14ac:dyDescent="0.25">
      <c r="A3760" s="3" t="s">
        <v>26</v>
      </c>
      <c r="B3760" s="3" t="s">
        <v>27</v>
      </c>
      <c r="C3760" s="3" t="s">
        <v>28</v>
      </c>
      <c r="D3760" s="3" t="s">
        <v>29</v>
      </c>
      <c r="E3760" s="3" t="s">
        <v>136</v>
      </c>
      <c r="F3760" s="3" t="s">
        <v>31</v>
      </c>
      <c r="G3760" s="3" t="s">
        <v>136</v>
      </c>
      <c r="H3760" s="3" t="s">
        <v>48</v>
      </c>
      <c r="I3760" s="3">
        <v>2025</v>
      </c>
      <c r="J3760" s="3" t="str">
        <f>CONCATENATE("54820083613")</f>
        <v>54820083613</v>
      </c>
      <c r="K3760" s="3" t="s">
        <v>33</v>
      </c>
      <c r="L3760" s="3"/>
      <c r="M3760" s="3" t="s">
        <v>131</v>
      </c>
      <c r="N3760" s="3" t="str">
        <f>CONCATENATE("GSTNDR73C02I461H")</f>
        <v>GSTNDR73C02I461H</v>
      </c>
      <c r="O3760" s="3" t="s">
        <v>3874</v>
      </c>
      <c r="P3760" s="3" t="s">
        <v>36</v>
      </c>
      <c r="Q3760" s="3"/>
      <c r="R3760" s="4">
        <v>45996</v>
      </c>
      <c r="S3760" s="3" t="s">
        <v>37</v>
      </c>
      <c r="T3760" s="3" t="s">
        <v>38</v>
      </c>
      <c r="U3760" s="3" t="s">
        <v>39</v>
      </c>
      <c r="V3760" s="3">
        <v>174.54</v>
      </c>
      <c r="W3760" s="3">
        <v>74.180000000000007</v>
      </c>
      <c r="X3760" s="3">
        <v>70.25</v>
      </c>
      <c r="Y3760" s="3">
        <v>30.11</v>
      </c>
    </row>
    <row r="3761" spans="1:25" ht="60.75" x14ac:dyDescent="0.25">
      <c r="A3761" s="3" t="s">
        <v>26</v>
      </c>
      <c r="B3761" s="3" t="s">
        <v>27</v>
      </c>
      <c r="C3761" s="3" t="s">
        <v>28</v>
      </c>
      <c r="D3761" s="3" t="s">
        <v>29</v>
      </c>
      <c r="E3761" s="3" t="s">
        <v>47</v>
      </c>
      <c r="F3761" s="3" t="s">
        <v>31</v>
      </c>
      <c r="G3761" s="3" t="s">
        <v>47</v>
      </c>
      <c r="H3761" s="3" t="s">
        <v>48</v>
      </c>
      <c r="I3761" s="3">
        <v>2025</v>
      </c>
      <c r="J3761" s="3" t="str">
        <f>CONCATENATE("54820217765")</f>
        <v>54820217765</v>
      </c>
      <c r="K3761" s="3" t="s">
        <v>33</v>
      </c>
      <c r="L3761" s="3"/>
      <c r="M3761" s="3" t="s">
        <v>131</v>
      </c>
      <c r="N3761" s="3" t="str">
        <f>CONCATENATE("TRTGBT49R01C524S")</f>
        <v>TRTGBT49R01C524S</v>
      </c>
      <c r="O3761" s="3" t="s">
        <v>3875</v>
      </c>
      <c r="P3761" s="3" t="s">
        <v>36</v>
      </c>
      <c r="Q3761" s="3"/>
      <c r="R3761" s="4">
        <v>45996</v>
      </c>
      <c r="S3761" s="3" t="s">
        <v>37</v>
      </c>
      <c r="T3761" s="3" t="s">
        <v>38</v>
      </c>
      <c r="U3761" s="3" t="s">
        <v>39</v>
      </c>
      <c r="V3761" s="3">
        <v>184.58</v>
      </c>
      <c r="W3761" s="3">
        <v>78.45</v>
      </c>
      <c r="X3761" s="3">
        <v>74.290000000000006</v>
      </c>
      <c r="Y3761" s="3">
        <v>31.84</v>
      </c>
    </row>
    <row r="3762" spans="1:25" ht="36.75" x14ac:dyDescent="0.25">
      <c r="A3762" s="3" t="s">
        <v>26</v>
      </c>
      <c r="B3762" s="3" t="s">
        <v>27</v>
      </c>
      <c r="C3762" s="3" t="s">
        <v>28</v>
      </c>
      <c r="D3762" s="3" t="s">
        <v>50</v>
      </c>
      <c r="E3762" s="3" t="s">
        <v>60</v>
      </c>
      <c r="F3762" s="3" t="s">
        <v>52</v>
      </c>
      <c r="G3762" s="3" t="s">
        <v>60</v>
      </c>
      <c r="H3762" s="3" t="s">
        <v>45</v>
      </c>
      <c r="I3762" s="3">
        <v>2025</v>
      </c>
      <c r="J3762" s="3" t="str">
        <f>CONCATENATE("54820204342")</f>
        <v>54820204342</v>
      </c>
      <c r="K3762" s="3" t="s">
        <v>33</v>
      </c>
      <c r="L3762" s="3"/>
      <c r="M3762" s="3" t="s">
        <v>131</v>
      </c>
      <c r="N3762" s="3" t="str">
        <f>CONCATENATE("02825330414")</f>
        <v>02825330414</v>
      </c>
      <c r="O3762" s="3" t="s">
        <v>3876</v>
      </c>
      <c r="P3762" s="3" t="s">
        <v>36</v>
      </c>
      <c r="Q3762" s="3"/>
      <c r="R3762" s="4">
        <v>45996</v>
      </c>
      <c r="S3762" s="3" t="s">
        <v>37</v>
      </c>
      <c r="T3762" s="3" t="s">
        <v>38</v>
      </c>
      <c r="U3762" s="3" t="s">
        <v>39</v>
      </c>
      <c r="V3762" s="3">
        <v>165.87</v>
      </c>
      <c r="W3762" s="3">
        <v>70.489999999999995</v>
      </c>
      <c r="X3762" s="3">
        <v>66.760000000000005</v>
      </c>
      <c r="Y3762" s="3">
        <v>28.62</v>
      </c>
    </row>
    <row r="3763" spans="1:25" ht="60.75" x14ac:dyDescent="0.25">
      <c r="A3763" s="3" t="s">
        <v>26</v>
      </c>
      <c r="B3763" s="3" t="s">
        <v>27</v>
      </c>
      <c r="C3763" s="3" t="s">
        <v>28</v>
      </c>
      <c r="D3763" s="3" t="s">
        <v>29</v>
      </c>
      <c r="E3763" s="3" t="s">
        <v>68</v>
      </c>
      <c r="F3763" s="3" t="s">
        <v>31</v>
      </c>
      <c r="G3763" s="3" t="s">
        <v>68</v>
      </c>
      <c r="H3763" s="3" t="s">
        <v>32</v>
      </c>
      <c r="I3763" s="3">
        <v>2025</v>
      </c>
      <c r="J3763" s="3" t="str">
        <f>CONCATENATE("54820030325")</f>
        <v>54820030325</v>
      </c>
      <c r="K3763" s="3" t="s">
        <v>33</v>
      </c>
      <c r="L3763" s="3"/>
      <c r="M3763" s="3" t="s">
        <v>131</v>
      </c>
      <c r="N3763" s="3" t="str">
        <f>CONCATENATE("CNTVIO49P12A252Y")</f>
        <v>CNTVIO49P12A252Y</v>
      </c>
      <c r="O3763" s="3" t="s">
        <v>3877</v>
      </c>
      <c r="P3763" s="3" t="s">
        <v>36</v>
      </c>
      <c r="Q3763" s="3"/>
      <c r="R3763" s="4">
        <v>45996</v>
      </c>
      <c r="S3763" s="3" t="s">
        <v>37</v>
      </c>
      <c r="T3763" s="3" t="s">
        <v>38</v>
      </c>
      <c r="U3763" s="3" t="s">
        <v>39</v>
      </c>
      <c r="V3763" s="3">
        <v>584.96</v>
      </c>
      <c r="W3763" s="3">
        <v>248.61</v>
      </c>
      <c r="X3763" s="3">
        <v>235.45</v>
      </c>
      <c r="Y3763" s="3">
        <v>100.9</v>
      </c>
    </row>
    <row r="3764" spans="1:25" ht="60.75" x14ac:dyDescent="0.25">
      <c r="A3764" s="3" t="s">
        <v>26</v>
      </c>
      <c r="B3764" s="3" t="s">
        <v>27</v>
      </c>
      <c r="C3764" s="3" t="s">
        <v>28</v>
      </c>
      <c r="D3764" s="3" t="s">
        <v>50</v>
      </c>
      <c r="E3764" s="3" t="s">
        <v>173</v>
      </c>
      <c r="F3764" s="3" t="s">
        <v>52</v>
      </c>
      <c r="G3764" s="3" t="s">
        <v>173</v>
      </c>
      <c r="H3764" s="3" t="s">
        <v>45</v>
      </c>
      <c r="I3764" s="3">
        <v>2025</v>
      </c>
      <c r="J3764" s="3" t="str">
        <f>CONCATENATE("54820074802")</f>
        <v>54820074802</v>
      </c>
      <c r="K3764" s="3" t="s">
        <v>33</v>
      </c>
      <c r="L3764" s="3"/>
      <c r="M3764" s="3" t="s">
        <v>131</v>
      </c>
      <c r="N3764" s="3" t="str">
        <f>CONCATENATE("MNAJCP90C16C357E")</f>
        <v>MNAJCP90C16C357E</v>
      </c>
      <c r="O3764" s="3" t="s">
        <v>3878</v>
      </c>
      <c r="P3764" s="3" t="s">
        <v>36</v>
      </c>
      <c r="Q3764" s="3"/>
      <c r="R3764" s="4">
        <v>45996</v>
      </c>
      <c r="S3764" s="3" t="s">
        <v>37</v>
      </c>
      <c r="T3764" s="3" t="s">
        <v>38</v>
      </c>
      <c r="U3764" s="3" t="s">
        <v>39</v>
      </c>
      <c r="V3764" s="3">
        <v>283.29000000000002</v>
      </c>
      <c r="W3764" s="3">
        <v>120.4</v>
      </c>
      <c r="X3764" s="3">
        <v>114.02</v>
      </c>
      <c r="Y3764" s="3">
        <v>48.87</v>
      </c>
    </row>
    <row r="3765" spans="1:25" ht="72.75" x14ac:dyDescent="0.25">
      <c r="A3765" s="3" t="s">
        <v>26</v>
      </c>
      <c r="B3765" s="3" t="s">
        <v>27</v>
      </c>
      <c r="C3765" s="3" t="s">
        <v>28</v>
      </c>
      <c r="D3765" s="3" t="s">
        <v>29</v>
      </c>
      <c r="E3765" s="3" t="s">
        <v>47</v>
      </c>
      <c r="F3765" s="3" t="s">
        <v>31</v>
      </c>
      <c r="G3765" s="3" t="s">
        <v>47</v>
      </c>
      <c r="H3765" s="3" t="s">
        <v>48</v>
      </c>
      <c r="I3765" s="3">
        <v>2025</v>
      </c>
      <c r="J3765" s="3" t="str">
        <f>CONCATENATE("54820187745")</f>
        <v>54820187745</v>
      </c>
      <c r="K3765" s="3" t="s">
        <v>33</v>
      </c>
      <c r="L3765" s="3"/>
      <c r="M3765" s="3" t="s">
        <v>131</v>
      </c>
      <c r="N3765" s="3" t="str">
        <f>CONCATENATE("BLTGMM65T56A237K")</f>
        <v>BLTGMM65T56A237K</v>
      </c>
      <c r="O3765" s="3" t="s">
        <v>3879</v>
      </c>
      <c r="P3765" s="3" t="s">
        <v>36</v>
      </c>
      <c r="Q3765" s="3"/>
      <c r="R3765" s="4">
        <v>45996</v>
      </c>
      <c r="S3765" s="3" t="s">
        <v>37</v>
      </c>
      <c r="T3765" s="3" t="s">
        <v>38</v>
      </c>
      <c r="U3765" s="3" t="s">
        <v>39</v>
      </c>
      <c r="V3765" s="3">
        <v>151.86000000000001</v>
      </c>
      <c r="W3765" s="3">
        <v>64.540000000000006</v>
      </c>
      <c r="X3765" s="3">
        <v>61.12</v>
      </c>
      <c r="Y3765" s="3">
        <v>26.2</v>
      </c>
    </row>
    <row r="3766" spans="1:25" ht="60.75" x14ac:dyDescent="0.25">
      <c r="A3766" s="3" t="s">
        <v>26</v>
      </c>
      <c r="B3766" s="3" t="s">
        <v>27</v>
      </c>
      <c r="C3766" s="3" t="s">
        <v>28</v>
      </c>
      <c r="D3766" s="3" t="s">
        <v>50</v>
      </c>
      <c r="E3766" s="3" t="s">
        <v>149</v>
      </c>
      <c r="F3766" s="3" t="s">
        <v>52</v>
      </c>
      <c r="G3766" s="3" t="s">
        <v>149</v>
      </c>
      <c r="H3766" s="3" t="s">
        <v>96</v>
      </c>
      <c r="I3766" s="3">
        <v>2025</v>
      </c>
      <c r="J3766" s="3" t="str">
        <f>CONCATENATE("54820185491")</f>
        <v>54820185491</v>
      </c>
      <c r="K3766" s="3" t="s">
        <v>33</v>
      </c>
      <c r="L3766" s="3"/>
      <c r="M3766" s="3" t="s">
        <v>131</v>
      </c>
      <c r="N3766" s="3" t="str">
        <f>CONCATENATE("PLFGNN82C19A462E")</f>
        <v>PLFGNN82C19A462E</v>
      </c>
      <c r="O3766" s="3" t="s">
        <v>3880</v>
      </c>
      <c r="P3766" s="3" t="s">
        <v>36</v>
      </c>
      <c r="Q3766" s="3"/>
      <c r="R3766" s="4">
        <v>45996</v>
      </c>
      <c r="S3766" s="3" t="s">
        <v>37</v>
      </c>
      <c r="T3766" s="3" t="s">
        <v>38</v>
      </c>
      <c r="U3766" s="3" t="s">
        <v>39</v>
      </c>
      <c r="V3766" s="3">
        <v>957.41</v>
      </c>
      <c r="W3766" s="3">
        <v>406.9</v>
      </c>
      <c r="X3766" s="3">
        <v>385.36</v>
      </c>
      <c r="Y3766" s="3">
        <v>165.15</v>
      </c>
    </row>
    <row r="3767" spans="1:25" ht="60.75" x14ac:dyDescent="0.25">
      <c r="A3767" s="3" t="s">
        <v>26</v>
      </c>
      <c r="B3767" s="3" t="s">
        <v>27</v>
      </c>
      <c r="C3767" s="3" t="s">
        <v>28</v>
      </c>
      <c r="D3767" s="3" t="s">
        <v>40</v>
      </c>
      <c r="E3767" s="3" t="s">
        <v>44</v>
      </c>
      <c r="F3767" s="3" t="s">
        <v>42</v>
      </c>
      <c r="G3767" s="3" t="s">
        <v>44</v>
      </c>
      <c r="H3767" s="3" t="s">
        <v>32</v>
      </c>
      <c r="I3767" s="3">
        <v>2025</v>
      </c>
      <c r="J3767" s="3" t="str">
        <f>CONCATENATE("54820013420")</f>
        <v>54820013420</v>
      </c>
      <c r="K3767" s="3" t="s">
        <v>33</v>
      </c>
      <c r="L3767" s="3"/>
      <c r="M3767" s="3" t="s">
        <v>131</v>
      </c>
      <c r="N3767" s="3" t="str">
        <f>CONCATENATE("BRTJCN69L47Z603Y")</f>
        <v>BRTJCN69L47Z603Y</v>
      </c>
      <c r="O3767" s="3" t="s">
        <v>3881</v>
      </c>
      <c r="P3767" s="3" t="s">
        <v>36</v>
      </c>
      <c r="Q3767" s="3"/>
      <c r="R3767" s="4">
        <v>45996</v>
      </c>
      <c r="S3767" s="3" t="s">
        <v>37</v>
      </c>
      <c r="T3767" s="3" t="s">
        <v>38</v>
      </c>
      <c r="U3767" s="3" t="s">
        <v>39</v>
      </c>
      <c r="V3767" s="3">
        <v>975.04</v>
      </c>
      <c r="W3767" s="3">
        <v>414.39</v>
      </c>
      <c r="X3767" s="3">
        <v>392.45</v>
      </c>
      <c r="Y3767" s="3">
        <v>168.2</v>
      </c>
    </row>
    <row r="3768" spans="1:25" ht="60.75" x14ac:dyDescent="0.25">
      <c r="A3768" s="3" t="s">
        <v>26</v>
      </c>
      <c r="B3768" s="3" t="s">
        <v>27</v>
      </c>
      <c r="C3768" s="3" t="s">
        <v>28</v>
      </c>
      <c r="D3768" s="3" t="s">
        <v>29</v>
      </c>
      <c r="E3768" s="3" t="s">
        <v>136</v>
      </c>
      <c r="F3768" s="3" t="s">
        <v>31</v>
      </c>
      <c r="G3768" s="3" t="s">
        <v>136</v>
      </c>
      <c r="H3768" s="3" t="s">
        <v>48</v>
      </c>
      <c r="I3768" s="3">
        <v>2025</v>
      </c>
      <c r="J3768" s="3" t="str">
        <f>CONCATENATE("54820070644")</f>
        <v>54820070644</v>
      </c>
      <c r="K3768" s="3" t="s">
        <v>33</v>
      </c>
      <c r="L3768" s="3"/>
      <c r="M3768" s="3" t="s">
        <v>131</v>
      </c>
      <c r="N3768" s="3" t="str">
        <f>CONCATENATE("LSSSFN83T26D451S")</f>
        <v>LSSSFN83T26D451S</v>
      </c>
      <c r="O3768" s="3" t="s">
        <v>3882</v>
      </c>
      <c r="P3768" s="3" t="s">
        <v>36</v>
      </c>
      <c r="Q3768" s="3"/>
      <c r="R3768" s="4">
        <v>45996</v>
      </c>
      <c r="S3768" s="3" t="s">
        <v>37</v>
      </c>
      <c r="T3768" s="3" t="s">
        <v>38</v>
      </c>
      <c r="U3768" s="3" t="s">
        <v>39</v>
      </c>
      <c r="V3768" s="3">
        <v>441.77</v>
      </c>
      <c r="W3768" s="3">
        <v>187.75</v>
      </c>
      <c r="X3768" s="3">
        <v>177.81</v>
      </c>
      <c r="Y3768" s="3">
        <v>76.209999999999994</v>
      </c>
    </row>
    <row r="3769" spans="1:25" ht="36.75" x14ac:dyDescent="0.25">
      <c r="A3769" s="3" t="s">
        <v>26</v>
      </c>
      <c r="B3769" s="3" t="s">
        <v>27</v>
      </c>
      <c r="C3769" s="3" t="s">
        <v>28</v>
      </c>
      <c r="D3769" s="3" t="s">
        <v>50</v>
      </c>
      <c r="E3769" s="3" t="s">
        <v>147</v>
      </c>
      <c r="F3769" s="3" t="s">
        <v>52</v>
      </c>
      <c r="G3769" s="3" t="s">
        <v>147</v>
      </c>
      <c r="H3769" s="3" t="s">
        <v>45</v>
      </c>
      <c r="I3769" s="3">
        <v>2025</v>
      </c>
      <c r="J3769" s="3" t="str">
        <f>CONCATENATE("54820274634")</f>
        <v>54820274634</v>
      </c>
      <c r="K3769" s="3" t="s">
        <v>33</v>
      </c>
      <c r="L3769" s="3"/>
      <c r="M3769" s="3" t="s">
        <v>131</v>
      </c>
      <c r="N3769" s="3" t="str">
        <f>CONCATENATE("01374610416")</f>
        <v>01374610416</v>
      </c>
      <c r="O3769" s="3" t="s">
        <v>3883</v>
      </c>
      <c r="P3769" s="3" t="s">
        <v>36</v>
      </c>
      <c r="Q3769" s="3"/>
      <c r="R3769" s="4">
        <v>45996</v>
      </c>
      <c r="S3769" s="3" t="s">
        <v>37</v>
      </c>
      <c r="T3769" s="3" t="s">
        <v>38</v>
      </c>
      <c r="U3769" s="3" t="s">
        <v>39</v>
      </c>
      <c r="V3769" s="3">
        <v>762.54</v>
      </c>
      <c r="W3769" s="3">
        <v>324.08</v>
      </c>
      <c r="X3769" s="3">
        <v>306.92</v>
      </c>
      <c r="Y3769" s="3">
        <v>131.54</v>
      </c>
    </row>
    <row r="3770" spans="1:25" ht="60.75" x14ac:dyDescent="0.25">
      <c r="A3770" s="3" t="s">
        <v>26</v>
      </c>
      <c r="B3770" s="3" t="s">
        <v>27</v>
      </c>
      <c r="C3770" s="3" t="s">
        <v>28</v>
      </c>
      <c r="D3770" s="3" t="s">
        <v>91</v>
      </c>
      <c r="E3770" s="3" t="s">
        <v>95</v>
      </c>
      <c r="F3770" s="3" t="s">
        <v>93</v>
      </c>
      <c r="G3770" s="3" t="s">
        <v>95</v>
      </c>
      <c r="H3770" s="3" t="s">
        <v>96</v>
      </c>
      <c r="I3770" s="3">
        <v>2025</v>
      </c>
      <c r="J3770" s="3" t="str">
        <f>CONCATENATE("54820167952")</f>
        <v>54820167952</v>
      </c>
      <c r="K3770" s="3" t="s">
        <v>33</v>
      </c>
      <c r="L3770" s="3"/>
      <c r="M3770" s="3" t="s">
        <v>131</v>
      </c>
      <c r="N3770" s="3" t="str">
        <f>CONCATENATE("DRSRML69L14A462K")</f>
        <v>DRSRML69L14A462K</v>
      </c>
      <c r="O3770" s="3" t="s">
        <v>3884</v>
      </c>
      <c r="P3770" s="3" t="s">
        <v>36</v>
      </c>
      <c r="Q3770" s="3"/>
      <c r="R3770" s="4">
        <v>45996</v>
      </c>
      <c r="S3770" s="3" t="s">
        <v>37</v>
      </c>
      <c r="T3770" s="3" t="s">
        <v>38</v>
      </c>
      <c r="U3770" s="3" t="s">
        <v>39</v>
      </c>
      <c r="V3770" s="3">
        <v>209.52</v>
      </c>
      <c r="W3770" s="3">
        <v>89.05</v>
      </c>
      <c r="X3770" s="3">
        <v>84.33</v>
      </c>
      <c r="Y3770" s="3">
        <v>36.14</v>
      </c>
    </row>
    <row r="3771" spans="1:25" ht="48.75" x14ac:dyDescent="0.25">
      <c r="A3771" s="3" t="s">
        <v>26</v>
      </c>
      <c r="B3771" s="3" t="s">
        <v>27</v>
      </c>
      <c r="C3771" s="3" t="s">
        <v>28</v>
      </c>
      <c r="D3771" s="3" t="s">
        <v>50</v>
      </c>
      <c r="E3771" s="3" t="s">
        <v>51</v>
      </c>
      <c r="F3771" s="3" t="s">
        <v>52</v>
      </c>
      <c r="G3771" s="3" t="s">
        <v>51</v>
      </c>
      <c r="H3771" s="3" t="s">
        <v>48</v>
      </c>
      <c r="I3771" s="3">
        <v>2025</v>
      </c>
      <c r="J3771" s="3" t="str">
        <f>CONCATENATE("54820161856")</f>
        <v>54820161856</v>
      </c>
      <c r="K3771" s="3" t="s">
        <v>33</v>
      </c>
      <c r="L3771" s="3"/>
      <c r="M3771" s="3" t="s">
        <v>131</v>
      </c>
      <c r="N3771" s="3" t="str">
        <f>CONCATENATE("FTALIO69C43I461K")</f>
        <v>FTALIO69C43I461K</v>
      </c>
      <c r="O3771" s="3" t="s">
        <v>3885</v>
      </c>
      <c r="P3771" s="3" t="s">
        <v>36</v>
      </c>
      <c r="Q3771" s="3"/>
      <c r="R3771" s="4">
        <v>45996</v>
      </c>
      <c r="S3771" s="3" t="s">
        <v>37</v>
      </c>
      <c r="T3771" s="3" t="s">
        <v>38</v>
      </c>
      <c r="U3771" s="3" t="s">
        <v>39</v>
      </c>
      <c r="V3771" s="3">
        <v>107.07</v>
      </c>
      <c r="W3771" s="3">
        <v>45.5</v>
      </c>
      <c r="X3771" s="3">
        <v>43.1</v>
      </c>
      <c r="Y3771" s="3">
        <v>18.47</v>
      </c>
    </row>
    <row r="3772" spans="1:25" ht="72.75" x14ac:dyDescent="0.25">
      <c r="A3772" s="3" t="s">
        <v>26</v>
      </c>
      <c r="B3772" s="3" t="s">
        <v>27</v>
      </c>
      <c r="C3772" s="3" t="s">
        <v>28</v>
      </c>
      <c r="D3772" s="3" t="s">
        <v>104</v>
      </c>
      <c r="E3772" s="3" t="s">
        <v>141</v>
      </c>
      <c r="F3772" s="3" t="s">
        <v>104</v>
      </c>
      <c r="G3772" s="3" t="s">
        <v>141</v>
      </c>
      <c r="H3772" s="3" t="s">
        <v>96</v>
      </c>
      <c r="I3772" s="3">
        <v>2025</v>
      </c>
      <c r="J3772" s="3" t="str">
        <f>CONCATENATE("54820136460")</f>
        <v>54820136460</v>
      </c>
      <c r="K3772" s="3" t="s">
        <v>33</v>
      </c>
      <c r="L3772" s="3"/>
      <c r="M3772" s="3" t="s">
        <v>131</v>
      </c>
      <c r="N3772" s="3" t="str">
        <f>CONCATENATE("CRCMSM71R26A252R")</f>
        <v>CRCMSM71R26A252R</v>
      </c>
      <c r="O3772" s="3" t="s">
        <v>3886</v>
      </c>
      <c r="P3772" s="3" t="s">
        <v>36</v>
      </c>
      <c r="Q3772" s="3"/>
      <c r="R3772" s="4">
        <v>45996</v>
      </c>
      <c r="S3772" s="3" t="s">
        <v>37</v>
      </c>
      <c r="T3772" s="3" t="s">
        <v>38</v>
      </c>
      <c r="U3772" s="3" t="s">
        <v>39</v>
      </c>
      <c r="V3772" s="3">
        <v>97.67</v>
      </c>
      <c r="W3772" s="3">
        <v>41.51</v>
      </c>
      <c r="X3772" s="3">
        <v>39.31</v>
      </c>
      <c r="Y3772" s="3">
        <v>16.850000000000001</v>
      </c>
    </row>
    <row r="3773" spans="1:25" ht="72.75" x14ac:dyDescent="0.25">
      <c r="A3773" s="3" t="s">
        <v>26</v>
      </c>
      <c r="B3773" s="3" t="s">
        <v>27</v>
      </c>
      <c r="C3773" s="3" t="s">
        <v>28</v>
      </c>
      <c r="D3773" s="3" t="s">
        <v>29</v>
      </c>
      <c r="E3773" s="3" t="s">
        <v>101</v>
      </c>
      <c r="F3773" s="3" t="s">
        <v>31</v>
      </c>
      <c r="G3773" s="3" t="s">
        <v>101</v>
      </c>
      <c r="H3773" s="3" t="s">
        <v>32</v>
      </c>
      <c r="I3773" s="3">
        <v>2025</v>
      </c>
      <c r="J3773" s="3" t="str">
        <f>CONCATENATE("54820197140")</f>
        <v>54820197140</v>
      </c>
      <c r="K3773" s="3" t="s">
        <v>33</v>
      </c>
      <c r="L3773" s="3"/>
      <c r="M3773" s="3" t="s">
        <v>131</v>
      </c>
      <c r="N3773" s="3" t="str">
        <f>CONCATENATE("PNZSVR75M01B474U")</f>
        <v>PNZSVR75M01B474U</v>
      </c>
      <c r="O3773" s="3" t="s">
        <v>3887</v>
      </c>
      <c r="P3773" s="3" t="s">
        <v>36</v>
      </c>
      <c r="Q3773" s="3"/>
      <c r="R3773" s="4">
        <v>45996</v>
      </c>
      <c r="S3773" s="3" t="s">
        <v>37</v>
      </c>
      <c r="T3773" s="3" t="s">
        <v>38</v>
      </c>
      <c r="U3773" s="3" t="s">
        <v>39</v>
      </c>
      <c r="V3773" s="3">
        <v>112.98</v>
      </c>
      <c r="W3773" s="3">
        <v>48.02</v>
      </c>
      <c r="X3773" s="3">
        <v>45.47</v>
      </c>
      <c r="Y3773" s="3">
        <v>19.489999999999998</v>
      </c>
    </row>
    <row r="3774" spans="1:25" ht="60.75" x14ac:dyDescent="0.25">
      <c r="A3774" s="3" t="s">
        <v>26</v>
      </c>
      <c r="B3774" s="3" t="s">
        <v>27</v>
      </c>
      <c r="C3774" s="3" t="s">
        <v>28</v>
      </c>
      <c r="D3774" s="3" t="s">
        <v>29</v>
      </c>
      <c r="E3774" s="3" t="s">
        <v>56</v>
      </c>
      <c r="F3774" s="3" t="s">
        <v>31</v>
      </c>
      <c r="G3774" s="3" t="s">
        <v>56</v>
      </c>
      <c r="H3774" s="3" t="s">
        <v>32</v>
      </c>
      <c r="I3774" s="3">
        <v>2025</v>
      </c>
      <c r="J3774" s="3" t="str">
        <f>CONCATENATE("54820148523")</f>
        <v>54820148523</v>
      </c>
      <c r="K3774" s="3" t="s">
        <v>33</v>
      </c>
      <c r="L3774" s="3"/>
      <c r="M3774" s="3" t="s">
        <v>131</v>
      </c>
      <c r="N3774" s="3" t="str">
        <f>CONCATENATE("SPRMLE49A20B474Z")</f>
        <v>SPRMLE49A20B474Z</v>
      </c>
      <c r="O3774" s="3" t="s">
        <v>3888</v>
      </c>
      <c r="P3774" s="3" t="s">
        <v>36</v>
      </c>
      <c r="Q3774" s="3"/>
      <c r="R3774" s="4">
        <v>45996</v>
      </c>
      <c r="S3774" s="3" t="s">
        <v>37</v>
      </c>
      <c r="T3774" s="3" t="s">
        <v>38</v>
      </c>
      <c r="U3774" s="3" t="s">
        <v>39</v>
      </c>
      <c r="V3774" s="3">
        <v>174.8</v>
      </c>
      <c r="W3774" s="3">
        <v>74.290000000000006</v>
      </c>
      <c r="X3774" s="3">
        <v>70.36</v>
      </c>
      <c r="Y3774" s="3">
        <v>30.15</v>
      </c>
    </row>
    <row r="3775" spans="1:25" ht="60.75" x14ac:dyDescent="0.25">
      <c r="A3775" s="3" t="s">
        <v>26</v>
      </c>
      <c r="B3775" s="3" t="s">
        <v>27</v>
      </c>
      <c r="C3775" s="3" t="s">
        <v>28</v>
      </c>
      <c r="D3775" s="3" t="s">
        <v>29</v>
      </c>
      <c r="E3775" s="3" t="s">
        <v>47</v>
      </c>
      <c r="F3775" s="3" t="s">
        <v>31</v>
      </c>
      <c r="G3775" s="3" t="s">
        <v>47</v>
      </c>
      <c r="H3775" s="3" t="s">
        <v>48</v>
      </c>
      <c r="I3775" s="3">
        <v>2025</v>
      </c>
      <c r="J3775" s="3" t="str">
        <f>CONCATENATE("54820236138")</f>
        <v>54820236138</v>
      </c>
      <c r="K3775" s="3" t="s">
        <v>33</v>
      </c>
      <c r="L3775" s="3"/>
      <c r="M3775" s="3" t="s">
        <v>131</v>
      </c>
      <c r="N3775" s="3" t="str">
        <f>CONCATENATE("NGLMNL88E02D451B")</f>
        <v>NGLMNL88E02D451B</v>
      </c>
      <c r="O3775" s="3" t="s">
        <v>63</v>
      </c>
      <c r="P3775" s="3" t="s">
        <v>36</v>
      </c>
      <c r="Q3775" s="3"/>
      <c r="R3775" s="4">
        <v>45996</v>
      </c>
      <c r="S3775" s="3" t="s">
        <v>37</v>
      </c>
      <c r="T3775" s="3" t="s">
        <v>38</v>
      </c>
      <c r="U3775" s="3" t="s">
        <v>39</v>
      </c>
      <c r="V3775" s="3">
        <v>93.56</v>
      </c>
      <c r="W3775" s="3">
        <v>39.76</v>
      </c>
      <c r="X3775" s="3">
        <v>37.659999999999997</v>
      </c>
      <c r="Y3775" s="3">
        <v>16.14</v>
      </c>
    </row>
    <row r="3776" spans="1:25" ht="72.75" x14ac:dyDescent="0.25">
      <c r="A3776" s="3" t="s">
        <v>26</v>
      </c>
      <c r="B3776" s="3" t="s">
        <v>27</v>
      </c>
      <c r="C3776" s="3" t="s">
        <v>28</v>
      </c>
      <c r="D3776" s="3" t="s">
        <v>50</v>
      </c>
      <c r="E3776" s="3" t="s">
        <v>252</v>
      </c>
      <c r="F3776" s="3" t="s">
        <v>52</v>
      </c>
      <c r="G3776" s="3" t="s">
        <v>252</v>
      </c>
      <c r="H3776" s="3" t="s">
        <v>45</v>
      </c>
      <c r="I3776" s="3">
        <v>2025</v>
      </c>
      <c r="J3776" s="3" t="str">
        <f>CONCATENATE("54820213103")</f>
        <v>54820213103</v>
      </c>
      <c r="K3776" s="3" t="s">
        <v>33</v>
      </c>
      <c r="L3776" s="3"/>
      <c r="M3776" s="3" t="s">
        <v>131</v>
      </c>
      <c r="N3776" s="3" t="str">
        <f>CONCATENATE("SRRNMR34B54D749Z")</f>
        <v>SRRNMR34B54D749Z</v>
      </c>
      <c r="O3776" s="3" t="s">
        <v>3889</v>
      </c>
      <c r="P3776" s="3" t="s">
        <v>36</v>
      </c>
      <c r="Q3776" s="3"/>
      <c r="R3776" s="4">
        <v>45996</v>
      </c>
      <c r="S3776" s="3" t="s">
        <v>37</v>
      </c>
      <c r="T3776" s="3" t="s">
        <v>38</v>
      </c>
      <c r="U3776" s="3" t="s">
        <v>39</v>
      </c>
      <c r="V3776" s="3">
        <v>94.69</v>
      </c>
      <c r="W3776" s="3">
        <v>40.24</v>
      </c>
      <c r="X3776" s="3">
        <v>38.11</v>
      </c>
      <c r="Y3776" s="3">
        <v>16.34</v>
      </c>
    </row>
    <row r="3777" spans="1:25" ht="60.75" x14ac:dyDescent="0.25">
      <c r="A3777" s="3" t="s">
        <v>26</v>
      </c>
      <c r="B3777" s="3" t="s">
        <v>27</v>
      </c>
      <c r="C3777" s="3" t="s">
        <v>28</v>
      </c>
      <c r="D3777" s="3" t="s">
        <v>91</v>
      </c>
      <c r="E3777" s="3" t="s">
        <v>151</v>
      </c>
      <c r="F3777" s="3" t="s">
        <v>93</v>
      </c>
      <c r="G3777" s="3" t="s">
        <v>151</v>
      </c>
      <c r="H3777" s="3" t="s">
        <v>45</v>
      </c>
      <c r="I3777" s="3">
        <v>2025</v>
      </c>
      <c r="J3777" s="3" t="str">
        <f>CONCATENATE("54820208574")</f>
        <v>54820208574</v>
      </c>
      <c r="K3777" s="3" t="s">
        <v>33</v>
      </c>
      <c r="L3777" s="3"/>
      <c r="M3777" s="3" t="s">
        <v>131</v>
      </c>
      <c r="N3777" s="3" t="str">
        <f>CONCATENATE("TGNLGU50E03G453M")</f>
        <v>TGNLGU50E03G453M</v>
      </c>
      <c r="O3777" s="3" t="s">
        <v>3890</v>
      </c>
      <c r="P3777" s="3" t="s">
        <v>36</v>
      </c>
      <c r="Q3777" s="3"/>
      <c r="R3777" s="4">
        <v>45996</v>
      </c>
      <c r="S3777" s="3" t="s">
        <v>37</v>
      </c>
      <c r="T3777" s="3" t="s">
        <v>38</v>
      </c>
      <c r="U3777" s="3" t="s">
        <v>39</v>
      </c>
      <c r="V3777" s="3">
        <v>596.47</v>
      </c>
      <c r="W3777" s="3">
        <v>253.5</v>
      </c>
      <c r="X3777" s="3">
        <v>240.08</v>
      </c>
      <c r="Y3777" s="3">
        <v>102.89</v>
      </c>
    </row>
    <row r="3778" spans="1:25" ht="36.75" x14ac:dyDescent="0.25">
      <c r="A3778" s="3" t="s">
        <v>26</v>
      </c>
      <c r="B3778" s="3" t="s">
        <v>27</v>
      </c>
      <c r="C3778" s="3" t="s">
        <v>28</v>
      </c>
      <c r="D3778" s="3" t="s">
        <v>29</v>
      </c>
      <c r="E3778" s="3" t="s">
        <v>208</v>
      </c>
      <c r="F3778" s="3" t="s">
        <v>31</v>
      </c>
      <c r="G3778" s="3" t="s">
        <v>208</v>
      </c>
      <c r="H3778" s="3" t="s">
        <v>45</v>
      </c>
      <c r="I3778" s="3">
        <v>2025</v>
      </c>
      <c r="J3778" s="3" t="str">
        <f>CONCATENATE("54820215330")</f>
        <v>54820215330</v>
      </c>
      <c r="K3778" s="3" t="s">
        <v>33</v>
      </c>
      <c r="L3778" s="3"/>
      <c r="M3778" s="3" t="s">
        <v>131</v>
      </c>
      <c r="N3778" s="3" t="str">
        <f>CONCATENATE("01237630411")</f>
        <v>01237630411</v>
      </c>
      <c r="O3778" s="3" t="s">
        <v>3891</v>
      </c>
      <c r="P3778" s="3" t="s">
        <v>36</v>
      </c>
      <c r="Q3778" s="3"/>
      <c r="R3778" s="4">
        <v>45996</v>
      </c>
      <c r="S3778" s="3" t="s">
        <v>37</v>
      </c>
      <c r="T3778" s="3" t="s">
        <v>38</v>
      </c>
      <c r="U3778" s="3" t="s">
        <v>39</v>
      </c>
      <c r="V3778" s="3">
        <v>427.21</v>
      </c>
      <c r="W3778" s="3">
        <v>181.56</v>
      </c>
      <c r="X3778" s="3">
        <v>171.95</v>
      </c>
      <c r="Y3778" s="3">
        <v>73.7</v>
      </c>
    </row>
    <row r="3779" spans="1:25" ht="60.75" x14ac:dyDescent="0.25">
      <c r="A3779" s="3" t="s">
        <v>26</v>
      </c>
      <c r="B3779" s="3" t="s">
        <v>27</v>
      </c>
      <c r="C3779" s="3" t="s">
        <v>28</v>
      </c>
      <c r="D3779" s="3" t="s">
        <v>50</v>
      </c>
      <c r="E3779" s="3" t="s">
        <v>147</v>
      </c>
      <c r="F3779" s="3" t="s">
        <v>52</v>
      </c>
      <c r="G3779" s="3" t="s">
        <v>147</v>
      </c>
      <c r="H3779" s="3" t="s">
        <v>45</v>
      </c>
      <c r="I3779" s="3">
        <v>2025</v>
      </c>
      <c r="J3779" s="3" t="str">
        <f>CONCATENATE("54820149869")</f>
        <v>54820149869</v>
      </c>
      <c r="K3779" s="3" t="s">
        <v>33</v>
      </c>
      <c r="L3779" s="3"/>
      <c r="M3779" s="3" t="s">
        <v>131</v>
      </c>
      <c r="N3779" s="3" t="str">
        <f>CONCATENATE("PCCRND56B08L500J")</f>
        <v>PCCRND56B08L500J</v>
      </c>
      <c r="O3779" s="3" t="s">
        <v>3892</v>
      </c>
      <c r="P3779" s="3" t="s">
        <v>36</v>
      </c>
      <c r="Q3779" s="3"/>
      <c r="R3779" s="4">
        <v>45996</v>
      </c>
      <c r="S3779" s="3" t="s">
        <v>37</v>
      </c>
      <c r="T3779" s="3" t="s">
        <v>38</v>
      </c>
      <c r="U3779" s="3" t="s">
        <v>39</v>
      </c>
      <c r="V3779" s="3">
        <v>153.52000000000001</v>
      </c>
      <c r="W3779" s="3">
        <v>65.25</v>
      </c>
      <c r="X3779" s="3">
        <v>61.79</v>
      </c>
      <c r="Y3779" s="3">
        <v>26.48</v>
      </c>
    </row>
    <row r="3780" spans="1:25" ht="60.75" x14ac:dyDescent="0.25">
      <c r="A3780" s="3" t="s">
        <v>26</v>
      </c>
      <c r="B3780" s="3" t="s">
        <v>27</v>
      </c>
      <c r="C3780" s="3" t="s">
        <v>28</v>
      </c>
      <c r="D3780" s="3" t="s">
        <v>104</v>
      </c>
      <c r="E3780" s="3" t="s">
        <v>141</v>
      </c>
      <c r="F3780" s="3" t="s">
        <v>104</v>
      </c>
      <c r="G3780" s="3" t="s">
        <v>141</v>
      </c>
      <c r="H3780" s="3" t="s">
        <v>96</v>
      </c>
      <c r="I3780" s="3">
        <v>2025</v>
      </c>
      <c r="J3780" s="3" t="str">
        <f>CONCATENATE("54820135918")</f>
        <v>54820135918</v>
      </c>
      <c r="K3780" s="3" t="s">
        <v>33</v>
      </c>
      <c r="L3780" s="3"/>
      <c r="M3780" s="3" t="s">
        <v>131</v>
      </c>
      <c r="N3780" s="3" t="str">
        <f>CONCATENATE("CPPFRN38D20A252L")</f>
        <v>CPPFRN38D20A252L</v>
      </c>
      <c r="O3780" s="3" t="s">
        <v>3893</v>
      </c>
      <c r="P3780" s="3" t="s">
        <v>36</v>
      </c>
      <c r="Q3780" s="3"/>
      <c r="R3780" s="4">
        <v>45996</v>
      </c>
      <c r="S3780" s="3" t="s">
        <v>37</v>
      </c>
      <c r="T3780" s="3" t="s">
        <v>38</v>
      </c>
      <c r="U3780" s="3" t="s">
        <v>39</v>
      </c>
      <c r="V3780" s="3">
        <v>135.31</v>
      </c>
      <c r="W3780" s="3">
        <v>57.51</v>
      </c>
      <c r="X3780" s="3">
        <v>54.46</v>
      </c>
      <c r="Y3780" s="3">
        <v>23.34</v>
      </c>
    </row>
    <row r="3781" spans="1:25" ht="60.75" x14ac:dyDescent="0.25">
      <c r="A3781" s="3" t="s">
        <v>26</v>
      </c>
      <c r="B3781" s="3" t="s">
        <v>27</v>
      </c>
      <c r="C3781" s="3" t="s">
        <v>28</v>
      </c>
      <c r="D3781" s="3" t="s">
        <v>50</v>
      </c>
      <c r="E3781" s="3" t="s">
        <v>147</v>
      </c>
      <c r="F3781" s="3" t="s">
        <v>52</v>
      </c>
      <c r="G3781" s="3" t="s">
        <v>147</v>
      </c>
      <c r="H3781" s="3" t="s">
        <v>45</v>
      </c>
      <c r="I3781" s="3">
        <v>2025</v>
      </c>
      <c r="J3781" s="3" t="str">
        <f>CONCATENATE("54820161146")</f>
        <v>54820161146</v>
      </c>
      <c r="K3781" s="3" t="s">
        <v>33</v>
      </c>
      <c r="L3781" s="3"/>
      <c r="M3781" s="3" t="s">
        <v>131</v>
      </c>
      <c r="N3781" s="3" t="str">
        <f>CONCATENATE("RSSNRS60S57L498S")</f>
        <v>RSSNRS60S57L498S</v>
      </c>
      <c r="O3781" s="3" t="s">
        <v>3894</v>
      </c>
      <c r="P3781" s="3" t="s">
        <v>36</v>
      </c>
      <c r="Q3781" s="3"/>
      <c r="R3781" s="4">
        <v>45996</v>
      </c>
      <c r="S3781" s="3" t="s">
        <v>37</v>
      </c>
      <c r="T3781" s="3" t="s">
        <v>38</v>
      </c>
      <c r="U3781" s="3" t="s">
        <v>39</v>
      </c>
      <c r="V3781" s="3">
        <v>135.25</v>
      </c>
      <c r="W3781" s="3">
        <v>57.48</v>
      </c>
      <c r="X3781" s="3">
        <v>54.44</v>
      </c>
      <c r="Y3781" s="3">
        <v>23.33</v>
      </c>
    </row>
    <row r="3782" spans="1:25" ht="60.75" x14ac:dyDescent="0.25">
      <c r="A3782" s="3" t="s">
        <v>26</v>
      </c>
      <c r="B3782" s="3" t="s">
        <v>27</v>
      </c>
      <c r="C3782" s="3" t="s">
        <v>28</v>
      </c>
      <c r="D3782" s="3" t="s">
        <v>29</v>
      </c>
      <c r="E3782" s="3" t="s">
        <v>47</v>
      </c>
      <c r="F3782" s="3" t="s">
        <v>31</v>
      </c>
      <c r="G3782" s="3" t="s">
        <v>47</v>
      </c>
      <c r="H3782" s="3" t="s">
        <v>48</v>
      </c>
      <c r="I3782" s="3">
        <v>2025</v>
      </c>
      <c r="J3782" s="3" t="str">
        <f>CONCATENATE("54820210935")</f>
        <v>54820210935</v>
      </c>
      <c r="K3782" s="3" t="s">
        <v>33</v>
      </c>
      <c r="L3782" s="3"/>
      <c r="M3782" s="3" t="s">
        <v>131</v>
      </c>
      <c r="N3782" s="3" t="str">
        <f>CONCATENATE("CLLPMR66D18D451F")</f>
        <v>CLLPMR66D18D451F</v>
      </c>
      <c r="O3782" s="3" t="s">
        <v>3895</v>
      </c>
      <c r="P3782" s="3" t="s">
        <v>36</v>
      </c>
      <c r="Q3782" s="3"/>
      <c r="R3782" s="4">
        <v>45996</v>
      </c>
      <c r="S3782" s="3" t="s">
        <v>37</v>
      </c>
      <c r="T3782" s="3" t="s">
        <v>38</v>
      </c>
      <c r="U3782" s="3" t="s">
        <v>39</v>
      </c>
      <c r="V3782" s="3">
        <v>133.94999999999999</v>
      </c>
      <c r="W3782" s="3">
        <v>56.93</v>
      </c>
      <c r="X3782" s="3">
        <v>53.91</v>
      </c>
      <c r="Y3782" s="3">
        <v>23.11</v>
      </c>
    </row>
    <row r="3783" spans="1:25" ht="60.75" x14ac:dyDescent="0.25">
      <c r="A3783" s="3" t="s">
        <v>26</v>
      </c>
      <c r="B3783" s="3" t="s">
        <v>27</v>
      </c>
      <c r="C3783" s="3" t="s">
        <v>28</v>
      </c>
      <c r="D3783" s="3" t="s">
        <v>29</v>
      </c>
      <c r="E3783" s="3" t="s">
        <v>47</v>
      </c>
      <c r="F3783" s="3" t="s">
        <v>31</v>
      </c>
      <c r="G3783" s="3" t="s">
        <v>47</v>
      </c>
      <c r="H3783" s="3" t="s">
        <v>48</v>
      </c>
      <c r="I3783" s="3">
        <v>2025</v>
      </c>
      <c r="J3783" s="3" t="str">
        <f>CONCATENATE("54820184445")</f>
        <v>54820184445</v>
      </c>
      <c r="K3783" s="3" t="s">
        <v>33</v>
      </c>
      <c r="L3783" s="3"/>
      <c r="M3783" s="3" t="s">
        <v>131</v>
      </c>
      <c r="N3783" s="3" t="str">
        <f>CONCATENATE("ZMPLCU75E01D451S")</f>
        <v>ZMPLCU75E01D451S</v>
      </c>
      <c r="O3783" s="3" t="s">
        <v>3896</v>
      </c>
      <c r="P3783" s="3" t="s">
        <v>36</v>
      </c>
      <c r="Q3783" s="3"/>
      <c r="R3783" s="4">
        <v>45996</v>
      </c>
      <c r="S3783" s="3" t="s">
        <v>37</v>
      </c>
      <c r="T3783" s="3" t="s">
        <v>38</v>
      </c>
      <c r="U3783" s="3" t="s">
        <v>39</v>
      </c>
      <c r="V3783" s="3">
        <v>152.38999999999999</v>
      </c>
      <c r="W3783" s="3">
        <v>64.77</v>
      </c>
      <c r="X3783" s="3">
        <v>61.34</v>
      </c>
      <c r="Y3783" s="3">
        <v>26.28</v>
      </c>
    </row>
    <row r="3784" spans="1:25" ht="36.75" x14ac:dyDescent="0.25">
      <c r="A3784" s="3" t="s">
        <v>26</v>
      </c>
      <c r="B3784" s="3" t="s">
        <v>27</v>
      </c>
      <c r="C3784" s="3" t="s">
        <v>28</v>
      </c>
      <c r="D3784" s="3" t="s">
        <v>50</v>
      </c>
      <c r="E3784" s="3" t="s">
        <v>60</v>
      </c>
      <c r="F3784" s="3" t="s">
        <v>52</v>
      </c>
      <c r="G3784" s="3" t="s">
        <v>60</v>
      </c>
      <c r="H3784" s="3" t="s">
        <v>45</v>
      </c>
      <c r="I3784" s="3">
        <v>2025</v>
      </c>
      <c r="J3784" s="3" t="str">
        <f>CONCATENATE("54820163407")</f>
        <v>54820163407</v>
      </c>
      <c r="K3784" s="3" t="s">
        <v>33</v>
      </c>
      <c r="L3784" s="3"/>
      <c r="M3784" s="3" t="s">
        <v>131</v>
      </c>
      <c r="N3784" s="3" t="str">
        <f>CONCATENATE("02689200414")</f>
        <v>02689200414</v>
      </c>
      <c r="O3784" s="3" t="s">
        <v>3897</v>
      </c>
      <c r="P3784" s="3" t="s">
        <v>36</v>
      </c>
      <c r="Q3784" s="3"/>
      <c r="R3784" s="4">
        <v>45996</v>
      </c>
      <c r="S3784" s="3" t="s">
        <v>37</v>
      </c>
      <c r="T3784" s="3" t="s">
        <v>38</v>
      </c>
      <c r="U3784" s="3" t="s">
        <v>39</v>
      </c>
      <c r="V3784" s="3">
        <v>96.94</v>
      </c>
      <c r="W3784" s="3">
        <v>41.2</v>
      </c>
      <c r="X3784" s="3">
        <v>39.020000000000003</v>
      </c>
      <c r="Y3784" s="3">
        <v>16.72</v>
      </c>
    </row>
    <row r="3785" spans="1:25" ht="60.75" x14ac:dyDescent="0.25">
      <c r="A3785" s="3" t="s">
        <v>26</v>
      </c>
      <c r="B3785" s="3" t="s">
        <v>27</v>
      </c>
      <c r="C3785" s="3" t="s">
        <v>28</v>
      </c>
      <c r="D3785" s="3" t="s">
        <v>29</v>
      </c>
      <c r="E3785" s="3" t="s">
        <v>228</v>
      </c>
      <c r="F3785" s="3" t="s">
        <v>31</v>
      </c>
      <c r="G3785" s="3" t="s">
        <v>228</v>
      </c>
      <c r="H3785" s="3" t="s">
        <v>45</v>
      </c>
      <c r="I3785" s="3">
        <v>2025</v>
      </c>
      <c r="J3785" s="3" t="str">
        <f>CONCATENATE("54820160841")</f>
        <v>54820160841</v>
      </c>
      <c r="K3785" s="3" t="s">
        <v>33</v>
      </c>
      <c r="L3785" s="3"/>
      <c r="M3785" s="3" t="s">
        <v>131</v>
      </c>
      <c r="N3785" s="3" t="str">
        <f>CONCATENATE("MCHSNT67C42Z120C")</f>
        <v>MCHSNT67C42Z120C</v>
      </c>
      <c r="O3785" s="3" t="s">
        <v>3898</v>
      </c>
      <c r="P3785" s="3" t="s">
        <v>36</v>
      </c>
      <c r="Q3785" s="3"/>
      <c r="R3785" s="4">
        <v>45996</v>
      </c>
      <c r="S3785" s="3" t="s">
        <v>37</v>
      </c>
      <c r="T3785" s="3" t="s">
        <v>38</v>
      </c>
      <c r="U3785" s="3" t="s">
        <v>39</v>
      </c>
      <c r="V3785" s="3">
        <v>440.65</v>
      </c>
      <c r="W3785" s="3">
        <v>187.28</v>
      </c>
      <c r="X3785" s="3">
        <v>177.36</v>
      </c>
      <c r="Y3785" s="3">
        <v>76.010000000000005</v>
      </c>
    </row>
    <row r="3786" spans="1:25" ht="60.75" x14ac:dyDescent="0.25">
      <c r="A3786" s="3" t="s">
        <v>26</v>
      </c>
      <c r="B3786" s="3" t="s">
        <v>27</v>
      </c>
      <c r="C3786" s="3" t="s">
        <v>28</v>
      </c>
      <c r="D3786" s="3" t="s">
        <v>29</v>
      </c>
      <c r="E3786" s="3" t="s">
        <v>47</v>
      </c>
      <c r="F3786" s="3" t="s">
        <v>31</v>
      </c>
      <c r="G3786" s="3" t="s">
        <v>47</v>
      </c>
      <c r="H3786" s="3" t="s">
        <v>48</v>
      </c>
      <c r="I3786" s="3">
        <v>2025</v>
      </c>
      <c r="J3786" s="3" t="str">
        <f>CONCATENATE("54820203120")</f>
        <v>54820203120</v>
      </c>
      <c r="K3786" s="3" t="s">
        <v>33</v>
      </c>
      <c r="L3786" s="3"/>
      <c r="M3786" s="3" t="s">
        <v>131</v>
      </c>
      <c r="N3786" s="3" t="str">
        <f>CONCATENATE("MLNMCL62D26D451F")</f>
        <v>MLNMCL62D26D451F</v>
      </c>
      <c r="O3786" s="3" t="s">
        <v>3899</v>
      </c>
      <c r="P3786" s="3" t="s">
        <v>36</v>
      </c>
      <c r="Q3786" s="3"/>
      <c r="R3786" s="4">
        <v>45996</v>
      </c>
      <c r="S3786" s="3" t="s">
        <v>37</v>
      </c>
      <c r="T3786" s="3" t="s">
        <v>38</v>
      </c>
      <c r="U3786" s="3" t="s">
        <v>39</v>
      </c>
      <c r="V3786" s="3">
        <v>103.13</v>
      </c>
      <c r="W3786" s="3">
        <v>43.83</v>
      </c>
      <c r="X3786" s="3">
        <v>41.51</v>
      </c>
      <c r="Y3786" s="3">
        <v>17.79</v>
      </c>
    </row>
    <row r="3787" spans="1:25" ht="60.75" x14ac:dyDescent="0.25">
      <c r="A3787" s="3" t="s">
        <v>26</v>
      </c>
      <c r="B3787" s="3" t="s">
        <v>27</v>
      </c>
      <c r="C3787" s="3" t="s">
        <v>28</v>
      </c>
      <c r="D3787" s="3" t="s">
        <v>29</v>
      </c>
      <c r="E3787" s="3" t="s">
        <v>80</v>
      </c>
      <c r="F3787" s="3" t="s">
        <v>31</v>
      </c>
      <c r="G3787" s="3" t="s">
        <v>80</v>
      </c>
      <c r="H3787" s="3" t="s">
        <v>45</v>
      </c>
      <c r="I3787" s="3">
        <v>2025</v>
      </c>
      <c r="J3787" s="3" t="str">
        <f>CONCATENATE("54820167580")</f>
        <v>54820167580</v>
      </c>
      <c r="K3787" s="3" t="s">
        <v>33</v>
      </c>
      <c r="L3787" s="3"/>
      <c r="M3787" s="3" t="s">
        <v>131</v>
      </c>
      <c r="N3787" s="3" t="str">
        <f>CONCATENATE("PSQFRD47C09G453I")</f>
        <v>PSQFRD47C09G453I</v>
      </c>
      <c r="O3787" s="3" t="s">
        <v>3900</v>
      </c>
      <c r="P3787" s="3" t="s">
        <v>36</v>
      </c>
      <c r="Q3787" s="3"/>
      <c r="R3787" s="4">
        <v>45996</v>
      </c>
      <c r="S3787" s="3" t="s">
        <v>37</v>
      </c>
      <c r="T3787" s="3" t="s">
        <v>38</v>
      </c>
      <c r="U3787" s="3" t="s">
        <v>39</v>
      </c>
      <c r="V3787" s="3">
        <v>152.25</v>
      </c>
      <c r="W3787" s="3">
        <v>64.709999999999994</v>
      </c>
      <c r="X3787" s="3">
        <v>61.28</v>
      </c>
      <c r="Y3787" s="3">
        <v>26.26</v>
      </c>
    </row>
    <row r="3788" spans="1:25" ht="60.75" x14ac:dyDescent="0.25">
      <c r="A3788" s="3" t="s">
        <v>26</v>
      </c>
      <c r="B3788" s="3" t="s">
        <v>27</v>
      </c>
      <c r="C3788" s="3" t="s">
        <v>28</v>
      </c>
      <c r="D3788" s="3" t="s">
        <v>50</v>
      </c>
      <c r="E3788" s="3" t="s">
        <v>147</v>
      </c>
      <c r="F3788" s="3" t="s">
        <v>52</v>
      </c>
      <c r="G3788" s="3" t="s">
        <v>147</v>
      </c>
      <c r="H3788" s="3" t="s">
        <v>45</v>
      </c>
      <c r="I3788" s="3">
        <v>2025</v>
      </c>
      <c r="J3788" s="3" t="str">
        <f>CONCATENATE("54820198106")</f>
        <v>54820198106</v>
      </c>
      <c r="K3788" s="3" t="s">
        <v>33</v>
      </c>
      <c r="L3788" s="3"/>
      <c r="M3788" s="3" t="s">
        <v>131</v>
      </c>
      <c r="N3788" s="3" t="str">
        <f>CONCATENATE("SPZCHR90C48A952K")</f>
        <v>SPZCHR90C48A952K</v>
      </c>
      <c r="O3788" s="3" t="s">
        <v>3901</v>
      </c>
      <c r="P3788" s="3" t="s">
        <v>36</v>
      </c>
      <c r="Q3788" s="3"/>
      <c r="R3788" s="4">
        <v>45996</v>
      </c>
      <c r="S3788" s="3" t="s">
        <v>37</v>
      </c>
      <c r="T3788" s="3" t="s">
        <v>38</v>
      </c>
      <c r="U3788" s="3" t="s">
        <v>39</v>
      </c>
      <c r="V3788" s="3">
        <v>75.73</v>
      </c>
      <c r="W3788" s="3">
        <v>32.19</v>
      </c>
      <c r="X3788" s="3">
        <v>30.48</v>
      </c>
      <c r="Y3788" s="3">
        <v>13.06</v>
      </c>
    </row>
    <row r="3789" spans="1:25" ht="72.75" x14ac:dyDescent="0.25">
      <c r="A3789" s="3" t="s">
        <v>26</v>
      </c>
      <c r="B3789" s="3" t="s">
        <v>27</v>
      </c>
      <c r="C3789" s="3" t="s">
        <v>28</v>
      </c>
      <c r="D3789" s="3" t="s">
        <v>91</v>
      </c>
      <c r="E3789" s="3" t="s">
        <v>151</v>
      </c>
      <c r="F3789" s="3" t="s">
        <v>93</v>
      </c>
      <c r="G3789" s="3" t="s">
        <v>151</v>
      </c>
      <c r="H3789" s="3" t="s">
        <v>45</v>
      </c>
      <c r="I3789" s="3">
        <v>2025</v>
      </c>
      <c r="J3789" s="3" t="str">
        <f>CONCATENATE("54820205869")</f>
        <v>54820205869</v>
      </c>
      <c r="K3789" s="3" t="s">
        <v>33</v>
      </c>
      <c r="L3789" s="3"/>
      <c r="M3789" s="3" t="s">
        <v>131</v>
      </c>
      <c r="N3789" s="3" t="str">
        <f>CONCATENATE("DMNGPP50E44G453V")</f>
        <v>DMNGPP50E44G453V</v>
      </c>
      <c r="O3789" s="3" t="s">
        <v>3902</v>
      </c>
      <c r="P3789" s="3" t="s">
        <v>36</v>
      </c>
      <c r="Q3789" s="3"/>
      <c r="R3789" s="4">
        <v>45996</v>
      </c>
      <c r="S3789" s="3" t="s">
        <v>37</v>
      </c>
      <c r="T3789" s="3" t="s">
        <v>38</v>
      </c>
      <c r="U3789" s="3" t="s">
        <v>39</v>
      </c>
      <c r="V3789" s="3">
        <v>177.26</v>
      </c>
      <c r="W3789" s="3">
        <v>75.34</v>
      </c>
      <c r="X3789" s="3">
        <v>71.349999999999994</v>
      </c>
      <c r="Y3789" s="3">
        <v>30.57</v>
      </c>
    </row>
    <row r="3790" spans="1:25" ht="60.75" x14ac:dyDescent="0.25">
      <c r="A3790" s="3" t="s">
        <v>26</v>
      </c>
      <c r="B3790" s="3" t="s">
        <v>27</v>
      </c>
      <c r="C3790" s="3" t="s">
        <v>28</v>
      </c>
      <c r="D3790" s="3" t="s">
        <v>50</v>
      </c>
      <c r="E3790" s="3" t="s">
        <v>252</v>
      </c>
      <c r="F3790" s="3" t="s">
        <v>52</v>
      </c>
      <c r="G3790" s="3" t="s">
        <v>252</v>
      </c>
      <c r="H3790" s="3" t="s">
        <v>45</v>
      </c>
      <c r="I3790" s="3">
        <v>2025</v>
      </c>
      <c r="J3790" s="3" t="str">
        <f>CONCATENATE("54820186283")</f>
        <v>54820186283</v>
      </c>
      <c r="K3790" s="3" t="s">
        <v>33</v>
      </c>
      <c r="L3790" s="3"/>
      <c r="M3790" s="3" t="s">
        <v>131</v>
      </c>
      <c r="N3790" s="3" t="str">
        <f>CONCATENATE("MEICST90C07L500M")</f>
        <v>MEICST90C07L500M</v>
      </c>
      <c r="O3790" s="3" t="s">
        <v>3903</v>
      </c>
      <c r="P3790" s="3" t="s">
        <v>36</v>
      </c>
      <c r="Q3790" s="3"/>
      <c r="R3790" s="4">
        <v>45996</v>
      </c>
      <c r="S3790" s="3" t="s">
        <v>37</v>
      </c>
      <c r="T3790" s="3" t="s">
        <v>38</v>
      </c>
      <c r="U3790" s="3" t="s">
        <v>39</v>
      </c>
      <c r="V3790" s="3">
        <v>565.86</v>
      </c>
      <c r="W3790" s="3">
        <v>240.49</v>
      </c>
      <c r="X3790" s="3">
        <v>227.76</v>
      </c>
      <c r="Y3790" s="3">
        <v>97.61</v>
      </c>
    </row>
    <row r="3791" spans="1:25" ht="60.75" x14ac:dyDescent="0.25">
      <c r="A3791" s="3" t="s">
        <v>26</v>
      </c>
      <c r="B3791" s="3" t="s">
        <v>27</v>
      </c>
      <c r="C3791" s="3" t="s">
        <v>28</v>
      </c>
      <c r="D3791" s="3" t="s">
        <v>50</v>
      </c>
      <c r="E3791" s="3" t="s">
        <v>147</v>
      </c>
      <c r="F3791" s="3" t="s">
        <v>52</v>
      </c>
      <c r="G3791" s="3" t="s">
        <v>147</v>
      </c>
      <c r="H3791" s="3" t="s">
        <v>45</v>
      </c>
      <c r="I3791" s="3">
        <v>2025</v>
      </c>
      <c r="J3791" s="3" t="str">
        <f>CONCATENATE("54820151220")</f>
        <v>54820151220</v>
      </c>
      <c r="K3791" s="3" t="s">
        <v>33</v>
      </c>
      <c r="L3791" s="3"/>
      <c r="M3791" s="3" t="s">
        <v>131</v>
      </c>
      <c r="N3791" s="3" t="str">
        <f>CONCATENATE("PNSMVR68E65Z129K")</f>
        <v>PNSMVR68E65Z129K</v>
      </c>
      <c r="O3791" s="3" t="s">
        <v>3904</v>
      </c>
      <c r="P3791" s="3" t="s">
        <v>36</v>
      </c>
      <c r="Q3791" s="3"/>
      <c r="R3791" s="4">
        <v>45996</v>
      </c>
      <c r="S3791" s="3" t="s">
        <v>37</v>
      </c>
      <c r="T3791" s="3" t="s">
        <v>38</v>
      </c>
      <c r="U3791" s="3" t="s">
        <v>39</v>
      </c>
      <c r="V3791" s="3">
        <v>66.41</v>
      </c>
      <c r="W3791" s="3">
        <v>28.22</v>
      </c>
      <c r="X3791" s="3">
        <v>26.73</v>
      </c>
      <c r="Y3791" s="3">
        <v>11.46</v>
      </c>
    </row>
    <row r="3792" spans="1:25" ht="60.75" x14ac:dyDescent="0.25">
      <c r="A3792" s="3" t="s">
        <v>26</v>
      </c>
      <c r="B3792" s="3" t="s">
        <v>27</v>
      </c>
      <c r="C3792" s="3" t="s">
        <v>28</v>
      </c>
      <c r="D3792" s="3" t="s">
        <v>50</v>
      </c>
      <c r="E3792" s="3" t="s">
        <v>252</v>
      </c>
      <c r="F3792" s="3" t="s">
        <v>52</v>
      </c>
      <c r="G3792" s="3" t="s">
        <v>252</v>
      </c>
      <c r="H3792" s="3" t="s">
        <v>45</v>
      </c>
      <c r="I3792" s="3">
        <v>2025</v>
      </c>
      <c r="J3792" s="3" t="str">
        <f>CONCATENATE("54820211727")</f>
        <v>54820211727</v>
      </c>
      <c r="K3792" s="3" t="s">
        <v>33</v>
      </c>
      <c r="L3792" s="3"/>
      <c r="M3792" s="3" t="s">
        <v>131</v>
      </c>
      <c r="N3792" s="3" t="str">
        <f>CONCATENATE("PRNFRC75T65D749Z")</f>
        <v>PRNFRC75T65D749Z</v>
      </c>
      <c r="O3792" s="3" t="s">
        <v>3905</v>
      </c>
      <c r="P3792" s="3" t="s">
        <v>36</v>
      </c>
      <c r="Q3792" s="3"/>
      <c r="R3792" s="4">
        <v>45996</v>
      </c>
      <c r="S3792" s="3" t="s">
        <v>37</v>
      </c>
      <c r="T3792" s="3" t="s">
        <v>38</v>
      </c>
      <c r="U3792" s="3" t="s">
        <v>39</v>
      </c>
      <c r="V3792" s="3">
        <v>91.71</v>
      </c>
      <c r="W3792" s="3">
        <v>38.979999999999997</v>
      </c>
      <c r="X3792" s="3">
        <v>36.909999999999997</v>
      </c>
      <c r="Y3792" s="3">
        <v>15.82</v>
      </c>
    </row>
    <row r="3793" spans="1:25" ht="36.75" x14ac:dyDescent="0.25">
      <c r="A3793" s="3" t="s">
        <v>26</v>
      </c>
      <c r="B3793" s="3" t="s">
        <v>27</v>
      </c>
      <c r="C3793" s="3" t="s">
        <v>28</v>
      </c>
      <c r="D3793" s="3" t="s">
        <v>29</v>
      </c>
      <c r="E3793" s="3" t="s">
        <v>208</v>
      </c>
      <c r="F3793" s="3" t="s">
        <v>31</v>
      </c>
      <c r="G3793" s="3" t="s">
        <v>208</v>
      </c>
      <c r="H3793" s="3" t="s">
        <v>45</v>
      </c>
      <c r="I3793" s="3">
        <v>2025</v>
      </c>
      <c r="J3793" s="3" t="str">
        <f>CONCATENATE("54820288451")</f>
        <v>54820288451</v>
      </c>
      <c r="K3793" s="3" t="s">
        <v>33</v>
      </c>
      <c r="L3793" s="3"/>
      <c r="M3793" s="3" t="s">
        <v>131</v>
      </c>
      <c r="N3793" s="3" t="str">
        <f>CONCATENATE("01358310413")</f>
        <v>01358310413</v>
      </c>
      <c r="O3793" s="3" t="s">
        <v>3906</v>
      </c>
      <c r="P3793" s="3" t="s">
        <v>36</v>
      </c>
      <c r="Q3793" s="3"/>
      <c r="R3793" s="4">
        <v>45996</v>
      </c>
      <c r="S3793" s="3" t="s">
        <v>37</v>
      </c>
      <c r="T3793" s="3" t="s">
        <v>38</v>
      </c>
      <c r="U3793" s="3" t="s">
        <v>39</v>
      </c>
      <c r="V3793" s="3">
        <v>426.55</v>
      </c>
      <c r="W3793" s="3">
        <v>181.28</v>
      </c>
      <c r="X3793" s="3">
        <v>171.69</v>
      </c>
      <c r="Y3793" s="3">
        <v>73.58</v>
      </c>
    </row>
    <row r="3794" spans="1:25" ht="60.75" x14ac:dyDescent="0.25">
      <c r="A3794" s="3" t="s">
        <v>26</v>
      </c>
      <c r="B3794" s="3" t="s">
        <v>27</v>
      </c>
      <c r="C3794" s="3" t="s">
        <v>28</v>
      </c>
      <c r="D3794" s="3" t="s">
        <v>29</v>
      </c>
      <c r="E3794" s="3" t="s">
        <v>119</v>
      </c>
      <c r="F3794" s="3" t="s">
        <v>31</v>
      </c>
      <c r="G3794" s="3" t="s">
        <v>119</v>
      </c>
      <c r="H3794" s="3" t="s">
        <v>96</v>
      </c>
      <c r="I3794" s="3">
        <v>2025</v>
      </c>
      <c r="J3794" s="3" t="str">
        <f>CONCATENATE("54820145792")</f>
        <v>54820145792</v>
      </c>
      <c r="K3794" s="3" t="s">
        <v>33</v>
      </c>
      <c r="L3794" s="3"/>
      <c r="M3794" s="3" t="s">
        <v>131</v>
      </c>
      <c r="N3794" s="3" t="str">
        <f>CONCATENATE("FDLPTR46B09H588T")</f>
        <v>FDLPTR46B09H588T</v>
      </c>
      <c r="O3794" s="3" t="s">
        <v>3907</v>
      </c>
      <c r="P3794" s="3" t="s">
        <v>36</v>
      </c>
      <c r="Q3794" s="3"/>
      <c r="R3794" s="4">
        <v>45996</v>
      </c>
      <c r="S3794" s="3" t="s">
        <v>37</v>
      </c>
      <c r="T3794" s="3" t="s">
        <v>38</v>
      </c>
      <c r="U3794" s="3" t="s">
        <v>39</v>
      </c>
      <c r="V3794" s="3">
        <v>67.45</v>
      </c>
      <c r="W3794" s="3">
        <v>28.67</v>
      </c>
      <c r="X3794" s="3">
        <v>27.15</v>
      </c>
      <c r="Y3794" s="3">
        <v>11.63</v>
      </c>
    </row>
    <row r="3795" spans="1:25" ht="60.75" x14ac:dyDescent="0.25">
      <c r="A3795" s="3" t="s">
        <v>26</v>
      </c>
      <c r="B3795" s="3" t="s">
        <v>27</v>
      </c>
      <c r="C3795" s="3" t="s">
        <v>28</v>
      </c>
      <c r="D3795" s="3" t="s">
        <v>29</v>
      </c>
      <c r="E3795" s="3" t="s">
        <v>119</v>
      </c>
      <c r="F3795" s="3" t="s">
        <v>31</v>
      </c>
      <c r="G3795" s="3" t="s">
        <v>119</v>
      </c>
      <c r="H3795" s="3" t="s">
        <v>96</v>
      </c>
      <c r="I3795" s="3">
        <v>2025</v>
      </c>
      <c r="J3795" s="3" t="str">
        <f>CONCATENATE("54820148648")</f>
        <v>54820148648</v>
      </c>
      <c r="K3795" s="3" t="s">
        <v>33</v>
      </c>
      <c r="L3795" s="3"/>
      <c r="M3795" s="3" t="s">
        <v>131</v>
      </c>
      <c r="N3795" s="3" t="str">
        <f>CONCATENATE("CCCFNC53A27C935K")</f>
        <v>CCCFNC53A27C935K</v>
      </c>
      <c r="O3795" s="3" t="s">
        <v>3908</v>
      </c>
      <c r="P3795" s="3" t="s">
        <v>36</v>
      </c>
      <c r="Q3795" s="3"/>
      <c r="R3795" s="4">
        <v>45996</v>
      </c>
      <c r="S3795" s="3" t="s">
        <v>37</v>
      </c>
      <c r="T3795" s="3" t="s">
        <v>38</v>
      </c>
      <c r="U3795" s="3" t="s">
        <v>39</v>
      </c>
      <c r="V3795" s="3">
        <v>461.76</v>
      </c>
      <c r="W3795" s="3">
        <v>196.25</v>
      </c>
      <c r="X3795" s="3">
        <v>185.86</v>
      </c>
      <c r="Y3795" s="3">
        <v>79.650000000000006</v>
      </c>
    </row>
    <row r="3796" spans="1:25" ht="36.75" x14ac:dyDescent="0.25">
      <c r="A3796" s="3" t="s">
        <v>26</v>
      </c>
      <c r="B3796" s="3" t="s">
        <v>27</v>
      </c>
      <c r="C3796" s="3" t="s">
        <v>28</v>
      </c>
      <c r="D3796" s="3" t="s">
        <v>50</v>
      </c>
      <c r="E3796" s="3" t="s">
        <v>147</v>
      </c>
      <c r="F3796" s="3" t="s">
        <v>52</v>
      </c>
      <c r="G3796" s="3" t="s">
        <v>147</v>
      </c>
      <c r="H3796" s="3" t="s">
        <v>45</v>
      </c>
      <c r="I3796" s="3">
        <v>2025</v>
      </c>
      <c r="J3796" s="3" t="str">
        <f>CONCATENATE("54820161864")</f>
        <v>54820161864</v>
      </c>
      <c r="K3796" s="3" t="s">
        <v>33</v>
      </c>
      <c r="L3796" s="3"/>
      <c r="M3796" s="3" t="s">
        <v>131</v>
      </c>
      <c r="N3796" s="3" t="str">
        <f>CONCATENATE("02508110414")</f>
        <v>02508110414</v>
      </c>
      <c r="O3796" s="3" t="s">
        <v>3909</v>
      </c>
      <c r="P3796" s="3" t="s">
        <v>36</v>
      </c>
      <c r="Q3796" s="3"/>
      <c r="R3796" s="4">
        <v>45996</v>
      </c>
      <c r="S3796" s="3" t="s">
        <v>37</v>
      </c>
      <c r="T3796" s="3" t="s">
        <v>38</v>
      </c>
      <c r="U3796" s="3" t="s">
        <v>39</v>
      </c>
      <c r="V3796" s="3">
        <v>245.72</v>
      </c>
      <c r="W3796" s="3">
        <v>104.43</v>
      </c>
      <c r="X3796" s="3">
        <v>98.9</v>
      </c>
      <c r="Y3796" s="3">
        <v>42.39</v>
      </c>
    </row>
    <row r="3797" spans="1:25" ht="60.75" x14ac:dyDescent="0.25">
      <c r="A3797" s="3" t="s">
        <v>26</v>
      </c>
      <c r="B3797" s="3" t="s">
        <v>27</v>
      </c>
      <c r="C3797" s="3" t="s">
        <v>28</v>
      </c>
      <c r="D3797" s="3" t="s">
        <v>104</v>
      </c>
      <c r="E3797" s="3" t="s">
        <v>141</v>
      </c>
      <c r="F3797" s="3" t="s">
        <v>104</v>
      </c>
      <c r="G3797" s="3" t="s">
        <v>141</v>
      </c>
      <c r="H3797" s="3" t="s">
        <v>96</v>
      </c>
      <c r="I3797" s="3">
        <v>2025</v>
      </c>
      <c r="J3797" s="3" t="str">
        <f>CONCATENATE("54820137062")</f>
        <v>54820137062</v>
      </c>
      <c r="K3797" s="3" t="s">
        <v>33</v>
      </c>
      <c r="L3797" s="3"/>
      <c r="M3797" s="3" t="s">
        <v>131</v>
      </c>
      <c r="N3797" s="3" t="str">
        <f>CONCATENATE("CCCPQL63P27H769F")</f>
        <v>CCCPQL63P27H769F</v>
      </c>
      <c r="O3797" s="3" t="s">
        <v>3910</v>
      </c>
      <c r="P3797" s="3" t="s">
        <v>36</v>
      </c>
      <c r="Q3797" s="3"/>
      <c r="R3797" s="4">
        <v>45996</v>
      </c>
      <c r="S3797" s="3" t="s">
        <v>37</v>
      </c>
      <c r="T3797" s="3" t="s">
        <v>38</v>
      </c>
      <c r="U3797" s="3" t="s">
        <v>39</v>
      </c>
      <c r="V3797" s="3">
        <v>57.59</v>
      </c>
      <c r="W3797" s="3">
        <v>24.48</v>
      </c>
      <c r="X3797" s="3">
        <v>23.18</v>
      </c>
      <c r="Y3797" s="3">
        <v>9.93</v>
      </c>
    </row>
    <row r="3798" spans="1:25" ht="60.75" x14ac:dyDescent="0.25">
      <c r="A3798" s="3" t="s">
        <v>26</v>
      </c>
      <c r="B3798" s="3" t="s">
        <v>27</v>
      </c>
      <c r="C3798" s="3" t="s">
        <v>28</v>
      </c>
      <c r="D3798" s="3" t="s">
        <v>91</v>
      </c>
      <c r="E3798" s="3" t="s">
        <v>522</v>
      </c>
      <c r="F3798" s="3" t="s">
        <v>93</v>
      </c>
      <c r="G3798" s="3" t="s">
        <v>522</v>
      </c>
      <c r="H3798" s="3" t="s">
        <v>32</v>
      </c>
      <c r="I3798" s="3">
        <v>2025</v>
      </c>
      <c r="J3798" s="3" t="str">
        <f>CONCATENATE("54820201652")</f>
        <v>54820201652</v>
      </c>
      <c r="K3798" s="3" t="s">
        <v>33</v>
      </c>
      <c r="L3798" s="3"/>
      <c r="M3798" s="3" t="s">
        <v>131</v>
      </c>
      <c r="N3798" s="3" t="str">
        <f>CONCATENATE("GNNLSS95T16B474P")</f>
        <v>GNNLSS95T16B474P</v>
      </c>
      <c r="O3798" s="3" t="s">
        <v>3911</v>
      </c>
      <c r="P3798" s="3" t="s">
        <v>36</v>
      </c>
      <c r="Q3798" s="3"/>
      <c r="R3798" s="4">
        <v>45996</v>
      </c>
      <c r="S3798" s="3" t="s">
        <v>37</v>
      </c>
      <c r="T3798" s="3" t="s">
        <v>38</v>
      </c>
      <c r="U3798" s="3" t="s">
        <v>39</v>
      </c>
      <c r="V3798" s="3">
        <v>217.81</v>
      </c>
      <c r="W3798" s="3">
        <v>92.57</v>
      </c>
      <c r="X3798" s="3">
        <v>87.67</v>
      </c>
      <c r="Y3798" s="3">
        <v>37.57</v>
      </c>
    </row>
    <row r="3799" spans="1:25" ht="36.75" x14ac:dyDescent="0.25">
      <c r="A3799" s="3" t="s">
        <v>26</v>
      </c>
      <c r="B3799" s="3" t="s">
        <v>27</v>
      </c>
      <c r="C3799" s="3" t="s">
        <v>28</v>
      </c>
      <c r="D3799" s="3" t="s">
        <v>50</v>
      </c>
      <c r="E3799" s="3" t="s">
        <v>51</v>
      </c>
      <c r="F3799" s="3" t="s">
        <v>52</v>
      </c>
      <c r="G3799" s="3" t="s">
        <v>51</v>
      </c>
      <c r="H3799" s="3" t="s">
        <v>48</v>
      </c>
      <c r="I3799" s="3">
        <v>2025</v>
      </c>
      <c r="J3799" s="3" t="str">
        <f>CONCATENATE("54820163753")</f>
        <v>54820163753</v>
      </c>
      <c r="K3799" s="3" t="s">
        <v>33</v>
      </c>
      <c r="L3799" s="3"/>
      <c r="M3799" s="3" t="s">
        <v>131</v>
      </c>
      <c r="N3799" s="3" t="str">
        <f>CONCATENATE("02031100429")</f>
        <v>02031100429</v>
      </c>
      <c r="O3799" s="3" t="s">
        <v>3912</v>
      </c>
      <c r="P3799" s="3" t="s">
        <v>36</v>
      </c>
      <c r="Q3799" s="3"/>
      <c r="R3799" s="4">
        <v>45996</v>
      </c>
      <c r="S3799" s="3" t="s">
        <v>37</v>
      </c>
      <c r="T3799" s="3" t="s">
        <v>38</v>
      </c>
      <c r="U3799" s="3" t="s">
        <v>39</v>
      </c>
      <c r="V3799" s="3">
        <v>66.010000000000005</v>
      </c>
      <c r="W3799" s="3">
        <v>28.05</v>
      </c>
      <c r="X3799" s="3">
        <v>26.57</v>
      </c>
      <c r="Y3799" s="3">
        <v>11.39</v>
      </c>
    </row>
    <row r="3800" spans="1:25" ht="72.75" x14ac:dyDescent="0.25">
      <c r="A3800" s="3" t="s">
        <v>26</v>
      </c>
      <c r="B3800" s="3" t="s">
        <v>27</v>
      </c>
      <c r="C3800" s="3" t="s">
        <v>28</v>
      </c>
      <c r="D3800" s="3" t="s">
        <v>29</v>
      </c>
      <c r="E3800" s="3" t="s">
        <v>136</v>
      </c>
      <c r="F3800" s="3" t="s">
        <v>31</v>
      </c>
      <c r="G3800" s="3" t="s">
        <v>136</v>
      </c>
      <c r="H3800" s="3" t="s">
        <v>48</v>
      </c>
      <c r="I3800" s="3">
        <v>2025</v>
      </c>
      <c r="J3800" s="3" t="str">
        <f>CONCATENATE("54820184478")</f>
        <v>54820184478</v>
      </c>
      <c r="K3800" s="3" t="s">
        <v>33</v>
      </c>
      <c r="L3800" s="3"/>
      <c r="M3800" s="3" t="s">
        <v>131</v>
      </c>
      <c r="N3800" s="3" t="str">
        <f>CONCATENATE("SBSMRC88M05D488O")</f>
        <v>SBSMRC88M05D488O</v>
      </c>
      <c r="O3800" s="3" t="s">
        <v>3913</v>
      </c>
      <c r="P3800" s="3" t="s">
        <v>36</v>
      </c>
      <c r="Q3800" s="3"/>
      <c r="R3800" s="4">
        <v>45996</v>
      </c>
      <c r="S3800" s="3" t="s">
        <v>37</v>
      </c>
      <c r="T3800" s="3" t="s">
        <v>38</v>
      </c>
      <c r="U3800" s="3" t="s">
        <v>39</v>
      </c>
      <c r="V3800" s="3">
        <v>193.6</v>
      </c>
      <c r="W3800" s="3">
        <v>82.28</v>
      </c>
      <c r="X3800" s="3">
        <v>77.92</v>
      </c>
      <c r="Y3800" s="3">
        <v>33.4</v>
      </c>
    </row>
    <row r="3801" spans="1:25" ht="36.75" x14ac:dyDescent="0.25">
      <c r="A3801" s="3" t="s">
        <v>26</v>
      </c>
      <c r="B3801" s="3" t="s">
        <v>27</v>
      </c>
      <c r="C3801" s="3" t="s">
        <v>28</v>
      </c>
      <c r="D3801" s="3" t="s">
        <v>29</v>
      </c>
      <c r="E3801" s="3" t="s">
        <v>56</v>
      </c>
      <c r="F3801" s="3" t="s">
        <v>31</v>
      </c>
      <c r="G3801" s="3" t="s">
        <v>56</v>
      </c>
      <c r="H3801" s="3" t="s">
        <v>32</v>
      </c>
      <c r="I3801" s="3">
        <v>2025</v>
      </c>
      <c r="J3801" s="3" t="str">
        <f>CONCATENATE("54820213293")</f>
        <v>54820213293</v>
      </c>
      <c r="K3801" s="3" t="s">
        <v>33</v>
      </c>
      <c r="L3801" s="3"/>
      <c r="M3801" s="3" t="s">
        <v>131</v>
      </c>
      <c r="N3801" s="3" t="str">
        <f>CONCATENATE("01141480432")</f>
        <v>01141480432</v>
      </c>
      <c r="O3801" s="3" t="s">
        <v>3914</v>
      </c>
      <c r="P3801" s="3" t="s">
        <v>36</v>
      </c>
      <c r="Q3801" s="3"/>
      <c r="R3801" s="4">
        <v>45996</v>
      </c>
      <c r="S3801" s="3" t="s">
        <v>37</v>
      </c>
      <c r="T3801" s="3" t="s">
        <v>38</v>
      </c>
      <c r="U3801" s="3" t="s">
        <v>39</v>
      </c>
      <c r="V3801" s="3">
        <v>782.73</v>
      </c>
      <c r="W3801" s="3">
        <v>332.66</v>
      </c>
      <c r="X3801" s="3">
        <v>315.05</v>
      </c>
      <c r="Y3801" s="3">
        <v>135.02000000000001</v>
      </c>
    </row>
    <row r="3802" spans="1:25" ht="72.75" x14ac:dyDescent="0.25">
      <c r="A3802" s="3" t="s">
        <v>26</v>
      </c>
      <c r="B3802" s="3" t="s">
        <v>27</v>
      </c>
      <c r="C3802" s="3" t="s">
        <v>28</v>
      </c>
      <c r="D3802" s="3" t="s">
        <v>29</v>
      </c>
      <c r="E3802" s="3" t="s">
        <v>65</v>
      </c>
      <c r="F3802" s="3" t="s">
        <v>31</v>
      </c>
      <c r="G3802" s="3" t="s">
        <v>65</v>
      </c>
      <c r="H3802" s="3" t="s">
        <v>45</v>
      </c>
      <c r="I3802" s="3">
        <v>2025</v>
      </c>
      <c r="J3802" s="3" t="str">
        <f>CONCATENATE("54820238076")</f>
        <v>54820238076</v>
      </c>
      <c r="K3802" s="3" t="s">
        <v>33</v>
      </c>
      <c r="L3802" s="3"/>
      <c r="M3802" s="3" t="s">
        <v>131</v>
      </c>
      <c r="N3802" s="3" t="str">
        <f>CONCATENATE("CLMRND69B10G044Q")</f>
        <v>CLMRND69B10G044Q</v>
      </c>
      <c r="O3802" s="3" t="s">
        <v>3915</v>
      </c>
      <c r="P3802" s="3" t="s">
        <v>36</v>
      </c>
      <c r="Q3802" s="3"/>
      <c r="R3802" s="4">
        <v>45996</v>
      </c>
      <c r="S3802" s="3" t="s">
        <v>37</v>
      </c>
      <c r="T3802" s="3" t="s">
        <v>38</v>
      </c>
      <c r="U3802" s="3" t="s">
        <v>39</v>
      </c>
      <c r="V3802" s="3">
        <v>611.35</v>
      </c>
      <c r="W3802" s="3">
        <v>259.82</v>
      </c>
      <c r="X3802" s="3">
        <v>246.07</v>
      </c>
      <c r="Y3802" s="3">
        <v>105.46</v>
      </c>
    </row>
    <row r="3803" spans="1:25" ht="60.75" x14ac:dyDescent="0.25">
      <c r="A3803" s="3" t="s">
        <v>26</v>
      </c>
      <c r="B3803" s="3" t="s">
        <v>27</v>
      </c>
      <c r="C3803" s="3" t="s">
        <v>28</v>
      </c>
      <c r="D3803" s="3" t="s">
        <v>29</v>
      </c>
      <c r="E3803" s="3" t="s">
        <v>119</v>
      </c>
      <c r="F3803" s="3" t="s">
        <v>31</v>
      </c>
      <c r="G3803" s="3" t="s">
        <v>119</v>
      </c>
      <c r="H3803" s="3" t="s">
        <v>96</v>
      </c>
      <c r="I3803" s="3">
        <v>2025</v>
      </c>
      <c r="J3803" s="3" t="str">
        <f>CONCATENATE("54820008289")</f>
        <v>54820008289</v>
      </c>
      <c r="K3803" s="3" t="s">
        <v>33</v>
      </c>
      <c r="L3803" s="3"/>
      <c r="M3803" s="3" t="s">
        <v>131</v>
      </c>
      <c r="N3803" s="3" t="str">
        <f>CONCATENATE("CTLGLN51S43A252Z")</f>
        <v>CTLGLN51S43A252Z</v>
      </c>
      <c r="O3803" s="3" t="s">
        <v>3916</v>
      </c>
      <c r="P3803" s="3" t="s">
        <v>36</v>
      </c>
      <c r="Q3803" s="3"/>
      <c r="R3803" s="4">
        <v>45996</v>
      </c>
      <c r="S3803" s="3" t="s">
        <v>37</v>
      </c>
      <c r="T3803" s="3" t="s">
        <v>38</v>
      </c>
      <c r="U3803" s="3" t="s">
        <v>39</v>
      </c>
      <c r="V3803" s="3">
        <v>47.5</v>
      </c>
      <c r="W3803" s="3">
        <v>20.190000000000001</v>
      </c>
      <c r="X3803" s="3">
        <v>19.12</v>
      </c>
      <c r="Y3803" s="3">
        <v>8.19</v>
      </c>
    </row>
    <row r="3804" spans="1:25" ht="60.75" x14ac:dyDescent="0.25">
      <c r="A3804" s="3" t="s">
        <v>26</v>
      </c>
      <c r="B3804" s="3" t="s">
        <v>27</v>
      </c>
      <c r="C3804" s="3" t="s">
        <v>28</v>
      </c>
      <c r="D3804" s="3" t="s">
        <v>50</v>
      </c>
      <c r="E3804" s="3" t="s">
        <v>173</v>
      </c>
      <c r="F3804" s="3" t="s">
        <v>52</v>
      </c>
      <c r="G3804" s="3" t="s">
        <v>173</v>
      </c>
      <c r="H3804" s="3" t="s">
        <v>45</v>
      </c>
      <c r="I3804" s="3">
        <v>2025</v>
      </c>
      <c r="J3804" s="3" t="str">
        <f>CONCATENATE("54820036017")</f>
        <v>54820036017</v>
      </c>
      <c r="K3804" s="3" t="s">
        <v>33</v>
      </c>
      <c r="L3804" s="3"/>
      <c r="M3804" s="3" t="s">
        <v>131</v>
      </c>
      <c r="N3804" s="3" t="str">
        <f>CONCATENATE("MRAGPP70D08I459Q")</f>
        <v>MRAGPP70D08I459Q</v>
      </c>
      <c r="O3804" s="3" t="s">
        <v>3917</v>
      </c>
      <c r="P3804" s="3" t="s">
        <v>36</v>
      </c>
      <c r="Q3804" s="3"/>
      <c r="R3804" s="4">
        <v>45996</v>
      </c>
      <c r="S3804" s="3" t="s">
        <v>37</v>
      </c>
      <c r="T3804" s="3" t="s">
        <v>38</v>
      </c>
      <c r="U3804" s="3" t="s">
        <v>39</v>
      </c>
      <c r="V3804" s="3">
        <v>227.88</v>
      </c>
      <c r="W3804" s="3">
        <v>96.85</v>
      </c>
      <c r="X3804" s="3">
        <v>91.72</v>
      </c>
      <c r="Y3804" s="3">
        <v>39.31</v>
      </c>
    </row>
    <row r="3805" spans="1:25" ht="60.75" x14ac:dyDescent="0.25">
      <c r="A3805" s="3" t="s">
        <v>26</v>
      </c>
      <c r="B3805" s="3" t="s">
        <v>27</v>
      </c>
      <c r="C3805" s="3" t="s">
        <v>28</v>
      </c>
      <c r="D3805" s="3" t="s">
        <v>29</v>
      </c>
      <c r="E3805" s="3" t="s">
        <v>119</v>
      </c>
      <c r="F3805" s="3" t="s">
        <v>31</v>
      </c>
      <c r="G3805" s="3" t="s">
        <v>119</v>
      </c>
      <c r="H3805" s="3" t="s">
        <v>96</v>
      </c>
      <c r="I3805" s="3">
        <v>2025</v>
      </c>
      <c r="J3805" s="3" t="str">
        <f>CONCATENATE("54820140058")</f>
        <v>54820140058</v>
      </c>
      <c r="K3805" s="3" t="s">
        <v>33</v>
      </c>
      <c r="L3805" s="3"/>
      <c r="M3805" s="3" t="s">
        <v>131</v>
      </c>
      <c r="N3805" s="3" t="str">
        <f>CONCATENATE("VLLNTN63S09I774B")</f>
        <v>VLLNTN63S09I774B</v>
      </c>
      <c r="O3805" s="3" t="s">
        <v>3918</v>
      </c>
      <c r="P3805" s="3" t="s">
        <v>36</v>
      </c>
      <c r="Q3805" s="3"/>
      <c r="R3805" s="4">
        <v>45996</v>
      </c>
      <c r="S3805" s="3" t="s">
        <v>37</v>
      </c>
      <c r="T3805" s="3" t="s">
        <v>38</v>
      </c>
      <c r="U3805" s="3" t="s">
        <v>39</v>
      </c>
      <c r="V3805" s="3">
        <v>180.35</v>
      </c>
      <c r="W3805" s="3">
        <v>76.650000000000006</v>
      </c>
      <c r="X3805" s="3">
        <v>72.59</v>
      </c>
      <c r="Y3805" s="3">
        <v>31.11</v>
      </c>
    </row>
    <row r="3806" spans="1:25" ht="60.75" x14ac:dyDescent="0.25">
      <c r="A3806" s="3" t="s">
        <v>26</v>
      </c>
      <c r="B3806" s="3" t="s">
        <v>27</v>
      </c>
      <c r="C3806" s="3" t="s">
        <v>28</v>
      </c>
      <c r="D3806" s="3" t="s">
        <v>50</v>
      </c>
      <c r="E3806" s="3" t="s">
        <v>147</v>
      </c>
      <c r="F3806" s="3" t="s">
        <v>52</v>
      </c>
      <c r="G3806" s="3" t="s">
        <v>147</v>
      </c>
      <c r="H3806" s="3" t="s">
        <v>45</v>
      </c>
      <c r="I3806" s="3">
        <v>2025</v>
      </c>
      <c r="J3806" s="3" t="str">
        <f>CONCATENATE("54820201025")</f>
        <v>54820201025</v>
      </c>
      <c r="K3806" s="3" t="s">
        <v>33</v>
      </c>
      <c r="L3806" s="3"/>
      <c r="M3806" s="3" t="s">
        <v>131</v>
      </c>
      <c r="N3806" s="3" t="str">
        <f>CONCATENATE("PLALCU74D12G479Y")</f>
        <v>PLALCU74D12G479Y</v>
      </c>
      <c r="O3806" s="3" t="s">
        <v>3919</v>
      </c>
      <c r="P3806" s="3" t="s">
        <v>36</v>
      </c>
      <c r="Q3806" s="3"/>
      <c r="R3806" s="4">
        <v>45996</v>
      </c>
      <c r="S3806" s="3" t="s">
        <v>37</v>
      </c>
      <c r="T3806" s="3" t="s">
        <v>38</v>
      </c>
      <c r="U3806" s="3" t="s">
        <v>39</v>
      </c>
      <c r="V3806" s="3">
        <v>201.56</v>
      </c>
      <c r="W3806" s="3">
        <v>85.66</v>
      </c>
      <c r="X3806" s="3">
        <v>81.13</v>
      </c>
      <c r="Y3806" s="3">
        <v>34.770000000000003</v>
      </c>
    </row>
    <row r="3807" spans="1:25" ht="60.75" x14ac:dyDescent="0.25">
      <c r="A3807" s="3" t="s">
        <v>26</v>
      </c>
      <c r="B3807" s="3" t="s">
        <v>27</v>
      </c>
      <c r="C3807" s="3" t="s">
        <v>28</v>
      </c>
      <c r="D3807" s="3" t="s">
        <v>29</v>
      </c>
      <c r="E3807" s="3" t="s">
        <v>72</v>
      </c>
      <c r="F3807" s="3" t="s">
        <v>31</v>
      </c>
      <c r="G3807" s="3" t="s">
        <v>72</v>
      </c>
      <c r="H3807" s="3" t="s">
        <v>45</v>
      </c>
      <c r="I3807" s="3">
        <v>2025</v>
      </c>
      <c r="J3807" s="3" t="str">
        <f>CONCATENATE("54820081500")</f>
        <v>54820081500</v>
      </c>
      <c r="K3807" s="3" t="s">
        <v>33</v>
      </c>
      <c r="L3807" s="3"/>
      <c r="M3807" s="3" t="s">
        <v>131</v>
      </c>
      <c r="N3807" s="3" t="str">
        <f>CONCATENATE("CRPGST51S04B352L")</f>
        <v>CRPGST51S04B352L</v>
      </c>
      <c r="O3807" s="3" t="s">
        <v>3920</v>
      </c>
      <c r="P3807" s="3" t="s">
        <v>36</v>
      </c>
      <c r="Q3807" s="3"/>
      <c r="R3807" s="4">
        <v>45996</v>
      </c>
      <c r="S3807" s="3" t="s">
        <v>37</v>
      </c>
      <c r="T3807" s="3" t="s">
        <v>38</v>
      </c>
      <c r="U3807" s="3" t="s">
        <v>39</v>
      </c>
      <c r="V3807" s="3">
        <v>214.33</v>
      </c>
      <c r="W3807" s="3">
        <v>91.09</v>
      </c>
      <c r="X3807" s="3">
        <v>86.27</v>
      </c>
      <c r="Y3807" s="3">
        <v>36.97</v>
      </c>
    </row>
    <row r="3808" spans="1:25" ht="60.75" x14ac:dyDescent="0.25">
      <c r="A3808" s="3" t="s">
        <v>26</v>
      </c>
      <c r="B3808" s="3" t="s">
        <v>27</v>
      </c>
      <c r="C3808" s="3" t="s">
        <v>28</v>
      </c>
      <c r="D3808" s="3" t="s">
        <v>104</v>
      </c>
      <c r="E3808" s="3" t="s">
        <v>691</v>
      </c>
      <c r="F3808" s="3" t="s">
        <v>104</v>
      </c>
      <c r="G3808" s="3" t="s">
        <v>691</v>
      </c>
      <c r="H3808" s="3" t="s">
        <v>48</v>
      </c>
      <c r="I3808" s="3">
        <v>2025</v>
      </c>
      <c r="J3808" s="3" t="str">
        <f>CONCATENATE("54820009550")</f>
        <v>54820009550</v>
      </c>
      <c r="K3808" s="3" t="s">
        <v>33</v>
      </c>
      <c r="L3808" s="3"/>
      <c r="M3808" s="3" t="s">
        <v>131</v>
      </c>
      <c r="N3808" s="3" t="str">
        <f>CONCATENATE("NGLDNL75L20E388B")</f>
        <v>NGLDNL75L20E388B</v>
      </c>
      <c r="O3808" s="3" t="s">
        <v>3921</v>
      </c>
      <c r="P3808" s="3" t="s">
        <v>36</v>
      </c>
      <c r="Q3808" s="3"/>
      <c r="R3808" s="4">
        <v>45996</v>
      </c>
      <c r="S3808" s="3" t="s">
        <v>37</v>
      </c>
      <c r="T3808" s="3" t="s">
        <v>38</v>
      </c>
      <c r="U3808" s="3" t="s">
        <v>39</v>
      </c>
      <c r="V3808" s="3">
        <v>60.54</v>
      </c>
      <c r="W3808" s="3">
        <v>25.73</v>
      </c>
      <c r="X3808" s="3">
        <v>24.37</v>
      </c>
      <c r="Y3808" s="3">
        <v>10.44</v>
      </c>
    </row>
    <row r="3809" spans="1:25" ht="60.75" x14ac:dyDescent="0.25">
      <c r="A3809" s="3" t="s">
        <v>26</v>
      </c>
      <c r="B3809" s="3" t="s">
        <v>27</v>
      </c>
      <c r="C3809" s="3" t="s">
        <v>28</v>
      </c>
      <c r="D3809" s="3" t="s">
        <v>29</v>
      </c>
      <c r="E3809" s="3" t="s">
        <v>228</v>
      </c>
      <c r="F3809" s="3" t="s">
        <v>31</v>
      </c>
      <c r="G3809" s="3" t="s">
        <v>228</v>
      </c>
      <c r="H3809" s="3" t="s">
        <v>45</v>
      </c>
      <c r="I3809" s="3">
        <v>2025</v>
      </c>
      <c r="J3809" s="3" t="str">
        <f>CONCATENATE("54820020243")</f>
        <v>54820020243</v>
      </c>
      <c r="K3809" s="3" t="s">
        <v>33</v>
      </c>
      <c r="L3809" s="3"/>
      <c r="M3809" s="3" t="s">
        <v>131</v>
      </c>
      <c r="N3809" s="3" t="str">
        <f>CONCATENATE("BLDGRL58S01D749R")</f>
        <v>BLDGRL58S01D749R</v>
      </c>
      <c r="O3809" s="3" t="s">
        <v>3922</v>
      </c>
      <c r="P3809" s="3" t="s">
        <v>36</v>
      </c>
      <c r="Q3809" s="3"/>
      <c r="R3809" s="4">
        <v>45996</v>
      </c>
      <c r="S3809" s="3" t="s">
        <v>37</v>
      </c>
      <c r="T3809" s="3" t="s">
        <v>38</v>
      </c>
      <c r="U3809" s="3" t="s">
        <v>39</v>
      </c>
      <c r="V3809" s="3">
        <v>639.07000000000005</v>
      </c>
      <c r="W3809" s="3">
        <v>271.60000000000002</v>
      </c>
      <c r="X3809" s="3">
        <v>257.23</v>
      </c>
      <c r="Y3809" s="3">
        <v>110.24</v>
      </c>
    </row>
    <row r="3810" spans="1:25" ht="72.75" x14ac:dyDescent="0.25">
      <c r="A3810" s="3" t="s">
        <v>26</v>
      </c>
      <c r="B3810" s="3" t="s">
        <v>27</v>
      </c>
      <c r="C3810" s="3" t="s">
        <v>28</v>
      </c>
      <c r="D3810" s="3" t="s">
        <v>29</v>
      </c>
      <c r="E3810" s="3" t="s">
        <v>119</v>
      </c>
      <c r="F3810" s="3" t="s">
        <v>31</v>
      </c>
      <c r="G3810" s="3" t="s">
        <v>119</v>
      </c>
      <c r="H3810" s="3" t="s">
        <v>96</v>
      </c>
      <c r="I3810" s="3">
        <v>2025</v>
      </c>
      <c r="J3810" s="3" t="str">
        <f>CONCATENATE("54820079918")</f>
        <v>54820079918</v>
      </c>
      <c r="K3810" s="3" t="s">
        <v>33</v>
      </c>
      <c r="L3810" s="3"/>
      <c r="M3810" s="3" t="s">
        <v>131</v>
      </c>
      <c r="N3810" s="3" t="str">
        <f>CONCATENATE("FRVNMR53M42A462V")</f>
        <v>FRVNMR53M42A462V</v>
      </c>
      <c r="O3810" s="3" t="s">
        <v>3923</v>
      </c>
      <c r="P3810" s="3" t="s">
        <v>36</v>
      </c>
      <c r="Q3810" s="3"/>
      <c r="R3810" s="4">
        <v>45996</v>
      </c>
      <c r="S3810" s="3" t="s">
        <v>37</v>
      </c>
      <c r="T3810" s="3" t="s">
        <v>38</v>
      </c>
      <c r="U3810" s="3" t="s">
        <v>39</v>
      </c>
      <c r="V3810" s="3">
        <v>69.03</v>
      </c>
      <c r="W3810" s="3">
        <v>29.34</v>
      </c>
      <c r="X3810" s="3">
        <v>27.78</v>
      </c>
      <c r="Y3810" s="3">
        <v>11.91</v>
      </c>
    </row>
    <row r="3811" spans="1:25" ht="60.75" x14ac:dyDescent="0.25">
      <c r="A3811" s="3" t="s">
        <v>26</v>
      </c>
      <c r="B3811" s="3" t="s">
        <v>27</v>
      </c>
      <c r="C3811" s="3" t="s">
        <v>28</v>
      </c>
      <c r="D3811" s="3" t="s">
        <v>29</v>
      </c>
      <c r="E3811" s="3" t="s">
        <v>233</v>
      </c>
      <c r="F3811" s="3" t="s">
        <v>31</v>
      </c>
      <c r="G3811" s="3" t="s">
        <v>233</v>
      </c>
      <c r="H3811" s="3" t="s">
        <v>96</v>
      </c>
      <c r="I3811" s="3">
        <v>2025</v>
      </c>
      <c r="J3811" s="3" t="str">
        <f>CONCATENATE("54820027156")</f>
        <v>54820027156</v>
      </c>
      <c r="K3811" s="3" t="s">
        <v>33</v>
      </c>
      <c r="L3811" s="3"/>
      <c r="M3811" s="3" t="s">
        <v>131</v>
      </c>
      <c r="N3811" s="3" t="str">
        <f>CONCATENATE("BRNVCN53D43L728D")</f>
        <v>BRNVCN53D43L728D</v>
      </c>
      <c r="O3811" s="3" t="s">
        <v>3924</v>
      </c>
      <c r="P3811" s="3" t="s">
        <v>36</v>
      </c>
      <c r="Q3811" s="3"/>
      <c r="R3811" s="4">
        <v>45996</v>
      </c>
      <c r="S3811" s="3" t="s">
        <v>37</v>
      </c>
      <c r="T3811" s="3" t="s">
        <v>38</v>
      </c>
      <c r="U3811" s="3" t="s">
        <v>39</v>
      </c>
      <c r="V3811" s="3">
        <v>104.79</v>
      </c>
      <c r="W3811" s="3">
        <v>44.54</v>
      </c>
      <c r="X3811" s="3">
        <v>42.18</v>
      </c>
      <c r="Y3811" s="3">
        <v>18.07</v>
      </c>
    </row>
    <row r="3812" spans="1:25" ht="72.75" x14ac:dyDescent="0.25">
      <c r="A3812" s="3" t="s">
        <v>26</v>
      </c>
      <c r="B3812" s="3" t="s">
        <v>27</v>
      </c>
      <c r="C3812" s="3" t="s">
        <v>28</v>
      </c>
      <c r="D3812" s="3" t="s">
        <v>29</v>
      </c>
      <c r="E3812" s="3" t="s">
        <v>72</v>
      </c>
      <c r="F3812" s="3" t="s">
        <v>31</v>
      </c>
      <c r="G3812" s="3" t="s">
        <v>72</v>
      </c>
      <c r="H3812" s="3" t="s">
        <v>45</v>
      </c>
      <c r="I3812" s="3">
        <v>2025</v>
      </c>
      <c r="J3812" s="3" t="str">
        <f>CONCATENATE("54820030812")</f>
        <v>54820030812</v>
      </c>
      <c r="K3812" s="3" t="s">
        <v>33</v>
      </c>
      <c r="L3812" s="3"/>
      <c r="M3812" s="3" t="s">
        <v>131</v>
      </c>
      <c r="N3812" s="3" t="str">
        <f>CONCATENATE("GROMSM68R04B352H")</f>
        <v>GROMSM68R04B352H</v>
      </c>
      <c r="O3812" s="3" t="s">
        <v>3925</v>
      </c>
      <c r="P3812" s="3" t="s">
        <v>36</v>
      </c>
      <c r="Q3812" s="3"/>
      <c r="R3812" s="4">
        <v>45996</v>
      </c>
      <c r="S3812" s="3" t="s">
        <v>37</v>
      </c>
      <c r="T3812" s="3" t="s">
        <v>38</v>
      </c>
      <c r="U3812" s="3" t="s">
        <v>39</v>
      </c>
      <c r="V3812" s="3">
        <v>361.98</v>
      </c>
      <c r="W3812" s="3">
        <v>153.84</v>
      </c>
      <c r="X3812" s="3">
        <v>145.69999999999999</v>
      </c>
      <c r="Y3812" s="3">
        <v>62.44</v>
      </c>
    </row>
    <row r="3813" spans="1:25" ht="60.75" x14ac:dyDescent="0.25">
      <c r="A3813" s="3" t="s">
        <v>26</v>
      </c>
      <c r="B3813" s="3" t="s">
        <v>27</v>
      </c>
      <c r="C3813" s="3" t="s">
        <v>28</v>
      </c>
      <c r="D3813" s="3" t="s">
        <v>29</v>
      </c>
      <c r="E3813" s="3" t="s">
        <v>119</v>
      </c>
      <c r="F3813" s="3" t="s">
        <v>31</v>
      </c>
      <c r="G3813" s="3" t="s">
        <v>119</v>
      </c>
      <c r="H3813" s="3" t="s">
        <v>96</v>
      </c>
      <c r="I3813" s="3">
        <v>2025</v>
      </c>
      <c r="J3813" s="3" t="str">
        <f>CONCATENATE("54820039730")</f>
        <v>54820039730</v>
      </c>
      <c r="K3813" s="3" t="s">
        <v>33</v>
      </c>
      <c r="L3813" s="3"/>
      <c r="M3813" s="3" t="s">
        <v>131</v>
      </c>
      <c r="N3813" s="3" t="str">
        <f>CONCATENATE("MRNNCL39L27C935G")</f>
        <v>MRNNCL39L27C935G</v>
      </c>
      <c r="O3813" s="3" t="s">
        <v>3926</v>
      </c>
      <c r="P3813" s="3" t="s">
        <v>36</v>
      </c>
      <c r="Q3813" s="3"/>
      <c r="R3813" s="4">
        <v>45996</v>
      </c>
      <c r="S3813" s="3" t="s">
        <v>37</v>
      </c>
      <c r="T3813" s="3" t="s">
        <v>38</v>
      </c>
      <c r="U3813" s="3" t="s">
        <v>39</v>
      </c>
      <c r="V3813" s="3">
        <v>784.59</v>
      </c>
      <c r="W3813" s="3">
        <v>333.45</v>
      </c>
      <c r="X3813" s="3">
        <v>315.8</v>
      </c>
      <c r="Y3813" s="3">
        <v>135.34</v>
      </c>
    </row>
    <row r="3814" spans="1:25" ht="60.75" x14ac:dyDescent="0.25">
      <c r="A3814" s="3" t="s">
        <v>26</v>
      </c>
      <c r="B3814" s="3" t="s">
        <v>27</v>
      </c>
      <c r="C3814" s="3" t="s">
        <v>28</v>
      </c>
      <c r="D3814" s="3" t="s">
        <v>29</v>
      </c>
      <c r="E3814" s="3" t="s">
        <v>136</v>
      </c>
      <c r="F3814" s="3" t="s">
        <v>31</v>
      </c>
      <c r="G3814" s="3" t="s">
        <v>136</v>
      </c>
      <c r="H3814" s="3" t="s">
        <v>48</v>
      </c>
      <c r="I3814" s="3">
        <v>2025</v>
      </c>
      <c r="J3814" s="3" t="str">
        <f>CONCATENATE("54820070222")</f>
        <v>54820070222</v>
      </c>
      <c r="K3814" s="3" t="s">
        <v>33</v>
      </c>
      <c r="L3814" s="3"/>
      <c r="M3814" s="3" t="s">
        <v>131</v>
      </c>
      <c r="N3814" s="3" t="str">
        <f>CONCATENATE("TTTGNN61H01I461M")</f>
        <v>TTTGNN61H01I461M</v>
      </c>
      <c r="O3814" s="3" t="s">
        <v>3927</v>
      </c>
      <c r="P3814" s="3" t="s">
        <v>36</v>
      </c>
      <c r="Q3814" s="3"/>
      <c r="R3814" s="4">
        <v>45996</v>
      </c>
      <c r="S3814" s="3" t="s">
        <v>37</v>
      </c>
      <c r="T3814" s="3" t="s">
        <v>38</v>
      </c>
      <c r="U3814" s="3" t="s">
        <v>39</v>
      </c>
      <c r="V3814" s="3">
        <v>168.3</v>
      </c>
      <c r="W3814" s="3">
        <v>71.53</v>
      </c>
      <c r="X3814" s="3">
        <v>67.739999999999995</v>
      </c>
      <c r="Y3814" s="3">
        <v>29.03</v>
      </c>
    </row>
    <row r="3815" spans="1:25" ht="60.75" x14ac:dyDescent="0.25">
      <c r="A3815" s="3" t="s">
        <v>26</v>
      </c>
      <c r="B3815" s="3" t="s">
        <v>27</v>
      </c>
      <c r="C3815" s="3" t="s">
        <v>28</v>
      </c>
      <c r="D3815" s="3" t="s">
        <v>29</v>
      </c>
      <c r="E3815" s="3" t="s">
        <v>47</v>
      </c>
      <c r="F3815" s="3" t="s">
        <v>31</v>
      </c>
      <c r="G3815" s="3" t="s">
        <v>47</v>
      </c>
      <c r="H3815" s="3" t="s">
        <v>48</v>
      </c>
      <c r="I3815" s="3">
        <v>2025</v>
      </c>
      <c r="J3815" s="3" t="str">
        <f>CONCATENATE("54820030317")</f>
        <v>54820030317</v>
      </c>
      <c r="K3815" s="3" t="s">
        <v>33</v>
      </c>
      <c r="L3815" s="3"/>
      <c r="M3815" s="3" t="s">
        <v>131</v>
      </c>
      <c r="N3815" s="3" t="str">
        <f>CONCATENATE("BRTLFR46L06A329G")</f>
        <v>BRTLFR46L06A329G</v>
      </c>
      <c r="O3815" s="3" t="s">
        <v>3928</v>
      </c>
      <c r="P3815" s="3" t="s">
        <v>36</v>
      </c>
      <c r="Q3815" s="3"/>
      <c r="R3815" s="4">
        <v>45996</v>
      </c>
      <c r="S3815" s="3" t="s">
        <v>37</v>
      </c>
      <c r="T3815" s="3" t="s">
        <v>38</v>
      </c>
      <c r="U3815" s="3" t="s">
        <v>39</v>
      </c>
      <c r="V3815" s="3">
        <v>157.09</v>
      </c>
      <c r="W3815" s="3">
        <v>66.760000000000005</v>
      </c>
      <c r="X3815" s="3">
        <v>63.23</v>
      </c>
      <c r="Y3815" s="3">
        <v>27.1</v>
      </c>
    </row>
    <row r="3816" spans="1:25" ht="60.75" x14ac:dyDescent="0.25">
      <c r="A3816" s="3" t="s">
        <v>26</v>
      </c>
      <c r="B3816" s="3" t="s">
        <v>27</v>
      </c>
      <c r="C3816" s="3" t="s">
        <v>28</v>
      </c>
      <c r="D3816" s="3" t="s">
        <v>29</v>
      </c>
      <c r="E3816" s="3" t="s">
        <v>136</v>
      </c>
      <c r="F3816" s="3" t="s">
        <v>31</v>
      </c>
      <c r="G3816" s="3" t="s">
        <v>136</v>
      </c>
      <c r="H3816" s="3" t="s">
        <v>48</v>
      </c>
      <c r="I3816" s="3">
        <v>2025</v>
      </c>
      <c r="J3816" s="3" t="str">
        <f>CONCATENATE("54820236856")</f>
        <v>54820236856</v>
      </c>
      <c r="K3816" s="3" t="s">
        <v>33</v>
      </c>
      <c r="L3816" s="3"/>
      <c r="M3816" s="3" t="s">
        <v>131</v>
      </c>
      <c r="N3816" s="3" t="str">
        <f>CONCATENATE("TRNMRC73P05I461C")</f>
        <v>TRNMRC73P05I461C</v>
      </c>
      <c r="O3816" s="3" t="s">
        <v>3929</v>
      </c>
      <c r="P3816" s="3" t="s">
        <v>36</v>
      </c>
      <c r="Q3816" s="3"/>
      <c r="R3816" s="4">
        <v>45996</v>
      </c>
      <c r="S3816" s="3" t="s">
        <v>37</v>
      </c>
      <c r="T3816" s="3" t="s">
        <v>38</v>
      </c>
      <c r="U3816" s="3" t="s">
        <v>39</v>
      </c>
      <c r="V3816" s="3">
        <v>92.84</v>
      </c>
      <c r="W3816" s="3">
        <v>39.46</v>
      </c>
      <c r="X3816" s="3">
        <v>37.369999999999997</v>
      </c>
      <c r="Y3816" s="3">
        <v>16.010000000000002</v>
      </c>
    </row>
    <row r="3817" spans="1:25" ht="72.75" x14ac:dyDescent="0.25">
      <c r="A3817" s="3" t="s">
        <v>26</v>
      </c>
      <c r="B3817" s="3" t="s">
        <v>27</v>
      </c>
      <c r="C3817" s="3" t="s">
        <v>28</v>
      </c>
      <c r="D3817" s="3" t="s">
        <v>50</v>
      </c>
      <c r="E3817" s="3" t="s">
        <v>60</v>
      </c>
      <c r="F3817" s="3" t="s">
        <v>52</v>
      </c>
      <c r="G3817" s="3" t="s">
        <v>60</v>
      </c>
      <c r="H3817" s="3" t="s">
        <v>45</v>
      </c>
      <c r="I3817" s="3">
        <v>2025</v>
      </c>
      <c r="J3817" s="3" t="str">
        <f>CONCATENATE("54820204318")</f>
        <v>54820204318</v>
      </c>
      <c r="K3817" s="3" t="s">
        <v>33</v>
      </c>
      <c r="L3817" s="3"/>
      <c r="M3817" s="3" t="s">
        <v>131</v>
      </c>
      <c r="N3817" s="3" t="str">
        <f>CONCATENATE("MNNSRG55A02H703I")</f>
        <v>MNNSRG55A02H703I</v>
      </c>
      <c r="O3817" s="3" t="s">
        <v>3930</v>
      </c>
      <c r="P3817" s="3" t="s">
        <v>36</v>
      </c>
      <c r="Q3817" s="3"/>
      <c r="R3817" s="4">
        <v>45996</v>
      </c>
      <c r="S3817" s="3" t="s">
        <v>37</v>
      </c>
      <c r="T3817" s="3" t="s">
        <v>38</v>
      </c>
      <c r="U3817" s="3" t="s">
        <v>39</v>
      </c>
      <c r="V3817" s="3">
        <v>118.4</v>
      </c>
      <c r="W3817" s="3">
        <v>50.32</v>
      </c>
      <c r="X3817" s="3">
        <v>47.66</v>
      </c>
      <c r="Y3817" s="3">
        <v>20.420000000000002</v>
      </c>
    </row>
    <row r="3818" spans="1:25" ht="60.75" x14ac:dyDescent="0.25">
      <c r="A3818" s="3" t="s">
        <v>26</v>
      </c>
      <c r="B3818" s="3" t="s">
        <v>27</v>
      </c>
      <c r="C3818" s="3" t="s">
        <v>28</v>
      </c>
      <c r="D3818" s="3" t="s">
        <v>50</v>
      </c>
      <c r="E3818" s="3" t="s">
        <v>60</v>
      </c>
      <c r="F3818" s="3" t="s">
        <v>52</v>
      </c>
      <c r="G3818" s="3" t="s">
        <v>60</v>
      </c>
      <c r="H3818" s="3" t="s">
        <v>45</v>
      </c>
      <c r="I3818" s="3">
        <v>2025</v>
      </c>
      <c r="J3818" s="3" t="str">
        <f>CONCATENATE("54820148911")</f>
        <v>54820148911</v>
      </c>
      <c r="K3818" s="3" t="s">
        <v>33</v>
      </c>
      <c r="L3818" s="3"/>
      <c r="M3818" s="3" t="s">
        <v>131</v>
      </c>
      <c r="N3818" s="3" t="str">
        <f>CONCATENATE("SLCVRD43R20B352X")</f>
        <v>SLCVRD43R20B352X</v>
      </c>
      <c r="O3818" s="3" t="s">
        <v>3931</v>
      </c>
      <c r="P3818" s="3" t="s">
        <v>36</v>
      </c>
      <c r="Q3818" s="3"/>
      <c r="R3818" s="4">
        <v>45996</v>
      </c>
      <c r="S3818" s="3" t="s">
        <v>37</v>
      </c>
      <c r="T3818" s="3" t="s">
        <v>38</v>
      </c>
      <c r="U3818" s="3" t="s">
        <v>39</v>
      </c>
      <c r="V3818" s="3">
        <v>198.27</v>
      </c>
      <c r="W3818" s="3">
        <v>84.26</v>
      </c>
      <c r="X3818" s="3">
        <v>79.8</v>
      </c>
      <c r="Y3818" s="3">
        <v>34.21</v>
      </c>
    </row>
    <row r="3819" spans="1:25" ht="60.75" x14ac:dyDescent="0.25">
      <c r="A3819" s="3" t="s">
        <v>26</v>
      </c>
      <c r="B3819" s="3" t="s">
        <v>27</v>
      </c>
      <c r="C3819" s="3" t="s">
        <v>28</v>
      </c>
      <c r="D3819" s="3" t="s">
        <v>29</v>
      </c>
      <c r="E3819" s="3" t="s">
        <v>136</v>
      </c>
      <c r="F3819" s="3" t="s">
        <v>31</v>
      </c>
      <c r="G3819" s="3" t="s">
        <v>136</v>
      </c>
      <c r="H3819" s="3" t="s">
        <v>48</v>
      </c>
      <c r="I3819" s="3">
        <v>2025</v>
      </c>
      <c r="J3819" s="3" t="str">
        <f>CONCATENATE("54820175120")</f>
        <v>54820175120</v>
      </c>
      <c r="K3819" s="3" t="s">
        <v>33</v>
      </c>
      <c r="L3819" s="3"/>
      <c r="M3819" s="3" t="s">
        <v>131</v>
      </c>
      <c r="N3819" s="3" t="str">
        <f>CONCATENATE("RSSNRE31D02I461C")</f>
        <v>RSSNRE31D02I461C</v>
      </c>
      <c r="O3819" s="3" t="s">
        <v>3932</v>
      </c>
      <c r="P3819" s="3" t="s">
        <v>36</v>
      </c>
      <c r="Q3819" s="3"/>
      <c r="R3819" s="4">
        <v>45996</v>
      </c>
      <c r="S3819" s="3" t="s">
        <v>37</v>
      </c>
      <c r="T3819" s="3" t="s">
        <v>38</v>
      </c>
      <c r="U3819" s="3" t="s">
        <v>39</v>
      </c>
      <c r="V3819" s="3">
        <v>271.52999999999997</v>
      </c>
      <c r="W3819" s="3">
        <v>115.4</v>
      </c>
      <c r="X3819" s="3">
        <v>109.29</v>
      </c>
      <c r="Y3819" s="3">
        <v>46.84</v>
      </c>
    </row>
    <row r="3820" spans="1:25" ht="60.75" x14ac:dyDescent="0.25">
      <c r="A3820" s="3" t="s">
        <v>26</v>
      </c>
      <c r="B3820" s="3" t="s">
        <v>27</v>
      </c>
      <c r="C3820" s="3" t="s">
        <v>28</v>
      </c>
      <c r="D3820" s="3" t="s">
        <v>50</v>
      </c>
      <c r="E3820" s="3" t="s">
        <v>60</v>
      </c>
      <c r="F3820" s="3" t="s">
        <v>52</v>
      </c>
      <c r="G3820" s="3" t="s">
        <v>60</v>
      </c>
      <c r="H3820" s="3" t="s">
        <v>45</v>
      </c>
      <c r="I3820" s="3">
        <v>2025</v>
      </c>
      <c r="J3820" s="3" t="str">
        <f>CONCATENATE("54820209812")</f>
        <v>54820209812</v>
      </c>
      <c r="K3820" s="3" t="s">
        <v>33</v>
      </c>
      <c r="L3820" s="3"/>
      <c r="M3820" s="3" t="s">
        <v>131</v>
      </c>
      <c r="N3820" s="3" t="str">
        <f>CONCATENATE("PGLRSO56M58C352G")</f>
        <v>PGLRSO56M58C352G</v>
      </c>
      <c r="O3820" s="3" t="s">
        <v>3933</v>
      </c>
      <c r="P3820" s="3" t="s">
        <v>36</v>
      </c>
      <c r="Q3820" s="3"/>
      <c r="R3820" s="4">
        <v>45996</v>
      </c>
      <c r="S3820" s="3" t="s">
        <v>37</v>
      </c>
      <c r="T3820" s="3" t="s">
        <v>38</v>
      </c>
      <c r="U3820" s="3" t="s">
        <v>39</v>
      </c>
      <c r="V3820" s="3">
        <v>100.35</v>
      </c>
      <c r="W3820" s="3">
        <v>42.65</v>
      </c>
      <c r="X3820" s="3">
        <v>40.39</v>
      </c>
      <c r="Y3820" s="3">
        <v>17.309999999999999</v>
      </c>
    </row>
    <row r="3821" spans="1:25" ht="60.75" x14ac:dyDescent="0.25">
      <c r="A3821" s="3" t="s">
        <v>26</v>
      </c>
      <c r="B3821" s="3" t="s">
        <v>27</v>
      </c>
      <c r="C3821" s="3" t="s">
        <v>28</v>
      </c>
      <c r="D3821" s="3" t="s">
        <v>29</v>
      </c>
      <c r="E3821" s="3" t="s">
        <v>80</v>
      </c>
      <c r="F3821" s="3" t="s">
        <v>31</v>
      </c>
      <c r="G3821" s="3" t="s">
        <v>80</v>
      </c>
      <c r="H3821" s="3" t="s">
        <v>45</v>
      </c>
      <c r="I3821" s="3">
        <v>2025</v>
      </c>
      <c r="J3821" s="3" t="str">
        <f>CONCATENATE("54820208855")</f>
        <v>54820208855</v>
      </c>
      <c r="K3821" s="3" t="s">
        <v>33</v>
      </c>
      <c r="L3821" s="3"/>
      <c r="M3821" s="3" t="s">
        <v>131</v>
      </c>
      <c r="N3821" s="3" t="str">
        <f>CONCATENATE("VNCMRC91L19D749N")</f>
        <v>VNCMRC91L19D749N</v>
      </c>
      <c r="O3821" s="3" t="s">
        <v>3934</v>
      </c>
      <c r="P3821" s="3" t="s">
        <v>36</v>
      </c>
      <c r="Q3821" s="3"/>
      <c r="R3821" s="4">
        <v>45996</v>
      </c>
      <c r="S3821" s="3" t="s">
        <v>37</v>
      </c>
      <c r="T3821" s="3" t="s">
        <v>38</v>
      </c>
      <c r="U3821" s="3" t="s">
        <v>39</v>
      </c>
      <c r="V3821" s="3">
        <v>874.53</v>
      </c>
      <c r="W3821" s="3">
        <v>371.68</v>
      </c>
      <c r="X3821" s="3">
        <v>352</v>
      </c>
      <c r="Y3821" s="3">
        <v>150.85</v>
      </c>
    </row>
    <row r="3822" spans="1:25" ht="60.75" x14ac:dyDescent="0.25">
      <c r="A3822" s="3" t="s">
        <v>26</v>
      </c>
      <c r="B3822" s="3" t="s">
        <v>27</v>
      </c>
      <c r="C3822" s="3" t="s">
        <v>28</v>
      </c>
      <c r="D3822" s="3" t="s">
        <v>50</v>
      </c>
      <c r="E3822" s="3" t="s">
        <v>60</v>
      </c>
      <c r="F3822" s="3" t="s">
        <v>52</v>
      </c>
      <c r="G3822" s="3" t="s">
        <v>60</v>
      </c>
      <c r="H3822" s="3" t="s">
        <v>45</v>
      </c>
      <c r="I3822" s="3">
        <v>2025</v>
      </c>
      <c r="J3822" s="3" t="str">
        <f>CONCATENATE("54820200308")</f>
        <v>54820200308</v>
      </c>
      <c r="K3822" s="3" t="s">
        <v>33</v>
      </c>
      <c r="L3822" s="3"/>
      <c r="M3822" s="3" t="s">
        <v>131</v>
      </c>
      <c r="N3822" s="3" t="str">
        <f>CONCATENATE("TLVTLL47E08D749C")</f>
        <v>TLVTLL47E08D749C</v>
      </c>
      <c r="O3822" s="3" t="s">
        <v>3935</v>
      </c>
      <c r="P3822" s="3" t="s">
        <v>36</v>
      </c>
      <c r="Q3822" s="3"/>
      <c r="R3822" s="4">
        <v>45996</v>
      </c>
      <c r="S3822" s="3" t="s">
        <v>37</v>
      </c>
      <c r="T3822" s="3" t="s">
        <v>38</v>
      </c>
      <c r="U3822" s="3" t="s">
        <v>39</v>
      </c>
      <c r="V3822" s="3">
        <v>98.69</v>
      </c>
      <c r="W3822" s="3">
        <v>41.94</v>
      </c>
      <c r="X3822" s="3">
        <v>39.72</v>
      </c>
      <c r="Y3822" s="3">
        <v>17.03</v>
      </c>
    </row>
    <row r="3823" spans="1:25" ht="60.75" x14ac:dyDescent="0.25">
      <c r="A3823" s="3" t="s">
        <v>26</v>
      </c>
      <c r="B3823" s="3" t="s">
        <v>27</v>
      </c>
      <c r="C3823" s="3" t="s">
        <v>28</v>
      </c>
      <c r="D3823" s="3" t="s">
        <v>29</v>
      </c>
      <c r="E3823" s="3" t="s">
        <v>47</v>
      </c>
      <c r="F3823" s="3" t="s">
        <v>31</v>
      </c>
      <c r="G3823" s="3" t="s">
        <v>47</v>
      </c>
      <c r="H3823" s="3" t="s">
        <v>48</v>
      </c>
      <c r="I3823" s="3">
        <v>2025</v>
      </c>
      <c r="J3823" s="3" t="str">
        <f>CONCATENATE("54820207188")</f>
        <v>54820207188</v>
      </c>
      <c r="K3823" s="3" t="s">
        <v>33</v>
      </c>
      <c r="L3823" s="3"/>
      <c r="M3823" s="3" t="s">
        <v>131</v>
      </c>
      <c r="N3823" s="3" t="str">
        <f>CONCATENATE("PGLCRL65P18D451Q")</f>
        <v>PGLCRL65P18D451Q</v>
      </c>
      <c r="O3823" s="3" t="s">
        <v>3936</v>
      </c>
      <c r="P3823" s="3" t="s">
        <v>36</v>
      </c>
      <c r="Q3823" s="3"/>
      <c r="R3823" s="4">
        <v>45996</v>
      </c>
      <c r="S3823" s="3" t="s">
        <v>37</v>
      </c>
      <c r="T3823" s="3" t="s">
        <v>38</v>
      </c>
      <c r="U3823" s="3" t="s">
        <v>39</v>
      </c>
      <c r="V3823" s="3">
        <v>136.26</v>
      </c>
      <c r="W3823" s="3">
        <v>57.91</v>
      </c>
      <c r="X3823" s="3">
        <v>54.84</v>
      </c>
      <c r="Y3823" s="3">
        <v>23.51</v>
      </c>
    </row>
    <row r="3824" spans="1:25" ht="60.75" x14ac:dyDescent="0.25">
      <c r="A3824" s="3" t="s">
        <v>26</v>
      </c>
      <c r="B3824" s="3" t="s">
        <v>27</v>
      </c>
      <c r="C3824" s="3" t="s">
        <v>28</v>
      </c>
      <c r="D3824" s="3" t="s">
        <v>50</v>
      </c>
      <c r="E3824" s="3" t="s">
        <v>51</v>
      </c>
      <c r="F3824" s="3" t="s">
        <v>52</v>
      </c>
      <c r="G3824" s="3" t="s">
        <v>51</v>
      </c>
      <c r="H3824" s="3" t="s">
        <v>48</v>
      </c>
      <c r="I3824" s="3">
        <v>2025</v>
      </c>
      <c r="J3824" s="3" t="str">
        <f>CONCATENATE("54820194162")</f>
        <v>54820194162</v>
      </c>
      <c r="K3824" s="3" t="s">
        <v>33</v>
      </c>
      <c r="L3824" s="3"/>
      <c r="M3824" s="3" t="s">
        <v>131</v>
      </c>
      <c r="N3824" s="3" t="str">
        <f>CONCATENATE("GVNGPP59S07A366D")</f>
        <v>GVNGPP59S07A366D</v>
      </c>
      <c r="O3824" s="3" t="s">
        <v>3937</v>
      </c>
      <c r="P3824" s="3" t="s">
        <v>36</v>
      </c>
      <c r="Q3824" s="3"/>
      <c r="R3824" s="4">
        <v>45996</v>
      </c>
      <c r="S3824" s="3" t="s">
        <v>37</v>
      </c>
      <c r="T3824" s="3" t="s">
        <v>38</v>
      </c>
      <c r="U3824" s="3" t="s">
        <v>39</v>
      </c>
      <c r="V3824" s="3">
        <v>209.55</v>
      </c>
      <c r="W3824" s="3">
        <v>89.06</v>
      </c>
      <c r="X3824" s="3">
        <v>84.34</v>
      </c>
      <c r="Y3824" s="3">
        <v>36.15</v>
      </c>
    </row>
    <row r="3825" spans="1:25" ht="60.75" x14ac:dyDescent="0.25">
      <c r="A3825" s="3" t="s">
        <v>26</v>
      </c>
      <c r="B3825" s="3" t="s">
        <v>27</v>
      </c>
      <c r="C3825" s="3" t="s">
        <v>28</v>
      </c>
      <c r="D3825" s="3" t="s">
        <v>3938</v>
      </c>
      <c r="E3825" s="3" t="s">
        <v>3939</v>
      </c>
      <c r="F3825" s="3" t="s">
        <v>31</v>
      </c>
      <c r="G3825" s="3" t="s">
        <v>47</v>
      </c>
      <c r="H3825" s="3" t="s">
        <v>48</v>
      </c>
      <c r="I3825" s="3">
        <v>2025</v>
      </c>
      <c r="J3825" s="3" t="str">
        <f>CONCATENATE("54820073077")</f>
        <v>54820073077</v>
      </c>
      <c r="K3825" s="3" t="s">
        <v>33</v>
      </c>
      <c r="L3825" s="3"/>
      <c r="M3825" s="3" t="s">
        <v>131</v>
      </c>
      <c r="N3825" s="3" t="str">
        <f>CONCATENATE("LCCRTM46T20D965Z")</f>
        <v>LCCRTM46T20D965Z</v>
      </c>
      <c r="O3825" s="3" t="s">
        <v>3940</v>
      </c>
      <c r="P3825" s="3" t="s">
        <v>36</v>
      </c>
      <c r="Q3825" s="3"/>
      <c r="R3825" s="4">
        <v>45996</v>
      </c>
      <c r="S3825" s="3" t="s">
        <v>37</v>
      </c>
      <c r="T3825" s="3" t="s">
        <v>38</v>
      </c>
      <c r="U3825" s="3" t="s">
        <v>39</v>
      </c>
      <c r="V3825" s="3">
        <v>423.46</v>
      </c>
      <c r="W3825" s="3">
        <v>179.97</v>
      </c>
      <c r="X3825" s="3">
        <v>170.44</v>
      </c>
      <c r="Y3825" s="3">
        <v>73.05</v>
      </c>
    </row>
    <row r="3826" spans="1:25" ht="60.75" x14ac:dyDescent="0.25">
      <c r="A3826" s="3" t="s">
        <v>26</v>
      </c>
      <c r="B3826" s="3" t="s">
        <v>27</v>
      </c>
      <c r="C3826" s="3" t="s">
        <v>28</v>
      </c>
      <c r="D3826" s="3" t="s">
        <v>50</v>
      </c>
      <c r="E3826" s="3" t="s">
        <v>60</v>
      </c>
      <c r="F3826" s="3" t="s">
        <v>52</v>
      </c>
      <c r="G3826" s="3" t="s">
        <v>60</v>
      </c>
      <c r="H3826" s="3" t="s">
        <v>48</v>
      </c>
      <c r="I3826" s="3">
        <v>2025</v>
      </c>
      <c r="J3826" s="3" t="str">
        <f>CONCATENATE("54820230602")</f>
        <v>54820230602</v>
      </c>
      <c r="K3826" s="3" t="s">
        <v>33</v>
      </c>
      <c r="L3826" s="3"/>
      <c r="M3826" s="3" t="s">
        <v>131</v>
      </c>
      <c r="N3826" s="3" t="str">
        <f>CONCATENATE("SNNNTN67M21A978S")</f>
        <v>SNNNTN67M21A978S</v>
      </c>
      <c r="O3826" s="3" t="s">
        <v>3941</v>
      </c>
      <c r="P3826" s="3" t="s">
        <v>36</v>
      </c>
      <c r="Q3826" s="3"/>
      <c r="R3826" s="4">
        <v>45996</v>
      </c>
      <c r="S3826" s="3" t="s">
        <v>37</v>
      </c>
      <c r="T3826" s="3" t="s">
        <v>38</v>
      </c>
      <c r="U3826" s="3" t="s">
        <v>39</v>
      </c>
      <c r="V3826" s="3">
        <v>397.7</v>
      </c>
      <c r="W3826" s="3">
        <v>169.02</v>
      </c>
      <c r="X3826" s="3">
        <v>160.07</v>
      </c>
      <c r="Y3826" s="3">
        <v>68.61</v>
      </c>
    </row>
    <row r="3827" spans="1:25" ht="60.75" x14ac:dyDescent="0.25">
      <c r="A3827" s="3" t="s">
        <v>26</v>
      </c>
      <c r="B3827" s="3" t="s">
        <v>27</v>
      </c>
      <c r="C3827" s="3" t="s">
        <v>28</v>
      </c>
      <c r="D3827" s="3" t="s">
        <v>29</v>
      </c>
      <c r="E3827" s="3" t="s">
        <v>136</v>
      </c>
      <c r="F3827" s="3" t="s">
        <v>31</v>
      </c>
      <c r="G3827" s="3" t="s">
        <v>136</v>
      </c>
      <c r="H3827" s="3" t="s">
        <v>48</v>
      </c>
      <c r="I3827" s="3">
        <v>2025</v>
      </c>
      <c r="J3827" s="3" t="str">
        <f>CONCATENATE("54820237664")</f>
        <v>54820237664</v>
      </c>
      <c r="K3827" s="3" t="s">
        <v>33</v>
      </c>
      <c r="L3827" s="3"/>
      <c r="M3827" s="3" t="s">
        <v>131</v>
      </c>
      <c r="N3827" s="3" t="str">
        <f>CONCATENATE("SBSGBR57S13A366M")</f>
        <v>SBSGBR57S13A366M</v>
      </c>
      <c r="O3827" s="3" t="s">
        <v>3942</v>
      </c>
      <c r="P3827" s="3" t="s">
        <v>36</v>
      </c>
      <c r="Q3827" s="3"/>
      <c r="R3827" s="4">
        <v>45996</v>
      </c>
      <c r="S3827" s="3" t="s">
        <v>37</v>
      </c>
      <c r="T3827" s="3" t="s">
        <v>38</v>
      </c>
      <c r="U3827" s="3" t="s">
        <v>39</v>
      </c>
      <c r="V3827" s="3">
        <v>863.76</v>
      </c>
      <c r="W3827" s="3">
        <v>367.1</v>
      </c>
      <c r="X3827" s="3">
        <v>347.66</v>
      </c>
      <c r="Y3827" s="3">
        <v>149</v>
      </c>
    </row>
    <row r="3828" spans="1:25" ht="60.75" x14ac:dyDescent="0.25">
      <c r="A3828" s="3" t="s">
        <v>26</v>
      </c>
      <c r="B3828" s="3" t="s">
        <v>27</v>
      </c>
      <c r="C3828" s="3" t="s">
        <v>28</v>
      </c>
      <c r="D3828" s="3" t="s">
        <v>50</v>
      </c>
      <c r="E3828" s="3" t="s">
        <v>51</v>
      </c>
      <c r="F3828" s="3" t="s">
        <v>52</v>
      </c>
      <c r="G3828" s="3" t="s">
        <v>51</v>
      </c>
      <c r="H3828" s="3" t="s">
        <v>48</v>
      </c>
      <c r="I3828" s="3">
        <v>2025</v>
      </c>
      <c r="J3828" s="3" t="str">
        <f>CONCATENATE("54820204144")</f>
        <v>54820204144</v>
      </c>
      <c r="K3828" s="3" t="s">
        <v>33</v>
      </c>
      <c r="L3828" s="3"/>
      <c r="M3828" s="3" t="s">
        <v>131</v>
      </c>
      <c r="N3828" s="3" t="str">
        <f>CONCATENATE("SLVRSO39D43F051R")</f>
        <v>SLVRSO39D43F051R</v>
      </c>
      <c r="O3828" s="3" t="s">
        <v>3943</v>
      </c>
      <c r="P3828" s="3" t="s">
        <v>36</v>
      </c>
      <c r="Q3828" s="3"/>
      <c r="R3828" s="4">
        <v>45996</v>
      </c>
      <c r="S3828" s="3" t="s">
        <v>37</v>
      </c>
      <c r="T3828" s="3" t="s">
        <v>38</v>
      </c>
      <c r="U3828" s="3" t="s">
        <v>39</v>
      </c>
      <c r="V3828" s="3">
        <v>121.55</v>
      </c>
      <c r="W3828" s="3">
        <v>51.66</v>
      </c>
      <c r="X3828" s="3">
        <v>48.92</v>
      </c>
      <c r="Y3828" s="3">
        <v>20.97</v>
      </c>
    </row>
    <row r="3829" spans="1:25" ht="60.75" x14ac:dyDescent="0.25">
      <c r="A3829" s="3" t="s">
        <v>26</v>
      </c>
      <c r="B3829" s="3" t="s">
        <v>27</v>
      </c>
      <c r="C3829" s="3" t="s">
        <v>28</v>
      </c>
      <c r="D3829" s="3" t="s">
        <v>50</v>
      </c>
      <c r="E3829" s="3" t="s">
        <v>212</v>
      </c>
      <c r="F3829" s="3" t="s">
        <v>52</v>
      </c>
      <c r="G3829" s="3" t="s">
        <v>212</v>
      </c>
      <c r="H3829" s="3" t="s">
        <v>32</v>
      </c>
      <c r="I3829" s="3">
        <v>2025</v>
      </c>
      <c r="J3829" s="3" t="str">
        <f>CONCATENATE("54820102280")</f>
        <v>54820102280</v>
      </c>
      <c r="K3829" s="3" t="s">
        <v>33</v>
      </c>
      <c r="L3829" s="3"/>
      <c r="M3829" s="3" t="s">
        <v>131</v>
      </c>
      <c r="N3829" s="3" t="str">
        <f>CONCATENATE("GNTFNC44B21B562F")</f>
        <v>GNTFNC44B21B562F</v>
      </c>
      <c r="O3829" s="3" t="s">
        <v>3944</v>
      </c>
      <c r="P3829" s="3" t="s">
        <v>36</v>
      </c>
      <c r="Q3829" s="3"/>
      <c r="R3829" s="4">
        <v>45996</v>
      </c>
      <c r="S3829" s="3" t="s">
        <v>37</v>
      </c>
      <c r="T3829" s="3" t="s">
        <v>38</v>
      </c>
      <c r="U3829" s="3" t="s">
        <v>39</v>
      </c>
      <c r="V3829" s="3">
        <v>121.9</v>
      </c>
      <c r="W3829" s="3">
        <v>51.81</v>
      </c>
      <c r="X3829" s="3">
        <v>49.06</v>
      </c>
      <c r="Y3829" s="3">
        <v>21.03</v>
      </c>
    </row>
    <row r="3830" spans="1:25" ht="60.75" x14ac:dyDescent="0.25">
      <c r="A3830" s="3" t="s">
        <v>26</v>
      </c>
      <c r="B3830" s="3" t="s">
        <v>27</v>
      </c>
      <c r="C3830" s="3" t="s">
        <v>28</v>
      </c>
      <c r="D3830" s="3" t="s">
        <v>91</v>
      </c>
      <c r="E3830" s="3" t="s">
        <v>151</v>
      </c>
      <c r="F3830" s="3" t="s">
        <v>93</v>
      </c>
      <c r="G3830" s="3" t="s">
        <v>151</v>
      </c>
      <c r="H3830" s="3" t="s">
        <v>45</v>
      </c>
      <c r="I3830" s="3">
        <v>2025</v>
      </c>
      <c r="J3830" s="3" t="str">
        <f>CONCATENATE("54820286380")</f>
        <v>54820286380</v>
      </c>
      <c r="K3830" s="3" t="s">
        <v>33</v>
      </c>
      <c r="L3830" s="3"/>
      <c r="M3830" s="3" t="s">
        <v>131</v>
      </c>
      <c r="N3830" s="3" t="str">
        <f>CONCATENATE("CSTSDR68E28D488P")</f>
        <v>CSTSDR68E28D488P</v>
      </c>
      <c r="O3830" s="3" t="s">
        <v>3945</v>
      </c>
      <c r="P3830" s="3" t="s">
        <v>36</v>
      </c>
      <c r="Q3830" s="3"/>
      <c r="R3830" s="4">
        <v>45996</v>
      </c>
      <c r="S3830" s="3" t="s">
        <v>37</v>
      </c>
      <c r="T3830" s="3" t="s">
        <v>38</v>
      </c>
      <c r="U3830" s="3" t="s">
        <v>39</v>
      </c>
      <c r="V3830" s="3">
        <v>617.99</v>
      </c>
      <c r="W3830" s="3">
        <v>262.64999999999998</v>
      </c>
      <c r="X3830" s="3">
        <v>248.74</v>
      </c>
      <c r="Y3830" s="3">
        <v>106.6</v>
      </c>
    </row>
    <row r="3831" spans="1:25" ht="60.75" x14ac:dyDescent="0.25">
      <c r="A3831" s="3" t="s">
        <v>26</v>
      </c>
      <c r="B3831" s="3" t="s">
        <v>27</v>
      </c>
      <c r="C3831" s="3" t="s">
        <v>28</v>
      </c>
      <c r="D3831" s="3" t="s">
        <v>104</v>
      </c>
      <c r="E3831" s="3" t="s">
        <v>141</v>
      </c>
      <c r="F3831" s="3" t="s">
        <v>104</v>
      </c>
      <c r="G3831" s="3" t="s">
        <v>141</v>
      </c>
      <c r="H3831" s="3" t="s">
        <v>96</v>
      </c>
      <c r="I3831" s="3">
        <v>2025</v>
      </c>
      <c r="J3831" s="3" t="str">
        <f>CONCATENATE("54820277603")</f>
        <v>54820277603</v>
      </c>
      <c r="K3831" s="3" t="s">
        <v>33</v>
      </c>
      <c r="L3831" s="3"/>
      <c r="M3831" s="3" t="s">
        <v>131</v>
      </c>
      <c r="N3831" s="3" t="str">
        <f>CONCATENATE("DSNRFL63C15F570T")</f>
        <v>DSNRFL63C15F570T</v>
      </c>
      <c r="O3831" s="3" t="s">
        <v>3946</v>
      </c>
      <c r="P3831" s="3" t="s">
        <v>36</v>
      </c>
      <c r="Q3831" s="3"/>
      <c r="R3831" s="4">
        <v>45996</v>
      </c>
      <c r="S3831" s="3" t="s">
        <v>37</v>
      </c>
      <c r="T3831" s="3" t="s">
        <v>38</v>
      </c>
      <c r="U3831" s="3" t="s">
        <v>39</v>
      </c>
      <c r="V3831" s="3">
        <v>147.72999999999999</v>
      </c>
      <c r="W3831" s="3">
        <v>62.79</v>
      </c>
      <c r="X3831" s="3">
        <v>59.46</v>
      </c>
      <c r="Y3831" s="3">
        <v>25.48</v>
      </c>
    </row>
    <row r="3832" spans="1:25" ht="60.75" x14ac:dyDescent="0.25">
      <c r="A3832" s="3" t="s">
        <v>26</v>
      </c>
      <c r="B3832" s="3" t="s">
        <v>27</v>
      </c>
      <c r="C3832" s="3" t="s">
        <v>28</v>
      </c>
      <c r="D3832" s="3" t="s">
        <v>104</v>
      </c>
      <c r="E3832" s="3" t="s">
        <v>141</v>
      </c>
      <c r="F3832" s="3" t="s">
        <v>104</v>
      </c>
      <c r="G3832" s="3" t="s">
        <v>141</v>
      </c>
      <c r="H3832" s="3" t="s">
        <v>96</v>
      </c>
      <c r="I3832" s="3">
        <v>2025</v>
      </c>
      <c r="J3832" s="3" t="str">
        <f>CONCATENATE("54820277629")</f>
        <v>54820277629</v>
      </c>
      <c r="K3832" s="3" t="s">
        <v>33</v>
      </c>
      <c r="L3832" s="3"/>
      <c r="M3832" s="3" t="s">
        <v>131</v>
      </c>
      <c r="N3832" s="3" t="str">
        <f>CONCATENATE("SCMPRI78A28A252V")</f>
        <v>SCMPRI78A28A252V</v>
      </c>
      <c r="O3832" s="3" t="s">
        <v>3947</v>
      </c>
      <c r="P3832" s="3" t="s">
        <v>36</v>
      </c>
      <c r="Q3832" s="3"/>
      <c r="R3832" s="4">
        <v>45996</v>
      </c>
      <c r="S3832" s="3" t="s">
        <v>37</v>
      </c>
      <c r="T3832" s="3" t="s">
        <v>38</v>
      </c>
      <c r="U3832" s="3" t="s">
        <v>39</v>
      </c>
      <c r="V3832" s="3">
        <v>89.94</v>
      </c>
      <c r="W3832" s="3">
        <v>38.22</v>
      </c>
      <c r="X3832" s="3">
        <v>36.200000000000003</v>
      </c>
      <c r="Y3832" s="3">
        <v>15.52</v>
      </c>
    </row>
    <row r="3833" spans="1:25" ht="72.75" x14ac:dyDescent="0.25">
      <c r="A3833" s="3" t="s">
        <v>26</v>
      </c>
      <c r="B3833" s="3" t="s">
        <v>27</v>
      </c>
      <c r="C3833" s="3" t="s">
        <v>28</v>
      </c>
      <c r="D3833" s="3" t="s">
        <v>29</v>
      </c>
      <c r="E3833" s="3" t="s">
        <v>228</v>
      </c>
      <c r="F3833" s="3" t="s">
        <v>31</v>
      </c>
      <c r="G3833" s="3" t="s">
        <v>228</v>
      </c>
      <c r="H3833" s="3" t="s">
        <v>45</v>
      </c>
      <c r="I3833" s="3">
        <v>2025</v>
      </c>
      <c r="J3833" s="3" t="str">
        <f>CONCATENATE("54820062419")</f>
        <v>54820062419</v>
      </c>
      <c r="K3833" s="3" t="s">
        <v>33</v>
      </c>
      <c r="L3833" s="3"/>
      <c r="M3833" s="3" t="s">
        <v>131</v>
      </c>
      <c r="N3833" s="3" t="str">
        <f>CONCATENATE("PVTPGV54M02G479Q")</f>
        <v>PVTPGV54M02G479Q</v>
      </c>
      <c r="O3833" s="3" t="s">
        <v>3948</v>
      </c>
      <c r="P3833" s="3" t="s">
        <v>36</v>
      </c>
      <c r="Q3833" s="3"/>
      <c r="R3833" s="4">
        <v>45996</v>
      </c>
      <c r="S3833" s="3" t="s">
        <v>37</v>
      </c>
      <c r="T3833" s="3" t="s">
        <v>38</v>
      </c>
      <c r="U3833" s="3" t="s">
        <v>39</v>
      </c>
      <c r="V3833" s="3">
        <v>235.72</v>
      </c>
      <c r="W3833" s="3">
        <v>100.18</v>
      </c>
      <c r="X3833" s="3">
        <v>94.88</v>
      </c>
      <c r="Y3833" s="3">
        <v>40.659999999999997</v>
      </c>
    </row>
    <row r="3834" spans="1:25" ht="60.75" x14ac:dyDescent="0.25">
      <c r="A3834" s="3" t="s">
        <v>26</v>
      </c>
      <c r="B3834" s="3" t="s">
        <v>27</v>
      </c>
      <c r="C3834" s="3" t="s">
        <v>28</v>
      </c>
      <c r="D3834" s="3" t="s">
        <v>29</v>
      </c>
      <c r="E3834" s="3" t="s">
        <v>228</v>
      </c>
      <c r="F3834" s="3" t="s">
        <v>31</v>
      </c>
      <c r="G3834" s="3" t="s">
        <v>228</v>
      </c>
      <c r="H3834" s="3" t="s">
        <v>45</v>
      </c>
      <c r="I3834" s="3">
        <v>2025</v>
      </c>
      <c r="J3834" s="3" t="str">
        <f>CONCATENATE("54820027826")</f>
        <v>54820027826</v>
      </c>
      <c r="K3834" s="3" t="s">
        <v>33</v>
      </c>
      <c r="L3834" s="3"/>
      <c r="M3834" s="3" t="s">
        <v>131</v>
      </c>
      <c r="N3834" s="3" t="str">
        <f>CONCATENATE("BRTMRS54R50D749P")</f>
        <v>BRTMRS54R50D749P</v>
      </c>
      <c r="O3834" s="3" t="s">
        <v>3949</v>
      </c>
      <c r="P3834" s="3" t="s">
        <v>36</v>
      </c>
      <c r="Q3834" s="3"/>
      <c r="R3834" s="4">
        <v>45996</v>
      </c>
      <c r="S3834" s="3" t="s">
        <v>37</v>
      </c>
      <c r="T3834" s="3" t="s">
        <v>38</v>
      </c>
      <c r="U3834" s="3" t="s">
        <v>39</v>
      </c>
      <c r="V3834" s="3">
        <v>137.19</v>
      </c>
      <c r="W3834" s="3">
        <v>58.31</v>
      </c>
      <c r="X3834" s="3">
        <v>55.22</v>
      </c>
      <c r="Y3834" s="3">
        <v>23.66</v>
      </c>
    </row>
    <row r="3835" spans="1:25" ht="60.75" x14ac:dyDescent="0.25">
      <c r="A3835" s="3" t="s">
        <v>26</v>
      </c>
      <c r="B3835" s="3" t="s">
        <v>27</v>
      </c>
      <c r="C3835" s="3" t="s">
        <v>28</v>
      </c>
      <c r="D3835" s="3" t="s">
        <v>29</v>
      </c>
      <c r="E3835" s="3" t="s">
        <v>233</v>
      </c>
      <c r="F3835" s="3" t="s">
        <v>31</v>
      </c>
      <c r="G3835" s="3" t="s">
        <v>233</v>
      </c>
      <c r="H3835" s="3" t="s">
        <v>96</v>
      </c>
      <c r="I3835" s="3">
        <v>2025</v>
      </c>
      <c r="J3835" s="3" t="str">
        <f>CONCATENATE("54820031232")</f>
        <v>54820031232</v>
      </c>
      <c r="K3835" s="3" t="s">
        <v>33</v>
      </c>
      <c r="L3835" s="3"/>
      <c r="M3835" s="3" t="s">
        <v>131</v>
      </c>
      <c r="N3835" s="3" t="str">
        <f>CONCATENATE("CTLRZO60C22L728C")</f>
        <v>CTLRZO60C22L728C</v>
      </c>
      <c r="O3835" s="3" t="s">
        <v>3950</v>
      </c>
      <c r="P3835" s="3" t="s">
        <v>36</v>
      </c>
      <c r="Q3835" s="3"/>
      <c r="R3835" s="4">
        <v>45996</v>
      </c>
      <c r="S3835" s="3" t="s">
        <v>37</v>
      </c>
      <c r="T3835" s="3" t="s">
        <v>38</v>
      </c>
      <c r="U3835" s="3" t="s">
        <v>39</v>
      </c>
      <c r="V3835" s="3">
        <v>55.93</v>
      </c>
      <c r="W3835" s="3">
        <v>23.77</v>
      </c>
      <c r="X3835" s="3">
        <v>22.51</v>
      </c>
      <c r="Y3835" s="3">
        <v>9.65</v>
      </c>
    </row>
    <row r="3836" spans="1:25" ht="60.75" x14ac:dyDescent="0.25">
      <c r="A3836" s="3" t="s">
        <v>26</v>
      </c>
      <c r="B3836" s="3" t="s">
        <v>27</v>
      </c>
      <c r="C3836" s="3" t="s">
        <v>28</v>
      </c>
      <c r="D3836" s="3" t="s">
        <v>29</v>
      </c>
      <c r="E3836" s="3" t="s">
        <v>47</v>
      </c>
      <c r="F3836" s="3" t="s">
        <v>31</v>
      </c>
      <c r="G3836" s="3" t="s">
        <v>47</v>
      </c>
      <c r="H3836" s="3" t="s">
        <v>48</v>
      </c>
      <c r="I3836" s="3">
        <v>2025</v>
      </c>
      <c r="J3836" s="3" t="str">
        <f>CONCATENATE("54820042858")</f>
        <v>54820042858</v>
      </c>
      <c r="K3836" s="3" t="s">
        <v>33</v>
      </c>
      <c r="L3836" s="3"/>
      <c r="M3836" s="3" t="s">
        <v>131</v>
      </c>
      <c r="N3836" s="3" t="str">
        <f>CONCATENATE("SMNGPP48C28I653Q")</f>
        <v>SMNGPP48C28I653Q</v>
      </c>
      <c r="O3836" s="3" t="s">
        <v>3951</v>
      </c>
      <c r="P3836" s="3" t="s">
        <v>36</v>
      </c>
      <c r="Q3836" s="3"/>
      <c r="R3836" s="4">
        <v>45996</v>
      </c>
      <c r="S3836" s="3" t="s">
        <v>37</v>
      </c>
      <c r="T3836" s="3" t="s">
        <v>38</v>
      </c>
      <c r="U3836" s="3" t="s">
        <v>39</v>
      </c>
      <c r="V3836" s="3">
        <v>49.93</v>
      </c>
      <c r="W3836" s="3">
        <v>21.22</v>
      </c>
      <c r="X3836" s="3">
        <v>20.100000000000001</v>
      </c>
      <c r="Y3836" s="3">
        <v>8.61</v>
      </c>
    </row>
    <row r="3837" spans="1:25" ht="60.75" x14ac:dyDescent="0.25">
      <c r="A3837" s="3" t="s">
        <v>26</v>
      </c>
      <c r="B3837" s="3" t="s">
        <v>27</v>
      </c>
      <c r="C3837" s="3" t="s">
        <v>28</v>
      </c>
      <c r="D3837" s="3" t="s">
        <v>29</v>
      </c>
      <c r="E3837" s="3" t="s">
        <v>72</v>
      </c>
      <c r="F3837" s="3" t="s">
        <v>31</v>
      </c>
      <c r="G3837" s="3" t="s">
        <v>72</v>
      </c>
      <c r="H3837" s="3" t="s">
        <v>45</v>
      </c>
      <c r="I3837" s="3">
        <v>2025</v>
      </c>
      <c r="J3837" s="3" t="str">
        <f>CONCATENATE("54820073028")</f>
        <v>54820073028</v>
      </c>
      <c r="K3837" s="3" t="s">
        <v>33</v>
      </c>
      <c r="L3837" s="3"/>
      <c r="M3837" s="3" t="s">
        <v>131</v>
      </c>
      <c r="N3837" s="3" t="str">
        <f>CONCATENATE("PRDNSC86A44L500O")</f>
        <v>PRDNSC86A44L500O</v>
      </c>
      <c r="O3837" s="3" t="s">
        <v>3952</v>
      </c>
      <c r="P3837" s="3" t="s">
        <v>36</v>
      </c>
      <c r="Q3837" s="3"/>
      <c r="R3837" s="4">
        <v>45996</v>
      </c>
      <c r="S3837" s="3" t="s">
        <v>37</v>
      </c>
      <c r="T3837" s="3" t="s">
        <v>38</v>
      </c>
      <c r="U3837" s="3" t="s">
        <v>39</v>
      </c>
      <c r="V3837" s="3">
        <v>182.73</v>
      </c>
      <c r="W3837" s="3">
        <v>77.66</v>
      </c>
      <c r="X3837" s="3">
        <v>73.55</v>
      </c>
      <c r="Y3837" s="3">
        <v>31.52</v>
      </c>
    </row>
    <row r="3838" spans="1:25" ht="72.75" x14ac:dyDescent="0.25">
      <c r="A3838" s="3" t="s">
        <v>26</v>
      </c>
      <c r="B3838" s="3" t="s">
        <v>27</v>
      </c>
      <c r="C3838" s="3" t="s">
        <v>28</v>
      </c>
      <c r="D3838" s="3" t="s">
        <v>29</v>
      </c>
      <c r="E3838" s="3" t="s">
        <v>228</v>
      </c>
      <c r="F3838" s="3" t="s">
        <v>31</v>
      </c>
      <c r="G3838" s="3" t="s">
        <v>228</v>
      </c>
      <c r="H3838" s="3" t="s">
        <v>45</v>
      </c>
      <c r="I3838" s="3">
        <v>2025</v>
      </c>
      <c r="J3838" s="3" t="str">
        <f>CONCATENATE("54820056577")</f>
        <v>54820056577</v>
      </c>
      <c r="K3838" s="3" t="s">
        <v>33</v>
      </c>
      <c r="L3838" s="3"/>
      <c r="M3838" s="3" t="s">
        <v>131</v>
      </c>
      <c r="N3838" s="3" t="str">
        <f>CONCATENATE("VGNNNA63B54D749Q")</f>
        <v>VGNNNA63B54D749Q</v>
      </c>
      <c r="O3838" s="3" t="s">
        <v>3953</v>
      </c>
      <c r="P3838" s="3" t="s">
        <v>36</v>
      </c>
      <c r="Q3838" s="3"/>
      <c r="R3838" s="4">
        <v>45996</v>
      </c>
      <c r="S3838" s="3" t="s">
        <v>37</v>
      </c>
      <c r="T3838" s="3" t="s">
        <v>38</v>
      </c>
      <c r="U3838" s="3" t="s">
        <v>39</v>
      </c>
      <c r="V3838" s="3">
        <v>68.64</v>
      </c>
      <c r="W3838" s="3">
        <v>29.17</v>
      </c>
      <c r="X3838" s="3">
        <v>27.63</v>
      </c>
      <c r="Y3838" s="3">
        <v>11.84</v>
      </c>
    </row>
    <row r="3839" spans="1:25" ht="60.75" x14ac:dyDescent="0.25">
      <c r="A3839" s="3" t="s">
        <v>26</v>
      </c>
      <c r="B3839" s="3" t="s">
        <v>27</v>
      </c>
      <c r="C3839" s="3" t="s">
        <v>28</v>
      </c>
      <c r="D3839" s="3" t="s">
        <v>40</v>
      </c>
      <c r="E3839" s="3" t="s">
        <v>287</v>
      </c>
      <c r="F3839" s="3" t="s">
        <v>42</v>
      </c>
      <c r="G3839" s="3" t="s">
        <v>287</v>
      </c>
      <c r="H3839" s="3" t="s">
        <v>32</v>
      </c>
      <c r="I3839" s="3">
        <v>2025</v>
      </c>
      <c r="J3839" s="3" t="str">
        <f>CONCATENATE("54820020516")</f>
        <v>54820020516</v>
      </c>
      <c r="K3839" s="3" t="s">
        <v>33</v>
      </c>
      <c r="L3839" s="3"/>
      <c r="M3839" s="3" t="s">
        <v>131</v>
      </c>
      <c r="N3839" s="3" t="str">
        <f>CONCATENATE("FCCGPP90E17H282N")</f>
        <v>FCCGPP90E17H282N</v>
      </c>
      <c r="O3839" s="3" t="s">
        <v>3954</v>
      </c>
      <c r="P3839" s="3" t="s">
        <v>36</v>
      </c>
      <c r="Q3839" s="3"/>
      <c r="R3839" s="4">
        <v>45996</v>
      </c>
      <c r="S3839" s="3" t="s">
        <v>37</v>
      </c>
      <c r="T3839" s="3" t="s">
        <v>38</v>
      </c>
      <c r="U3839" s="3" t="s">
        <v>39</v>
      </c>
      <c r="V3839" s="3">
        <v>987.58</v>
      </c>
      <c r="W3839" s="3">
        <v>419.72</v>
      </c>
      <c r="X3839" s="3">
        <v>397.5</v>
      </c>
      <c r="Y3839" s="3">
        <v>170.36</v>
      </c>
    </row>
    <row r="3840" spans="1:25" ht="60.75" x14ac:dyDescent="0.25">
      <c r="A3840" s="3" t="s">
        <v>26</v>
      </c>
      <c r="B3840" s="3" t="s">
        <v>27</v>
      </c>
      <c r="C3840" s="3" t="s">
        <v>28</v>
      </c>
      <c r="D3840" s="3" t="s">
        <v>29</v>
      </c>
      <c r="E3840" s="3" t="s">
        <v>136</v>
      </c>
      <c r="F3840" s="3" t="s">
        <v>31</v>
      </c>
      <c r="G3840" s="3" t="s">
        <v>136</v>
      </c>
      <c r="H3840" s="3" t="s">
        <v>48</v>
      </c>
      <c r="I3840" s="3">
        <v>2025</v>
      </c>
      <c r="J3840" s="3" t="str">
        <f>CONCATENATE("54820038583")</f>
        <v>54820038583</v>
      </c>
      <c r="K3840" s="3" t="s">
        <v>33</v>
      </c>
      <c r="L3840" s="3"/>
      <c r="M3840" s="3" t="s">
        <v>131</v>
      </c>
      <c r="N3840" s="3" t="str">
        <f>CONCATENATE("RTGMRS48M44I461V")</f>
        <v>RTGMRS48M44I461V</v>
      </c>
      <c r="O3840" s="3" t="s">
        <v>3955</v>
      </c>
      <c r="P3840" s="3" t="s">
        <v>36</v>
      </c>
      <c r="Q3840" s="3"/>
      <c r="R3840" s="4">
        <v>45996</v>
      </c>
      <c r="S3840" s="3" t="s">
        <v>37</v>
      </c>
      <c r="T3840" s="3" t="s">
        <v>38</v>
      </c>
      <c r="U3840" s="3" t="s">
        <v>39</v>
      </c>
      <c r="V3840" s="3">
        <v>251.76</v>
      </c>
      <c r="W3840" s="3">
        <v>107</v>
      </c>
      <c r="X3840" s="3">
        <v>101.33</v>
      </c>
      <c r="Y3840" s="3">
        <v>43.43</v>
      </c>
    </row>
    <row r="3841" spans="1:25" ht="60.75" x14ac:dyDescent="0.25">
      <c r="A3841" s="3" t="s">
        <v>26</v>
      </c>
      <c r="B3841" s="3" t="s">
        <v>27</v>
      </c>
      <c r="C3841" s="3" t="s">
        <v>28</v>
      </c>
      <c r="D3841" s="3" t="s">
        <v>104</v>
      </c>
      <c r="E3841" s="3" t="s">
        <v>141</v>
      </c>
      <c r="F3841" s="3" t="s">
        <v>104</v>
      </c>
      <c r="G3841" s="3" t="s">
        <v>141</v>
      </c>
      <c r="H3841" s="3" t="s">
        <v>96</v>
      </c>
      <c r="I3841" s="3">
        <v>2025</v>
      </c>
      <c r="J3841" s="3" t="str">
        <f>CONCATENATE("54820047055")</f>
        <v>54820047055</v>
      </c>
      <c r="K3841" s="3" t="s">
        <v>33</v>
      </c>
      <c r="L3841" s="3"/>
      <c r="M3841" s="3" t="s">
        <v>131</v>
      </c>
      <c r="N3841" s="3" t="str">
        <f>CONCATENATE("SCMLSE74P20I436R")</f>
        <v>SCMLSE74P20I436R</v>
      </c>
      <c r="O3841" s="3" t="s">
        <v>3956</v>
      </c>
      <c r="P3841" s="3" t="s">
        <v>36</v>
      </c>
      <c r="Q3841" s="3"/>
      <c r="R3841" s="4">
        <v>45996</v>
      </c>
      <c r="S3841" s="3" t="s">
        <v>37</v>
      </c>
      <c r="T3841" s="3" t="s">
        <v>38</v>
      </c>
      <c r="U3841" s="3" t="s">
        <v>39</v>
      </c>
      <c r="V3841" s="3">
        <v>77.59</v>
      </c>
      <c r="W3841" s="3">
        <v>32.979999999999997</v>
      </c>
      <c r="X3841" s="3">
        <v>31.23</v>
      </c>
      <c r="Y3841" s="3">
        <v>13.38</v>
      </c>
    </row>
    <row r="3842" spans="1:25" ht="60.75" x14ac:dyDescent="0.25">
      <c r="A3842" s="3" t="s">
        <v>26</v>
      </c>
      <c r="B3842" s="3" t="s">
        <v>27</v>
      </c>
      <c r="C3842" s="3" t="s">
        <v>28</v>
      </c>
      <c r="D3842" s="3" t="s">
        <v>29</v>
      </c>
      <c r="E3842" s="3" t="s">
        <v>119</v>
      </c>
      <c r="F3842" s="3" t="s">
        <v>31</v>
      </c>
      <c r="G3842" s="3" t="s">
        <v>119</v>
      </c>
      <c r="H3842" s="3" t="s">
        <v>96</v>
      </c>
      <c r="I3842" s="3">
        <v>2025</v>
      </c>
      <c r="J3842" s="3" t="str">
        <f>CONCATENATE("54820070982")</f>
        <v>54820070982</v>
      </c>
      <c r="K3842" s="3" t="s">
        <v>33</v>
      </c>
      <c r="L3842" s="3"/>
      <c r="M3842" s="3" t="s">
        <v>131</v>
      </c>
      <c r="N3842" s="3" t="str">
        <f>CONCATENATE("CCRMRA62S25D691C")</f>
        <v>CCRMRA62S25D691C</v>
      </c>
      <c r="O3842" s="3" t="s">
        <v>3957</v>
      </c>
      <c r="P3842" s="3" t="s">
        <v>36</v>
      </c>
      <c r="Q3842" s="3"/>
      <c r="R3842" s="4">
        <v>45996</v>
      </c>
      <c r="S3842" s="3" t="s">
        <v>37</v>
      </c>
      <c r="T3842" s="3" t="s">
        <v>38</v>
      </c>
      <c r="U3842" s="3" t="s">
        <v>39</v>
      </c>
      <c r="V3842" s="3">
        <v>214.17</v>
      </c>
      <c r="W3842" s="3">
        <v>91.02</v>
      </c>
      <c r="X3842" s="3">
        <v>86.2</v>
      </c>
      <c r="Y3842" s="3">
        <v>36.950000000000003</v>
      </c>
    </row>
    <row r="3843" spans="1:25" ht="60.75" x14ac:dyDescent="0.25">
      <c r="A3843" s="3" t="s">
        <v>26</v>
      </c>
      <c r="B3843" s="3" t="s">
        <v>27</v>
      </c>
      <c r="C3843" s="3" t="s">
        <v>28</v>
      </c>
      <c r="D3843" s="3" t="s">
        <v>104</v>
      </c>
      <c r="E3843" s="3" t="s">
        <v>691</v>
      </c>
      <c r="F3843" s="3" t="s">
        <v>104</v>
      </c>
      <c r="G3843" s="3" t="s">
        <v>691</v>
      </c>
      <c r="H3843" s="3" t="s">
        <v>48</v>
      </c>
      <c r="I3843" s="3">
        <v>2025</v>
      </c>
      <c r="J3843" s="3" t="str">
        <f>CONCATENATE("54820066972")</f>
        <v>54820066972</v>
      </c>
      <c r="K3843" s="3" t="s">
        <v>33</v>
      </c>
      <c r="L3843" s="3"/>
      <c r="M3843" s="3" t="s">
        <v>131</v>
      </c>
      <c r="N3843" s="3" t="str">
        <f>CONCATENATE("RMGPLA79S64E388P")</f>
        <v>RMGPLA79S64E388P</v>
      </c>
      <c r="O3843" s="3" t="s">
        <v>3958</v>
      </c>
      <c r="P3843" s="3" t="s">
        <v>36</v>
      </c>
      <c r="Q3843" s="3"/>
      <c r="R3843" s="4">
        <v>45996</v>
      </c>
      <c r="S3843" s="3" t="s">
        <v>37</v>
      </c>
      <c r="T3843" s="3" t="s">
        <v>38</v>
      </c>
      <c r="U3843" s="3" t="s">
        <v>39</v>
      </c>
      <c r="V3843" s="3">
        <v>70.45</v>
      </c>
      <c r="W3843" s="3">
        <v>29.94</v>
      </c>
      <c r="X3843" s="3">
        <v>28.36</v>
      </c>
      <c r="Y3843" s="3">
        <v>12.15</v>
      </c>
    </row>
    <row r="3844" spans="1:25" ht="60.75" x14ac:dyDescent="0.25">
      <c r="A3844" s="3" t="s">
        <v>26</v>
      </c>
      <c r="B3844" s="3" t="s">
        <v>27</v>
      </c>
      <c r="C3844" s="3" t="s">
        <v>28</v>
      </c>
      <c r="D3844" s="3" t="s">
        <v>29</v>
      </c>
      <c r="E3844" s="3" t="s">
        <v>119</v>
      </c>
      <c r="F3844" s="3" t="s">
        <v>31</v>
      </c>
      <c r="G3844" s="3" t="s">
        <v>119</v>
      </c>
      <c r="H3844" s="3" t="s">
        <v>96</v>
      </c>
      <c r="I3844" s="3">
        <v>2025</v>
      </c>
      <c r="J3844" s="3" t="str">
        <f>CONCATENATE("54820061114")</f>
        <v>54820061114</v>
      </c>
      <c r="K3844" s="3" t="s">
        <v>33</v>
      </c>
      <c r="L3844" s="3"/>
      <c r="M3844" s="3" t="s">
        <v>131</v>
      </c>
      <c r="N3844" s="3" t="str">
        <f>CONCATENATE("CNLLNZ70T31A462C")</f>
        <v>CNLLNZ70T31A462C</v>
      </c>
      <c r="O3844" s="3" t="s">
        <v>3959</v>
      </c>
      <c r="P3844" s="3" t="s">
        <v>36</v>
      </c>
      <c r="Q3844" s="3"/>
      <c r="R3844" s="4">
        <v>45996</v>
      </c>
      <c r="S3844" s="3" t="s">
        <v>37</v>
      </c>
      <c r="T3844" s="3" t="s">
        <v>38</v>
      </c>
      <c r="U3844" s="3" t="s">
        <v>39</v>
      </c>
      <c r="V3844" s="3">
        <v>290.72000000000003</v>
      </c>
      <c r="W3844" s="3">
        <v>123.56</v>
      </c>
      <c r="X3844" s="3">
        <v>117.01</v>
      </c>
      <c r="Y3844" s="3">
        <v>50.15</v>
      </c>
    </row>
    <row r="3845" spans="1:25" ht="36.75" x14ac:dyDescent="0.25">
      <c r="A3845" s="3" t="s">
        <v>26</v>
      </c>
      <c r="B3845" s="3" t="s">
        <v>27</v>
      </c>
      <c r="C3845" s="3" t="s">
        <v>28</v>
      </c>
      <c r="D3845" s="3" t="s">
        <v>40</v>
      </c>
      <c r="E3845" s="3" t="s">
        <v>287</v>
      </c>
      <c r="F3845" s="3" t="s">
        <v>42</v>
      </c>
      <c r="G3845" s="3" t="s">
        <v>287</v>
      </c>
      <c r="H3845" s="3" t="s">
        <v>32</v>
      </c>
      <c r="I3845" s="3">
        <v>2025</v>
      </c>
      <c r="J3845" s="3" t="str">
        <f>CONCATENATE("54820023908")</f>
        <v>54820023908</v>
      </c>
      <c r="K3845" s="3" t="s">
        <v>33</v>
      </c>
      <c r="L3845" s="3"/>
      <c r="M3845" s="3" t="s">
        <v>131</v>
      </c>
      <c r="N3845" s="3" t="str">
        <f>CONCATENATE("01977030434")</f>
        <v>01977030434</v>
      </c>
      <c r="O3845" s="3" t="s">
        <v>3960</v>
      </c>
      <c r="P3845" s="3" t="s">
        <v>36</v>
      </c>
      <c r="Q3845" s="3"/>
      <c r="R3845" s="4">
        <v>45996</v>
      </c>
      <c r="S3845" s="3" t="s">
        <v>37</v>
      </c>
      <c r="T3845" s="3" t="s">
        <v>38</v>
      </c>
      <c r="U3845" s="3" t="s">
        <v>39</v>
      </c>
      <c r="V3845" s="3">
        <v>156.22</v>
      </c>
      <c r="W3845" s="3">
        <v>66.39</v>
      </c>
      <c r="X3845" s="3">
        <v>62.88</v>
      </c>
      <c r="Y3845" s="3">
        <v>26.95</v>
      </c>
    </row>
    <row r="3846" spans="1:25" ht="60.75" x14ac:dyDescent="0.25">
      <c r="A3846" s="3" t="s">
        <v>26</v>
      </c>
      <c r="B3846" s="3" t="s">
        <v>27</v>
      </c>
      <c r="C3846" s="3" t="s">
        <v>28</v>
      </c>
      <c r="D3846" s="3" t="s">
        <v>50</v>
      </c>
      <c r="E3846" s="3" t="s">
        <v>173</v>
      </c>
      <c r="F3846" s="3" t="s">
        <v>52</v>
      </c>
      <c r="G3846" s="3" t="s">
        <v>173</v>
      </c>
      <c r="H3846" s="3" t="s">
        <v>45</v>
      </c>
      <c r="I3846" s="3">
        <v>2025</v>
      </c>
      <c r="J3846" s="3" t="str">
        <f>CONCATENATE("54820071170")</f>
        <v>54820071170</v>
      </c>
      <c r="K3846" s="3" t="s">
        <v>33</v>
      </c>
      <c r="L3846" s="3"/>
      <c r="M3846" s="3" t="s">
        <v>131</v>
      </c>
      <c r="N3846" s="3" t="str">
        <f>CONCATENATE("CCCCLD74S24I459E")</f>
        <v>CCCCLD74S24I459E</v>
      </c>
      <c r="O3846" s="3" t="s">
        <v>3961</v>
      </c>
      <c r="P3846" s="3" t="s">
        <v>36</v>
      </c>
      <c r="Q3846" s="3"/>
      <c r="R3846" s="4">
        <v>45996</v>
      </c>
      <c r="S3846" s="3" t="s">
        <v>37</v>
      </c>
      <c r="T3846" s="3" t="s">
        <v>38</v>
      </c>
      <c r="U3846" s="3" t="s">
        <v>39</v>
      </c>
      <c r="V3846" s="3">
        <v>496.97</v>
      </c>
      <c r="W3846" s="3">
        <v>211.21</v>
      </c>
      <c r="X3846" s="3">
        <v>200.03</v>
      </c>
      <c r="Y3846" s="3">
        <v>85.73</v>
      </c>
    </row>
    <row r="3847" spans="1:25" ht="60.75" x14ac:dyDescent="0.25">
      <c r="A3847" s="3" t="s">
        <v>26</v>
      </c>
      <c r="B3847" s="3" t="s">
        <v>27</v>
      </c>
      <c r="C3847" s="3" t="s">
        <v>28</v>
      </c>
      <c r="D3847" s="3" t="s">
        <v>50</v>
      </c>
      <c r="E3847" s="3" t="s">
        <v>107</v>
      </c>
      <c r="F3847" s="3" t="s">
        <v>52</v>
      </c>
      <c r="G3847" s="3" t="s">
        <v>107</v>
      </c>
      <c r="H3847" s="3" t="s">
        <v>48</v>
      </c>
      <c r="I3847" s="3">
        <v>2025</v>
      </c>
      <c r="J3847" s="3" t="str">
        <f>CONCATENATE("54820193925")</f>
        <v>54820193925</v>
      </c>
      <c r="K3847" s="3" t="s">
        <v>33</v>
      </c>
      <c r="L3847" s="3"/>
      <c r="M3847" s="3" t="s">
        <v>131</v>
      </c>
      <c r="N3847" s="3" t="str">
        <f>CONCATENATE("SMNGLC69P22D211V")</f>
        <v>SMNGLC69P22D211V</v>
      </c>
      <c r="O3847" s="3" t="s">
        <v>3962</v>
      </c>
      <c r="P3847" s="3" t="s">
        <v>36</v>
      </c>
      <c r="Q3847" s="3"/>
      <c r="R3847" s="4">
        <v>45996</v>
      </c>
      <c r="S3847" s="3" t="s">
        <v>37</v>
      </c>
      <c r="T3847" s="3" t="s">
        <v>38</v>
      </c>
      <c r="U3847" s="3" t="s">
        <v>39</v>
      </c>
      <c r="V3847" s="3">
        <v>750.69</v>
      </c>
      <c r="W3847" s="3">
        <v>319.04000000000002</v>
      </c>
      <c r="X3847" s="3">
        <v>302.14999999999998</v>
      </c>
      <c r="Y3847" s="3">
        <v>129.5</v>
      </c>
    </row>
    <row r="3848" spans="1:25" ht="60.75" x14ac:dyDescent="0.25">
      <c r="A3848" s="3" t="s">
        <v>26</v>
      </c>
      <c r="B3848" s="3" t="s">
        <v>27</v>
      </c>
      <c r="C3848" s="3" t="s">
        <v>28</v>
      </c>
      <c r="D3848" s="3" t="s">
        <v>29</v>
      </c>
      <c r="E3848" s="3" t="s">
        <v>136</v>
      </c>
      <c r="F3848" s="3" t="s">
        <v>31</v>
      </c>
      <c r="G3848" s="3" t="s">
        <v>136</v>
      </c>
      <c r="H3848" s="3" t="s">
        <v>48</v>
      </c>
      <c r="I3848" s="3">
        <v>2025</v>
      </c>
      <c r="J3848" s="3" t="str">
        <f>CONCATENATE("54820018486")</f>
        <v>54820018486</v>
      </c>
      <c r="K3848" s="3" t="s">
        <v>33</v>
      </c>
      <c r="L3848" s="3"/>
      <c r="M3848" s="3" t="s">
        <v>131</v>
      </c>
      <c r="N3848" s="3" t="str">
        <f>CONCATENATE("ZPPRCR90T09A271S")</f>
        <v>ZPPRCR90T09A271S</v>
      </c>
      <c r="O3848" s="3" t="s">
        <v>3963</v>
      </c>
      <c r="P3848" s="3" t="s">
        <v>36</v>
      </c>
      <c r="Q3848" s="3"/>
      <c r="R3848" s="4">
        <v>45996</v>
      </c>
      <c r="S3848" s="3" t="s">
        <v>37</v>
      </c>
      <c r="T3848" s="3" t="s">
        <v>38</v>
      </c>
      <c r="U3848" s="3" t="s">
        <v>39</v>
      </c>
      <c r="V3848" s="3">
        <v>87.38</v>
      </c>
      <c r="W3848" s="3">
        <v>37.14</v>
      </c>
      <c r="X3848" s="3">
        <v>35.17</v>
      </c>
      <c r="Y3848" s="3">
        <v>15.07</v>
      </c>
    </row>
    <row r="3849" spans="1:25" ht="60.75" x14ac:dyDescent="0.25">
      <c r="A3849" s="3" t="s">
        <v>26</v>
      </c>
      <c r="B3849" s="3" t="s">
        <v>27</v>
      </c>
      <c r="C3849" s="3" t="s">
        <v>28</v>
      </c>
      <c r="D3849" s="3" t="s">
        <v>29</v>
      </c>
      <c r="E3849" s="3" t="s">
        <v>119</v>
      </c>
      <c r="F3849" s="3" t="s">
        <v>31</v>
      </c>
      <c r="G3849" s="3" t="s">
        <v>119</v>
      </c>
      <c r="H3849" s="3" t="s">
        <v>96</v>
      </c>
      <c r="I3849" s="3">
        <v>2025</v>
      </c>
      <c r="J3849" s="3" t="str">
        <f>CONCATENATE("54820048186")</f>
        <v>54820048186</v>
      </c>
      <c r="K3849" s="3" t="s">
        <v>33</v>
      </c>
      <c r="L3849" s="3"/>
      <c r="M3849" s="3" t="s">
        <v>131</v>
      </c>
      <c r="N3849" s="3" t="str">
        <f>CONCATENATE("CFFNGL65A12F509Y")</f>
        <v>CFFNGL65A12F509Y</v>
      </c>
      <c r="O3849" s="3" t="s">
        <v>3964</v>
      </c>
      <c r="P3849" s="3" t="s">
        <v>36</v>
      </c>
      <c r="Q3849" s="3"/>
      <c r="R3849" s="4">
        <v>45996</v>
      </c>
      <c r="S3849" s="3" t="s">
        <v>37</v>
      </c>
      <c r="T3849" s="3" t="s">
        <v>38</v>
      </c>
      <c r="U3849" s="3" t="s">
        <v>39</v>
      </c>
      <c r="V3849" s="3">
        <v>49.66</v>
      </c>
      <c r="W3849" s="3">
        <v>21.11</v>
      </c>
      <c r="X3849" s="3">
        <v>19.989999999999998</v>
      </c>
      <c r="Y3849" s="3">
        <v>8.56</v>
      </c>
    </row>
    <row r="3850" spans="1:25" ht="36.75" x14ac:dyDescent="0.25">
      <c r="A3850" s="3" t="s">
        <v>26</v>
      </c>
      <c r="B3850" s="3" t="s">
        <v>27</v>
      </c>
      <c r="C3850" s="3" t="s">
        <v>28</v>
      </c>
      <c r="D3850" s="3" t="s">
        <v>40</v>
      </c>
      <c r="E3850" s="3" t="s">
        <v>287</v>
      </c>
      <c r="F3850" s="3" t="s">
        <v>42</v>
      </c>
      <c r="G3850" s="3" t="s">
        <v>287</v>
      </c>
      <c r="H3850" s="3" t="s">
        <v>32</v>
      </c>
      <c r="I3850" s="3">
        <v>2025</v>
      </c>
      <c r="J3850" s="3" t="str">
        <f>CONCATENATE("54820071782")</f>
        <v>54820071782</v>
      </c>
      <c r="K3850" s="3" t="s">
        <v>33</v>
      </c>
      <c r="L3850" s="3"/>
      <c r="M3850" s="3" t="s">
        <v>131</v>
      </c>
      <c r="N3850" s="3" t="str">
        <f>CONCATENATE("01222440438")</f>
        <v>01222440438</v>
      </c>
      <c r="O3850" s="3" t="s">
        <v>3965</v>
      </c>
      <c r="P3850" s="3" t="s">
        <v>36</v>
      </c>
      <c r="Q3850" s="3"/>
      <c r="R3850" s="4">
        <v>45996</v>
      </c>
      <c r="S3850" s="3" t="s">
        <v>37</v>
      </c>
      <c r="T3850" s="3" t="s">
        <v>38</v>
      </c>
      <c r="U3850" s="3" t="s">
        <v>39</v>
      </c>
      <c r="V3850" s="3">
        <v>992</v>
      </c>
      <c r="W3850" s="3">
        <v>421.6</v>
      </c>
      <c r="X3850" s="3">
        <v>399.28</v>
      </c>
      <c r="Y3850" s="3">
        <v>171.12</v>
      </c>
    </row>
    <row r="3851" spans="1:25" ht="36.75" x14ac:dyDescent="0.25">
      <c r="A3851" s="3" t="s">
        <v>26</v>
      </c>
      <c r="B3851" s="3" t="s">
        <v>27</v>
      </c>
      <c r="C3851" s="3" t="s">
        <v>28</v>
      </c>
      <c r="D3851" s="3" t="s">
        <v>40</v>
      </c>
      <c r="E3851" s="3" t="s">
        <v>41</v>
      </c>
      <c r="F3851" s="3" t="s">
        <v>42</v>
      </c>
      <c r="G3851" s="3" t="s">
        <v>41</v>
      </c>
      <c r="H3851" s="3" t="s">
        <v>32</v>
      </c>
      <c r="I3851" s="3">
        <v>2025</v>
      </c>
      <c r="J3851" s="3" t="str">
        <f>CONCATENATE("54820018148")</f>
        <v>54820018148</v>
      </c>
      <c r="K3851" s="3" t="s">
        <v>33</v>
      </c>
      <c r="L3851" s="3"/>
      <c r="M3851" s="3" t="s">
        <v>131</v>
      </c>
      <c r="N3851" s="3" t="str">
        <f>CONCATENATE("02130450436")</f>
        <v>02130450436</v>
      </c>
      <c r="O3851" s="3" t="s">
        <v>3966</v>
      </c>
      <c r="P3851" s="3" t="s">
        <v>36</v>
      </c>
      <c r="Q3851" s="3"/>
      <c r="R3851" s="4">
        <v>45996</v>
      </c>
      <c r="S3851" s="3" t="s">
        <v>37</v>
      </c>
      <c r="T3851" s="3" t="s">
        <v>38</v>
      </c>
      <c r="U3851" s="3" t="s">
        <v>39</v>
      </c>
      <c r="V3851" s="3">
        <v>839.79</v>
      </c>
      <c r="W3851" s="3">
        <v>356.91</v>
      </c>
      <c r="X3851" s="3">
        <v>338.02</v>
      </c>
      <c r="Y3851" s="3">
        <v>144.86000000000001</v>
      </c>
    </row>
    <row r="3852" spans="1:25" ht="60.75" x14ac:dyDescent="0.25">
      <c r="A3852" s="3" t="s">
        <v>26</v>
      </c>
      <c r="B3852" s="3" t="s">
        <v>27</v>
      </c>
      <c r="C3852" s="3" t="s">
        <v>28</v>
      </c>
      <c r="D3852" s="3" t="s">
        <v>29</v>
      </c>
      <c r="E3852" s="3" t="s">
        <v>228</v>
      </c>
      <c r="F3852" s="3" t="s">
        <v>31</v>
      </c>
      <c r="G3852" s="3" t="s">
        <v>228</v>
      </c>
      <c r="H3852" s="3" t="s">
        <v>45</v>
      </c>
      <c r="I3852" s="3">
        <v>2025</v>
      </c>
      <c r="J3852" s="3" t="str">
        <f>CONCATENATE("54820033642")</f>
        <v>54820033642</v>
      </c>
      <c r="K3852" s="3" t="s">
        <v>33</v>
      </c>
      <c r="L3852" s="3"/>
      <c r="M3852" s="3" t="s">
        <v>131</v>
      </c>
      <c r="N3852" s="3" t="str">
        <f>CONCATENATE("BRCGPP54M23D749F")</f>
        <v>BRCGPP54M23D749F</v>
      </c>
      <c r="O3852" s="3" t="s">
        <v>3967</v>
      </c>
      <c r="P3852" s="3" t="s">
        <v>36</v>
      </c>
      <c r="Q3852" s="3"/>
      <c r="R3852" s="4">
        <v>45996</v>
      </c>
      <c r="S3852" s="3" t="s">
        <v>37</v>
      </c>
      <c r="T3852" s="3" t="s">
        <v>38</v>
      </c>
      <c r="U3852" s="3" t="s">
        <v>39</v>
      </c>
      <c r="V3852" s="3">
        <v>135.97</v>
      </c>
      <c r="W3852" s="3">
        <v>57.79</v>
      </c>
      <c r="X3852" s="3">
        <v>54.73</v>
      </c>
      <c r="Y3852" s="3">
        <v>23.45</v>
      </c>
    </row>
    <row r="3853" spans="1:25" ht="60.75" x14ac:dyDescent="0.25">
      <c r="A3853" s="3" t="s">
        <v>26</v>
      </c>
      <c r="B3853" s="3" t="s">
        <v>27</v>
      </c>
      <c r="C3853" s="3" t="s">
        <v>28</v>
      </c>
      <c r="D3853" s="3" t="s">
        <v>29</v>
      </c>
      <c r="E3853" s="3" t="s">
        <v>47</v>
      </c>
      <c r="F3853" s="3" t="s">
        <v>31</v>
      </c>
      <c r="G3853" s="3" t="s">
        <v>47</v>
      </c>
      <c r="H3853" s="3" t="s">
        <v>48</v>
      </c>
      <c r="I3853" s="3">
        <v>2025</v>
      </c>
      <c r="J3853" s="3" t="str">
        <f>CONCATENATE("54820048517")</f>
        <v>54820048517</v>
      </c>
      <c r="K3853" s="3" t="s">
        <v>33</v>
      </c>
      <c r="L3853" s="3"/>
      <c r="M3853" s="3" t="s">
        <v>131</v>
      </c>
      <c r="N3853" s="3" t="str">
        <f>CONCATENATE("LPPGPP61B08C524D")</f>
        <v>LPPGPP61B08C524D</v>
      </c>
      <c r="O3853" s="3" t="s">
        <v>3968</v>
      </c>
      <c r="P3853" s="3" t="s">
        <v>36</v>
      </c>
      <c r="Q3853" s="3"/>
      <c r="R3853" s="4">
        <v>45996</v>
      </c>
      <c r="S3853" s="3" t="s">
        <v>37</v>
      </c>
      <c r="T3853" s="3" t="s">
        <v>38</v>
      </c>
      <c r="U3853" s="3" t="s">
        <v>39</v>
      </c>
      <c r="V3853" s="3">
        <v>104.32</v>
      </c>
      <c r="W3853" s="3">
        <v>44.34</v>
      </c>
      <c r="X3853" s="3">
        <v>41.99</v>
      </c>
      <c r="Y3853" s="3">
        <v>17.989999999999998</v>
      </c>
    </row>
    <row r="3854" spans="1:25" ht="60.75" x14ac:dyDescent="0.25">
      <c r="A3854" s="3" t="s">
        <v>26</v>
      </c>
      <c r="B3854" s="3" t="s">
        <v>27</v>
      </c>
      <c r="C3854" s="3" t="s">
        <v>28</v>
      </c>
      <c r="D3854" s="3" t="s">
        <v>29</v>
      </c>
      <c r="E3854" s="3" t="s">
        <v>136</v>
      </c>
      <c r="F3854" s="3" t="s">
        <v>31</v>
      </c>
      <c r="G3854" s="3" t="s">
        <v>136</v>
      </c>
      <c r="H3854" s="3" t="s">
        <v>48</v>
      </c>
      <c r="I3854" s="3">
        <v>2025</v>
      </c>
      <c r="J3854" s="3" t="str">
        <f>CONCATENATE("54820070800")</f>
        <v>54820070800</v>
      </c>
      <c r="K3854" s="3" t="s">
        <v>33</v>
      </c>
      <c r="L3854" s="3"/>
      <c r="M3854" s="3" t="s">
        <v>131</v>
      </c>
      <c r="N3854" s="3" t="str">
        <f>CONCATENATE("NTNRNG47P23I461X")</f>
        <v>NTNRNG47P23I461X</v>
      </c>
      <c r="O3854" s="3" t="s">
        <v>3969</v>
      </c>
      <c r="P3854" s="3" t="s">
        <v>36</v>
      </c>
      <c r="Q3854" s="3"/>
      <c r="R3854" s="4">
        <v>45996</v>
      </c>
      <c r="S3854" s="3" t="s">
        <v>37</v>
      </c>
      <c r="T3854" s="3" t="s">
        <v>38</v>
      </c>
      <c r="U3854" s="3" t="s">
        <v>39</v>
      </c>
      <c r="V3854" s="3">
        <v>204.01</v>
      </c>
      <c r="W3854" s="3">
        <v>86.7</v>
      </c>
      <c r="X3854" s="3">
        <v>82.11</v>
      </c>
      <c r="Y3854" s="3">
        <v>35.200000000000003</v>
      </c>
    </row>
    <row r="3855" spans="1:25" ht="36.75" x14ac:dyDescent="0.25">
      <c r="A3855" s="3" t="s">
        <v>26</v>
      </c>
      <c r="B3855" s="3" t="s">
        <v>27</v>
      </c>
      <c r="C3855" s="3" t="s">
        <v>28</v>
      </c>
      <c r="D3855" s="3" t="s">
        <v>29</v>
      </c>
      <c r="E3855" s="3" t="s">
        <v>72</v>
      </c>
      <c r="F3855" s="3" t="s">
        <v>31</v>
      </c>
      <c r="G3855" s="3" t="s">
        <v>72</v>
      </c>
      <c r="H3855" s="3" t="s">
        <v>45</v>
      </c>
      <c r="I3855" s="3">
        <v>2025</v>
      </c>
      <c r="J3855" s="3" t="str">
        <f>CONCATENATE("54820023718")</f>
        <v>54820023718</v>
      </c>
      <c r="K3855" s="3" t="s">
        <v>33</v>
      </c>
      <c r="L3855" s="3"/>
      <c r="M3855" s="3" t="s">
        <v>131</v>
      </c>
      <c r="N3855" s="3" t="str">
        <f>CONCATENATE("02811880414")</f>
        <v>02811880414</v>
      </c>
      <c r="O3855" s="3" t="s">
        <v>3970</v>
      </c>
      <c r="P3855" s="3" t="s">
        <v>36</v>
      </c>
      <c r="Q3855" s="3"/>
      <c r="R3855" s="4">
        <v>45996</v>
      </c>
      <c r="S3855" s="3" t="s">
        <v>37</v>
      </c>
      <c r="T3855" s="3" t="s">
        <v>38</v>
      </c>
      <c r="U3855" s="3" t="s">
        <v>39</v>
      </c>
      <c r="V3855" s="3">
        <v>945.95</v>
      </c>
      <c r="W3855" s="3">
        <v>402.03</v>
      </c>
      <c r="X3855" s="3">
        <v>380.74</v>
      </c>
      <c r="Y3855" s="3">
        <v>163.18</v>
      </c>
    </row>
    <row r="3856" spans="1:25" ht="72.75" x14ac:dyDescent="0.25">
      <c r="A3856" s="3" t="s">
        <v>26</v>
      </c>
      <c r="B3856" s="3" t="s">
        <v>27</v>
      </c>
      <c r="C3856" s="3" t="s">
        <v>28</v>
      </c>
      <c r="D3856" s="3" t="s">
        <v>29</v>
      </c>
      <c r="E3856" s="3" t="s">
        <v>56</v>
      </c>
      <c r="F3856" s="3" t="s">
        <v>31</v>
      </c>
      <c r="G3856" s="3" t="s">
        <v>56</v>
      </c>
      <c r="H3856" s="3" t="s">
        <v>32</v>
      </c>
      <c r="I3856" s="3">
        <v>2025</v>
      </c>
      <c r="J3856" s="3" t="str">
        <f>CONCATENATE("54820041702")</f>
        <v>54820041702</v>
      </c>
      <c r="K3856" s="3" t="s">
        <v>33</v>
      </c>
      <c r="L3856" s="3"/>
      <c r="M3856" s="3" t="s">
        <v>131</v>
      </c>
      <c r="N3856" s="3" t="str">
        <f>CONCATENATE("CRSGRG49D62D564R")</f>
        <v>CRSGRG49D62D564R</v>
      </c>
      <c r="O3856" s="3" t="s">
        <v>3971</v>
      </c>
      <c r="P3856" s="3" t="s">
        <v>36</v>
      </c>
      <c r="Q3856" s="3"/>
      <c r="R3856" s="4">
        <v>45996</v>
      </c>
      <c r="S3856" s="3" t="s">
        <v>37</v>
      </c>
      <c r="T3856" s="3" t="s">
        <v>38</v>
      </c>
      <c r="U3856" s="3" t="s">
        <v>39</v>
      </c>
      <c r="V3856" s="3">
        <v>125.94</v>
      </c>
      <c r="W3856" s="3">
        <v>53.52</v>
      </c>
      <c r="X3856" s="3">
        <v>50.69</v>
      </c>
      <c r="Y3856" s="3">
        <v>21.73</v>
      </c>
    </row>
    <row r="3857" spans="1:25" ht="60.75" x14ac:dyDescent="0.25">
      <c r="A3857" s="3" t="s">
        <v>26</v>
      </c>
      <c r="B3857" s="3" t="s">
        <v>27</v>
      </c>
      <c r="C3857" s="3" t="s">
        <v>28</v>
      </c>
      <c r="D3857" s="3" t="s">
        <v>29</v>
      </c>
      <c r="E3857" s="3" t="s">
        <v>68</v>
      </c>
      <c r="F3857" s="3" t="s">
        <v>31</v>
      </c>
      <c r="G3857" s="3" t="s">
        <v>68</v>
      </c>
      <c r="H3857" s="3" t="s">
        <v>32</v>
      </c>
      <c r="I3857" s="3">
        <v>2025</v>
      </c>
      <c r="J3857" s="3" t="str">
        <f>CONCATENATE("54820039789")</f>
        <v>54820039789</v>
      </c>
      <c r="K3857" s="3" t="s">
        <v>33</v>
      </c>
      <c r="L3857" s="3"/>
      <c r="M3857" s="3" t="s">
        <v>131</v>
      </c>
      <c r="N3857" s="3" t="str">
        <f>CONCATENATE("FRRCST71E52F205B")</f>
        <v>FRRCST71E52F205B</v>
      </c>
      <c r="O3857" s="3" t="s">
        <v>3972</v>
      </c>
      <c r="P3857" s="3" t="s">
        <v>36</v>
      </c>
      <c r="Q3857" s="3"/>
      <c r="R3857" s="4">
        <v>45996</v>
      </c>
      <c r="S3857" s="3" t="s">
        <v>37</v>
      </c>
      <c r="T3857" s="3" t="s">
        <v>38</v>
      </c>
      <c r="U3857" s="3" t="s">
        <v>39</v>
      </c>
      <c r="V3857" s="3">
        <v>201.77</v>
      </c>
      <c r="W3857" s="3">
        <v>85.75</v>
      </c>
      <c r="X3857" s="3">
        <v>81.209999999999994</v>
      </c>
      <c r="Y3857" s="3">
        <v>34.81</v>
      </c>
    </row>
    <row r="3858" spans="1:25" ht="60.75" x14ac:dyDescent="0.25">
      <c r="A3858" s="3" t="s">
        <v>26</v>
      </c>
      <c r="B3858" s="3" t="s">
        <v>27</v>
      </c>
      <c r="C3858" s="3" t="s">
        <v>28</v>
      </c>
      <c r="D3858" s="3" t="s">
        <v>29</v>
      </c>
      <c r="E3858" s="3" t="s">
        <v>136</v>
      </c>
      <c r="F3858" s="3" t="s">
        <v>31</v>
      </c>
      <c r="G3858" s="3" t="s">
        <v>136</v>
      </c>
      <c r="H3858" s="3" t="s">
        <v>48</v>
      </c>
      <c r="I3858" s="3">
        <v>2025</v>
      </c>
      <c r="J3858" s="3" t="str">
        <f>CONCATENATE("54820032610")</f>
        <v>54820032610</v>
      </c>
      <c r="K3858" s="3" t="s">
        <v>33</v>
      </c>
      <c r="L3858" s="3"/>
      <c r="M3858" s="3" t="s">
        <v>131</v>
      </c>
      <c r="N3858" s="3" t="str">
        <f>CONCATENATE("RGNRFL34D30D965K")</f>
        <v>RGNRFL34D30D965K</v>
      </c>
      <c r="O3858" s="3" t="s">
        <v>3973</v>
      </c>
      <c r="P3858" s="3" t="s">
        <v>36</v>
      </c>
      <c r="Q3858" s="3"/>
      <c r="R3858" s="4">
        <v>45996</v>
      </c>
      <c r="S3858" s="3" t="s">
        <v>37</v>
      </c>
      <c r="T3858" s="3" t="s">
        <v>38</v>
      </c>
      <c r="U3858" s="3" t="s">
        <v>39</v>
      </c>
      <c r="V3858" s="3">
        <v>66.680000000000007</v>
      </c>
      <c r="W3858" s="3">
        <v>28.34</v>
      </c>
      <c r="X3858" s="3">
        <v>26.84</v>
      </c>
      <c r="Y3858" s="3">
        <v>11.5</v>
      </c>
    </row>
    <row r="3859" spans="1:25" ht="36.75" x14ac:dyDescent="0.25">
      <c r="A3859" s="3" t="s">
        <v>26</v>
      </c>
      <c r="B3859" s="3" t="s">
        <v>27</v>
      </c>
      <c r="C3859" s="3" t="s">
        <v>28</v>
      </c>
      <c r="D3859" s="3" t="s">
        <v>40</v>
      </c>
      <c r="E3859" s="3" t="s">
        <v>54</v>
      </c>
      <c r="F3859" s="3" t="s">
        <v>42</v>
      </c>
      <c r="G3859" s="3" t="s">
        <v>54</v>
      </c>
      <c r="H3859" s="3" t="s">
        <v>45</v>
      </c>
      <c r="I3859" s="3">
        <v>2025</v>
      </c>
      <c r="J3859" s="3" t="str">
        <f>CONCATENATE("54820022009")</f>
        <v>54820022009</v>
      </c>
      <c r="K3859" s="3" t="s">
        <v>33</v>
      </c>
      <c r="L3859" s="3"/>
      <c r="M3859" s="3" t="s">
        <v>131</v>
      </c>
      <c r="N3859" s="3" t="str">
        <f>CONCATENATE("01093520417")</f>
        <v>01093520417</v>
      </c>
      <c r="O3859" s="3" t="s">
        <v>3974</v>
      </c>
      <c r="P3859" s="3" t="s">
        <v>36</v>
      </c>
      <c r="Q3859" s="3"/>
      <c r="R3859" s="4">
        <v>45996</v>
      </c>
      <c r="S3859" s="3" t="s">
        <v>37</v>
      </c>
      <c r="T3859" s="3" t="s">
        <v>38</v>
      </c>
      <c r="U3859" s="3" t="s">
        <v>39</v>
      </c>
      <c r="V3859" s="3">
        <v>506.3</v>
      </c>
      <c r="W3859" s="3">
        <v>215.18</v>
      </c>
      <c r="X3859" s="3">
        <v>203.79</v>
      </c>
      <c r="Y3859" s="3">
        <v>87.33</v>
      </c>
    </row>
    <row r="3860" spans="1:25" ht="60.75" x14ac:dyDescent="0.25">
      <c r="A3860" s="3" t="s">
        <v>26</v>
      </c>
      <c r="B3860" s="3" t="s">
        <v>27</v>
      </c>
      <c r="C3860" s="3" t="s">
        <v>28</v>
      </c>
      <c r="D3860" s="3" t="s">
        <v>29</v>
      </c>
      <c r="E3860" s="3" t="s">
        <v>68</v>
      </c>
      <c r="F3860" s="3" t="s">
        <v>31</v>
      </c>
      <c r="G3860" s="3" t="s">
        <v>68</v>
      </c>
      <c r="H3860" s="3" t="s">
        <v>32</v>
      </c>
      <c r="I3860" s="3">
        <v>2025</v>
      </c>
      <c r="J3860" s="3" t="str">
        <f>CONCATENATE("54820059985")</f>
        <v>54820059985</v>
      </c>
      <c r="K3860" s="3" t="s">
        <v>33</v>
      </c>
      <c r="L3860" s="3"/>
      <c r="M3860" s="3" t="s">
        <v>131</v>
      </c>
      <c r="N3860" s="3" t="str">
        <f>CONCATENATE("MSLGLI61B20L992T")</f>
        <v>MSLGLI61B20L992T</v>
      </c>
      <c r="O3860" s="3" t="s">
        <v>3975</v>
      </c>
      <c r="P3860" s="3" t="s">
        <v>36</v>
      </c>
      <c r="Q3860" s="3"/>
      <c r="R3860" s="4">
        <v>45996</v>
      </c>
      <c r="S3860" s="3" t="s">
        <v>37</v>
      </c>
      <c r="T3860" s="3" t="s">
        <v>38</v>
      </c>
      <c r="U3860" s="3" t="s">
        <v>39</v>
      </c>
      <c r="V3860" s="3">
        <v>181.76</v>
      </c>
      <c r="W3860" s="3">
        <v>77.25</v>
      </c>
      <c r="X3860" s="3">
        <v>73.16</v>
      </c>
      <c r="Y3860" s="3">
        <v>31.35</v>
      </c>
    </row>
    <row r="3861" spans="1:25" ht="36.75" x14ac:dyDescent="0.25">
      <c r="A3861" s="3" t="s">
        <v>26</v>
      </c>
      <c r="B3861" s="3" t="s">
        <v>27</v>
      </c>
      <c r="C3861" s="3" t="s">
        <v>28</v>
      </c>
      <c r="D3861" s="3" t="s">
        <v>29</v>
      </c>
      <c r="E3861" s="3" t="s">
        <v>186</v>
      </c>
      <c r="F3861" s="3" t="s">
        <v>31</v>
      </c>
      <c r="G3861" s="3" t="s">
        <v>186</v>
      </c>
      <c r="H3861" s="3" t="s">
        <v>45</v>
      </c>
      <c r="I3861" s="3">
        <v>2025</v>
      </c>
      <c r="J3861" s="3" t="str">
        <f>CONCATENATE("54820066774")</f>
        <v>54820066774</v>
      </c>
      <c r="K3861" s="3" t="s">
        <v>33</v>
      </c>
      <c r="L3861" s="3"/>
      <c r="M3861" s="3" t="s">
        <v>131</v>
      </c>
      <c r="N3861" s="3" t="str">
        <f>CONCATENATE("02607030414")</f>
        <v>02607030414</v>
      </c>
      <c r="O3861" s="3" t="s">
        <v>3976</v>
      </c>
      <c r="P3861" s="3" t="s">
        <v>36</v>
      </c>
      <c r="Q3861" s="3"/>
      <c r="R3861" s="4">
        <v>45996</v>
      </c>
      <c r="S3861" s="3" t="s">
        <v>37</v>
      </c>
      <c r="T3861" s="3" t="s">
        <v>38</v>
      </c>
      <c r="U3861" s="3" t="s">
        <v>39</v>
      </c>
      <c r="V3861" s="3">
        <v>143.85</v>
      </c>
      <c r="W3861" s="3">
        <v>61.14</v>
      </c>
      <c r="X3861" s="3">
        <v>57.9</v>
      </c>
      <c r="Y3861" s="3">
        <v>24.81</v>
      </c>
    </row>
    <row r="3862" spans="1:25" ht="60.75" x14ac:dyDescent="0.25">
      <c r="A3862" s="3" t="s">
        <v>26</v>
      </c>
      <c r="B3862" s="3" t="s">
        <v>27</v>
      </c>
      <c r="C3862" s="3" t="s">
        <v>28</v>
      </c>
      <c r="D3862" s="3" t="s">
        <v>29</v>
      </c>
      <c r="E3862" s="3" t="s">
        <v>47</v>
      </c>
      <c r="F3862" s="3" t="s">
        <v>31</v>
      </c>
      <c r="G3862" s="3" t="s">
        <v>47</v>
      </c>
      <c r="H3862" s="3" t="s">
        <v>48</v>
      </c>
      <c r="I3862" s="3">
        <v>2025</v>
      </c>
      <c r="J3862" s="3" t="str">
        <f>CONCATENATE("54820048236")</f>
        <v>54820048236</v>
      </c>
      <c r="K3862" s="3" t="s">
        <v>33</v>
      </c>
      <c r="L3862" s="3"/>
      <c r="M3862" s="3" t="s">
        <v>131</v>
      </c>
      <c r="N3862" s="3" t="str">
        <f>CONCATENATE("CCCLCU86L10D451S")</f>
        <v>CCCLCU86L10D451S</v>
      </c>
      <c r="O3862" s="3" t="s">
        <v>3977</v>
      </c>
      <c r="P3862" s="3" t="s">
        <v>36</v>
      </c>
      <c r="Q3862" s="3"/>
      <c r="R3862" s="4">
        <v>45996</v>
      </c>
      <c r="S3862" s="3" t="s">
        <v>37</v>
      </c>
      <c r="T3862" s="3" t="s">
        <v>38</v>
      </c>
      <c r="U3862" s="3" t="s">
        <v>39</v>
      </c>
      <c r="V3862" s="3">
        <v>68.88</v>
      </c>
      <c r="W3862" s="3">
        <v>29.27</v>
      </c>
      <c r="X3862" s="3">
        <v>27.72</v>
      </c>
      <c r="Y3862" s="3">
        <v>11.89</v>
      </c>
    </row>
    <row r="3863" spans="1:25" ht="60.75" x14ac:dyDescent="0.25">
      <c r="A3863" s="3" t="s">
        <v>26</v>
      </c>
      <c r="B3863" s="3" t="s">
        <v>27</v>
      </c>
      <c r="C3863" s="3" t="s">
        <v>28</v>
      </c>
      <c r="D3863" s="3" t="s">
        <v>29</v>
      </c>
      <c r="E3863" s="3" t="s">
        <v>228</v>
      </c>
      <c r="F3863" s="3" t="s">
        <v>31</v>
      </c>
      <c r="G3863" s="3" t="s">
        <v>228</v>
      </c>
      <c r="H3863" s="3" t="s">
        <v>45</v>
      </c>
      <c r="I3863" s="3">
        <v>2025</v>
      </c>
      <c r="J3863" s="3" t="str">
        <f>CONCATENATE("54820040795")</f>
        <v>54820040795</v>
      </c>
      <c r="K3863" s="3" t="s">
        <v>33</v>
      </c>
      <c r="L3863" s="3"/>
      <c r="M3863" s="3" t="s">
        <v>131</v>
      </c>
      <c r="N3863" s="3" t="str">
        <f>CONCATENATE("FNCGRG65P19D749L")</f>
        <v>FNCGRG65P19D749L</v>
      </c>
      <c r="O3863" s="3" t="s">
        <v>3978</v>
      </c>
      <c r="P3863" s="3" t="s">
        <v>36</v>
      </c>
      <c r="Q3863" s="3"/>
      <c r="R3863" s="4">
        <v>45996</v>
      </c>
      <c r="S3863" s="3" t="s">
        <v>37</v>
      </c>
      <c r="T3863" s="3" t="s">
        <v>38</v>
      </c>
      <c r="U3863" s="3" t="s">
        <v>39</v>
      </c>
      <c r="V3863" s="3">
        <v>193</v>
      </c>
      <c r="W3863" s="3">
        <v>82.03</v>
      </c>
      <c r="X3863" s="3">
        <v>77.680000000000007</v>
      </c>
      <c r="Y3863" s="3">
        <v>33.29</v>
      </c>
    </row>
    <row r="3864" spans="1:25" ht="72.75" x14ac:dyDescent="0.25">
      <c r="A3864" s="3" t="s">
        <v>26</v>
      </c>
      <c r="B3864" s="3" t="s">
        <v>27</v>
      </c>
      <c r="C3864" s="3" t="s">
        <v>28</v>
      </c>
      <c r="D3864" s="3" t="s">
        <v>29</v>
      </c>
      <c r="E3864" s="3" t="s">
        <v>186</v>
      </c>
      <c r="F3864" s="3" t="s">
        <v>31</v>
      </c>
      <c r="G3864" s="3" t="s">
        <v>186</v>
      </c>
      <c r="H3864" s="3" t="s">
        <v>45</v>
      </c>
      <c r="I3864" s="3">
        <v>2025</v>
      </c>
      <c r="J3864" s="3" t="str">
        <f>CONCATENATE("54820138169")</f>
        <v>54820138169</v>
      </c>
      <c r="K3864" s="3" t="s">
        <v>33</v>
      </c>
      <c r="L3864" s="3"/>
      <c r="M3864" s="3" t="s">
        <v>131</v>
      </c>
      <c r="N3864" s="3" t="str">
        <f>CONCATENATE("RSSMSM69T06E785N")</f>
        <v>RSSMSM69T06E785N</v>
      </c>
      <c r="O3864" s="3" t="s">
        <v>3979</v>
      </c>
      <c r="P3864" s="3" t="s">
        <v>36</v>
      </c>
      <c r="Q3864" s="3"/>
      <c r="R3864" s="4">
        <v>45996</v>
      </c>
      <c r="S3864" s="3" t="s">
        <v>37</v>
      </c>
      <c r="T3864" s="3" t="s">
        <v>38</v>
      </c>
      <c r="U3864" s="3" t="s">
        <v>39</v>
      </c>
      <c r="V3864" s="3">
        <v>323.75</v>
      </c>
      <c r="W3864" s="3">
        <v>137.59</v>
      </c>
      <c r="X3864" s="3">
        <v>130.31</v>
      </c>
      <c r="Y3864" s="3">
        <v>55.85</v>
      </c>
    </row>
    <row r="3865" spans="1:25" ht="60.75" x14ac:dyDescent="0.25">
      <c r="A3865" s="3" t="s">
        <v>26</v>
      </c>
      <c r="B3865" s="3" t="s">
        <v>27</v>
      </c>
      <c r="C3865" s="3" t="s">
        <v>28</v>
      </c>
      <c r="D3865" s="3" t="s">
        <v>29</v>
      </c>
      <c r="E3865" s="3" t="s">
        <v>119</v>
      </c>
      <c r="F3865" s="3" t="s">
        <v>31</v>
      </c>
      <c r="G3865" s="3" t="s">
        <v>119</v>
      </c>
      <c r="H3865" s="3" t="s">
        <v>96</v>
      </c>
      <c r="I3865" s="3">
        <v>2025</v>
      </c>
      <c r="J3865" s="3" t="str">
        <f>CONCATENATE("54820018494")</f>
        <v>54820018494</v>
      </c>
      <c r="K3865" s="3" t="s">
        <v>33</v>
      </c>
      <c r="L3865" s="3"/>
      <c r="M3865" s="3" t="s">
        <v>131</v>
      </c>
      <c r="N3865" s="3" t="str">
        <f>CONCATENATE("CRRGNN52R55F570G")</f>
        <v>CRRGNN52R55F570G</v>
      </c>
      <c r="O3865" s="3" t="s">
        <v>3980</v>
      </c>
      <c r="P3865" s="3" t="s">
        <v>36</v>
      </c>
      <c r="Q3865" s="3"/>
      <c r="R3865" s="4">
        <v>45996</v>
      </c>
      <c r="S3865" s="3" t="s">
        <v>37</v>
      </c>
      <c r="T3865" s="3" t="s">
        <v>38</v>
      </c>
      <c r="U3865" s="3" t="s">
        <v>39</v>
      </c>
      <c r="V3865" s="3">
        <v>328.17</v>
      </c>
      <c r="W3865" s="3">
        <v>139.47</v>
      </c>
      <c r="X3865" s="3">
        <v>132.09</v>
      </c>
      <c r="Y3865" s="3">
        <v>56.61</v>
      </c>
    </row>
    <row r="3866" spans="1:25" ht="60.75" x14ac:dyDescent="0.25">
      <c r="A3866" s="3" t="s">
        <v>26</v>
      </c>
      <c r="B3866" s="3" t="s">
        <v>27</v>
      </c>
      <c r="C3866" s="3" t="s">
        <v>28</v>
      </c>
      <c r="D3866" s="3" t="s">
        <v>29</v>
      </c>
      <c r="E3866" s="3" t="s">
        <v>233</v>
      </c>
      <c r="F3866" s="3" t="s">
        <v>31</v>
      </c>
      <c r="G3866" s="3" t="s">
        <v>233</v>
      </c>
      <c r="H3866" s="3" t="s">
        <v>96</v>
      </c>
      <c r="I3866" s="3">
        <v>2025</v>
      </c>
      <c r="J3866" s="3" t="str">
        <f>CONCATENATE("54820066477")</f>
        <v>54820066477</v>
      </c>
      <c r="K3866" s="3" t="s">
        <v>33</v>
      </c>
      <c r="L3866" s="3"/>
      <c r="M3866" s="3" t="s">
        <v>131</v>
      </c>
      <c r="N3866" s="3" t="str">
        <f>CONCATENATE("PLTVCN51S67H588H")</f>
        <v>PLTVCN51S67H588H</v>
      </c>
      <c r="O3866" s="3" t="s">
        <v>3981</v>
      </c>
      <c r="P3866" s="3" t="s">
        <v>36</v>
      </c>
      <c r="Q3866" s="3"/>
      <c r="R3866" s="4">
        <v>45996</v>
      </c>
      <c r="S3866" s="3" t="s">
        <v>37</v>
      </c>
      <c r="T3866" s="3" t="s">
        <v>38</v>
      </c>
      <c r="U3866" s="3" t="s">
        <v>39</v>
      </c>
      <c r="V3866" s="3">
        <v>107.17</v>
      </c>
      <c r="W3866" s="3">
        <v>45.55</v>
      </c>
      <c r="X3866" s="3">
        <v>43.14</v>
      </c>
      <c r="Y3866" s="3">
        <v>18.48</v>
      </c>
    </row>
    <row r="3867" spans="1:25" ht="60.75" x14ac:dyDescent="0.25">
      <c r="A3867" s="3" t="s">
        <v>26</v>
      </c>
      <c r="B3867" s="3" t="s">
        <v>27</v>
      </c>
      <c r="C3867" s="3" t="s">
        <v>28</v>
      </c>
      <c r="D3867" s="3" t="s">
        <v>29</v>
      </c>
      <c r="E3867" s="3" t="s">
        <v>80</v>
      </c>
      <c r="F3867" s="3" t="s">
        <v>31</v>
      </c>
      <c r="G3867" s="3" t="s">
        <v>80</v>
      </c>
      <c r="H3867" s="3" t="s">
        <v>45</v>
      </c>
      <c r="I3867" s="3">
        <v>2025</v>
      </c>
      <c r="J3867" s="3" t="str">
        <f>CONCATENATE("54820071303")</f>
        <v>54820071303</v>
      </c>
      <c r="K3867" s="3" t="s">
        <v>33</v>
      </c>
      <c r="L3867" s="3"/>
      <c r="M3867" s="3" t="s">
        <v>131</v>
      </c>
      <c r="N3867" s="3" t="str">
        <f>CONCATENATE("CHSGNN72R12D488F")</f>
        <v>CHSGNN72R12D488F</v>
      </c>
      <c r="O3867" s="3" t="s">
        <v>3982</v>
      </c>
      <c r="P3867" s="3" t="s">
        <v>36</v>
      </c>
      <c r="Q3867" s="3"/>
      <c r="R3867" s="4">
        <v>45996</v>
      </c>
      <c r="S3867" s="3" t="s">
        <v>37</v>
      </c>
      <c r="T3867" s="3" t="s">
        <v>38</v>
      </c>
      <c r="U3867" s="3" t="s">
        <v>39</v>
      </c>
      <c r="V3867" s="3">
        <v>751.33</v>
      </c>
      <c r="W3867" s="3">
        <v>319.32</v>
      </c>
      <c r="X3867" s="3">
        <v>302.41000000000003</v>
      </c>
      <c r="Y3867" s="3">
        <v>129.6</v>
      </c>
    </row>
    <row r="3868" spans="1:25" ht="60.75" x14ac:dyDescent="0.25">
      <c r="A3868" s="3" t="s">
        <v>26</v>
      </c>
      <c r="B3868" s="3" t="s">
        <v>27</v>
      </c>
      <c r="C3868" s="3" t="s">
        <v>28</v>
      </c>
      <c r="D3868" s="3" t="s">
        <v>40</v>
      </c>
      <c r="E3868" s="3" t="s">
        <v>496</v>
      </c>
      <c r="F3868" s="3" t="s">
        <v>42</v>
      </c>
      <c r="G3868" s="3" t="s">
        <v>496</v>
      </c>
      <c r="H3868" s="3" t="s">
        <v>32</v>
      </c>
      <c r="I3868" s="3">
        <v>2025</v>
      </c>
      <c r="J3868" s="3" t="str">
        <f>CONCATENATE("54820018593")</f>
        <v>54820018593</v>
      </c>
      <c r="K3868" s="3" t="s">
        <v>33</v>
      </c>
      <c r="L3868" s="3"/>
      <c r="M3868" s="3" t="s">
        <v>131</v>
      </c>
      <c r="N3868" s="3" t="str">
        <f>CONCATENATE("DLTNZR50C30B562C")</f>
        <v>DLTNZR50C30B562C</v>
      </c>
      <c r="O3868" s="3" t="s">
        <v>3983</v>
      </c>
      <c r="P3868" s="3" t="s">
        <v>36</v>
      </c>
      <c r="Q3868" s="3"/>
      <c r="R3868" s="4">
        <v>45996</v>
      </c>
      <c r="S3868" s="3" t="s">
        <v>37</v>
      </c>
      <c r="T3868" s="3" t="s">
        <v>38</v>
      </c>
      <c r="U3868" s="3" t="s">
        <v>39</v>
      </c>
      <c r="V3868" s="3">
        <v>147.24</v>
      </c>
      <c r="W3868" s="3">
        <v>62.58</v>
      </c>
      <c r="X3868" s="3">
        <v>59.26</v>
      </c>
      <c r="Y3868" s="3">
        <v>25.4</v>
      </c>
    </row>
    <row r="3869" spans="1:25" ht="60.75" x14ac:dyDescent="0.25">
      <c r="A3869" s="3" t="s">
        <v>26</v>
      </c>
      <c r="B3869" s="3" t="s">
        <v>27</v>
      </c>
      <c r="C3869" s="3" t="s">
        <v>28</v>
      </c>
      <c r="D3869" s="3" t="s">
        <v>29</v>
      </c>
      <c r="E3869" s="3" t="s">
        <v>228</v>
      </c>
      <c r="F3869" s="3" t="s">
        <v>31</v>
      </c>
      <c r="G3869" s="3" t="s">
        <v>228</v>
      </c>
      <c r="H3869" s="3" t="s">
        <v>45</v>
      </c>
      <c r="I3869" s="3">
        <v>2025</v>
      </c>
      <c r="J3869" s="3" t="str">
        <f>CONCATENATE("54820053798")</f>
        <v>54820053798</v>
      </c>
      <c r="K3869" s="3" t="s">
        <v>33</v>
      </c>
      <c r="L3869" s="3"/>
      <c r="M3869" s="3" t="s">
        <v>131</v>
      </c>
      <c r="N3869" s="3" t="str">
        <f>CONCATENATE("PLDNNL63E70D749P")</f>
        <v>PLDNNL63E70D749P</v>
      </c>
      <c r="O3869" s="3" t="s">
        <v>3984</v>
      </c>
      <c r="P3869" s="3" t="s">
        <v>36</v>
      </c>
      <c r="Q3869" s="3"/>
      <c r="R3869" s="4">
        <v>45996</v>
      </c>
      <c r="S3869" s="3" t="s">
        <v>37</v>
      </c>
      <c r="T3869" s="3" t="s">
        <v>38</v>
      </c>
      <c r="U3869" s="3" t="s">
        <v>39</v>
      </c>
      <c r="V3869" s="5">
        <v>1075.57</v>
      </c>
      <c r="W3869" s="3">
        <v>457.12</v>
      </c>
      <c r="X3869" s="3">
        <v>432.92</v>
      </c>
      <c r="Y3869" s="3">
        <v>185.53</v>
      </c>
    </row>
    <row r="3870" spans="1:25" ht="72.75" x14ac:dyDescent="0.25">
      <c r="A3870" s="3" t="s">
        <v>26</v>
      </c>
      <c r="B3870" s="3" t="s">
        <v>27</v>
      </c>
      <c r="C3870" s="3" t="s">
        <v>28</v>
      </c>
      <c r="D3870" s="3" t="s">
        <v>50</v>
      </c>
      <c r="E3870" s="3" t="s">
        <v>173</v>
      </c>
      <c r="F3870" s="3" t="s">
        <v>52</v>
      </c>
      <c r="G3870" s="3" t="s">
        <v>173</v>
      </c>
      <c r="H3870" s="3" t="s">
        <v>45</v>
      </c>
      <c r="I3870" s="3">
        <v>2025</v>
      </c>
      <c r="J3870" s="3" t="str">
        <f>CONCATENATE("54820069653")</f>
        <v>54820069653</v>
      </c>
      <c r="K3870" s="3" t="s">
        <v>33</v>
      </c>
      <c r="L3870" s="3"/>
      <c r="M3870" s="3" t="s">
        <v>131</v>
      </c>
      <c r="N3870" s="3" t="str">
        <f>CONCATENATE("MGADRN52R58G551Q")</f>
        <v>MGADRN52R58G551Q</v>
      </c>
      <c r="O3870" s="3" t="s">
        <v>3985</v>
      </c>
      <c r="P3870" s="3" t="s">
        <v>36</v>
      </c>
      <c r="Q3870" s="3"/>
      <c r="R3870" s="4">
        <v>45996</v>
      </c>
      <c r="S3870" s="3" t="s">
        <v>37</v>
      </c>
      <c r="T3870" s="3" t="s">
        <v>38</v>
      </c>
      <c r="U3870" s="3" t="s">
        <v>39</v>
      </c>
      <c r="V3870" s="3">
        <v>472.95</v>
      </c>
      <c r="W3870" s="3">
        <v>201</v>
      </c>
      <c r="X3870" s="3">
        <v>190.36</v>
      </c>
      <c r="Y3870" s="3">
        <v>81.59</v>
      </c>
    </row>
    <row r="3871" spans="1:25" ht="60.75" x14ac:dyDescent="0.25">
      <c r="A3871" s="3" t="s">
        <v>26</v>
      </c>
      <c r="B3871" s="3" t="s">
        <v>27</v>
      </c>
      <c r="C3871" s="3" t="s">
        <v>28</v>
      </c>
      <c r="D3871" s="3" t="s">
        <v>40</v>
      </c>
      <c r="E3871" s="3" t="s">
        <v>99</v>
      </c>
      <c r="F3871" s="3" t="s">
        <v>42</v>
      </c>
      <c r="G3871" s="3" t="s">
        <v>99</v>
      </c>
      <c r="H3871" s="3" t="s">
        <v>32</v>
      </c>
      <c r="I3871" s="3">
        <v>2025</v>
      </c>
      <c r="J3871" s="3" t="str">
        <f>CONCATENATE("54820064704")</f>
        <v>54820064704</v>
      </c>
      <c r="K3871" s="3" t="s">
        <v>33</v>
      </c>
      <c r="L3871" s="3"/>
      <c r="M3871" s="3" t="s">
        <v>131</v>
      </c>
      <c r="N3871" s="3" t="str">
        <f>CONCATENATE("MRVLRT59S27B474G")</f>
        <v>MRVLRT59S27B474G</v>
      </c>
      <c r="O3871" s="3" t="s">
        <v>3986</v>
      </c>
      <c r="P3871" s="3" t="s">
        <v>36</v>
      </c>
      <c r="Q3871" s="3"/>
      <c r="R3871" s="4">
        <v>45996</v>
      </c>
      <c r="S3871" s="3" t="s">
        <v>37</v>
      </c>
      <c r="T3871" s="3" t="s">
        <v>38</v>
      </c>
      <c r="U3871" s="3" t="s">
        <v>39</v>
      </c>
      <c r="V3871" s="3">
        <v>846.68</v>
      </c>
      <c r="W3871" s="3">
        <v>359.84</v>
      </c>
      <c r="X3871" s="3">
        <v>340.79</v>
      </c>
      <c r="Y3871" s="3">
        <v>146.05000000000001</v>
      </c>
    </row>
    <row r="3872" spans="1:25" ht="60.75" x14ac:dyDescent="0.25">
      <c r="A3872" s="3" t="s">
        <v>26</v>
      </c>
      <c r="B3872" s="3" t="s">
        <v>27</v>
      </c>
      <c r="C3872" s="3" t="s">
        <v>28</v>
      </c>
      <c r="D3872" s="3" t="s">
        <v>40</v>
      </c>
      <c r="E3872" s="3" t="s">
        <v>44</v>
      </c>
      <c r="F3872" s="3" t="s">
        <v>42</v>
      </c>
      <c r="G3872" s="3" t="s">
        <v>44</v>
      </c>
      <c r="H3872" s="3" t="s">
        <v>32</v>
      </c>
      <c r="I3872" s="3">
        <v>2025</v>
      </c>
      <c r="J3872" s="3" t="str">
        <f>CONCATENATE("54820019823")</f>
        <v>54820019823</v>
      </c>
      <c r="K3872" s="3" t="s">
        <v>33</v>
      </c>
      <c r="L3872" s="3"/>
      <c r="M3872" s="3" t="s">
        <v>131</v>
      </c>
      <c r="N3872" s="3" t="str">
        <f>CONCATENATE("RNZRLA65D09B474J")</f>
        <v>RNZRLA65D09B474J</v>
      </c>
      <c r="O3872" s="3" t="s">
        <v>3987</v>
      </c>
      <c r="P3872" s="3" t="s">
        <v>36</v>
      </c>
      <c r="Q3872" s="3"/>
      <c r="R3872" s="4">
        <v>45996</v>
      </c>
      <c r="S3872" s="3" t="s">
        <v>37</v>
      </c>
      <c r="T3872" s="3" t="s">
        <v>38</v>
      </c>
      <c r="U3872" s="3" t="s">
        <v>39</v>
      </c>
      <c r="V3872" s="3">
        <v>586.78</v>
      </c>
      <c r="W3872" s="3">
        <v>249.38</v>
      </c>
      <c r="X3872" s="3">
        <v>236.18</v>
      </c>
      <c r="Y3872" s="3">
        <v>101.22</v>
      </c>
    </row>
    <row r="3873" spans="1:25" ht="60.75" x14ac:dyDescent="0.25">
      <c r="A3873" s="3" t="s">
        <v>26</v>
      </c>
      <c r="B3873" s="3" t="s">
        <v>27</v>
      </c>
      <c r="C3873" s="3" t="s">
        <v>28</v>
      </c>
      <c r="D3873" s="3" t="s">
        <v>29</v>
      </c>
      <c r="E3873" s="3" t="s">
        <v>119</v>
      </c>
      <c r="F3873" s="3" t="s">
        <v>31</v>
      </c>
      <c r="G3873" s="3" t="s">
        <v>119</v>
      </c>
      <c r="H3873" s="3" t="s">
        <v>96</v>
      </c>
      <c r="I3873" s="3">
        <v>2025</v>
      </c>
      <c r="J3873" s="3" t="str">
        <f>CONCATENATE("54820074232")</f>
        <v>54820074232</v>
      </c>
      <c r="K3873" s="3" t="s">
        <v>33</v>
      </c>
      <c r="L3873" s="3"/>
      <c r="M3873" s="3" t="s">
        <v>131</v>
      </c>
      <c r="N3873" s="3" t="str">
        <f>CONCATENATE("VTLDNL77T19I436G")</f>
        <v>VTLDNL77T19I436G</v>
      </c>
      <c r="O3873" s="3" t="s">
        <v>3988</v>
      </c>
      <c r="P3873" s="3" t="s">
        <v>36</v>
      </c>
      <c r="Q3873" s="3"/>
      <c r="R3873" s="4">
        <v>45996</v>
      </c>
      <c r="S3873" s="3" t="s">
        <v>37</v>
      </c>
      <c r="T3873" s="3" t="s">
        <v>38</v>
      </c>
      <c r="U3873" s="3" t="s">
        <v>39</v>
      </c>
      <c r="V3873" s="3">
        <v>146.03</v>
      </c>
      <c r="W3873" s="3">
        <v>62.06</v>
      </c>
      <c r="X3873" s="3">
        <v>58.78</v>
      </c>
      <c r="Y3873" s="3">
        <v>25.19</v>
      </c>
    </row>
    <row r="3874" spans="1:25" ht="60.75" x14ac:dyDescent="0.25">
      <c r="A3874" s="3" t="s">
        <v>26</v>
      </c>
      <c r="B3874" s="3" t="s">
        <v>27</v>
      </c>
      <c r="C3874" s="3" t="s">
        <v>28</v>
      </c>
      <c r="D3874" s="3" t="s">
        <v>29</v>
      </c>
      <c r="E3874" s="3" t="s">
        <v>233</v>
      </c>
      <c r="F3874" s="3" t="s">
        <v>31</v>
      </c>
      <c r="G3874" s="3" t="s">
        <v>233</v>
      </c>
      <c r="H3874" s="3" t="s">
        <v>96</v>
      </c>
      <c r="I3874" s="3">
        <v>2025</v>
      </c>
      <c r="J3874" s="3" t="str">
        <f>CONCATENATE("54820078084")</f>
        <v>54820078084</v>
      </c>
      <c r="K3874" s="3" t="s">
        <v>33</v>
      </c>
      <c r="L3874" s="3"/>
      <c r="M3874" s="3" t="s">
        <v>131</v>
      </c>
      <c r="N3874" s="3" t="str">
        <f>CONCATENATE("PLOGLI65S27A462K")</f>
        <v>PLOGLI65S27A462K</v>
      </c>
      <c r="O3874" s="3" t="s">
        <v>3989</v>
      </c>
      <c r="P3874" s="3" t="s">
        <v>36</v>
      </c>
      <c r="Q3874" s="3"/>
      <c r="R3874" s="4">
        <v>45996</v>
      </c>
      <c r="S3874" s="3" t="s">
        <v>37</v>
      </c>
      <c r="T3874" s="3" t="s">
        <v>38</v>
      </c>
      <c r="U3874" s="3" t="s">
        <v>39</v>
      </c>
      <c r="V3874" s="3">
        <v>236.64</v>
      </c>
      <c r="W3874" s="3">
        <v>100.57</v>
      </c>
      <c r="X3874" s="3">
        <v>95.25</v>
      </c>
      <c r="Y3874" s="3">
        <v>40.82</v>
      </c>
    </row>
    <row r="3875" spans="1:25" ht="60.75" x14ac:dyDescent="0.25">
      <c r="A3875" s="3" t="s">
        <v>26</v>
      </c>
      <c r="B3875" s="3" t="s">
        <v>27</v>
      </c>
      <c r="C3875" s="3" t="s">
        <v>28</v>
      </c>
      <c r="D3875" s="3" t="s">
        <v>40</v>
      </c>
      <c r="E3875" s="3" t="s">
        <v>218</v>
      </c>
      <c r="F3875" s="3" t="s">
        <v>42</v>
      </c>
      <c r="G3875" s="3" t="s">
        <v>218</v>
      </c>
      <c r="H3875" s="3" t="s">
        <v>45</v>
      </c>
      <c r="I3875" s="3">
        <v>2025</v>
      </c>
      <c r="J3875" s="3" t="str">
        <f>CONCATENATE("54820068085")</f>
        <v>54820068085</v>
      </c>
      <c r="K3875" s="3" t="s">
        <v>33</v>
      </c>
      <c r="L3875" s="3"/>
      <c r="M3875" s="3" t="s">
        <v>131</v>
      </c>
      <c r="N3875" s="3" t="str">
        <f>CONCATENATE("PLAGRG87C17I459X")</f>
        <v>PLAGRG87C17I459X</v>
      </c>
      <c r="O3875" s="3" t="s">
        <v>3990</v>
      </c>
      <c r="P3875" s="3" t="s">
        <v>36</v>
      </c>
      <c r="Q3875" s="3"/>
      <c r="R3875" s="4">
        <v>45996</v>
      </c>
      <c r="S3875" s="3" t="s">
        <v>37</v>
      </c>
      <c r="T3875" s="3" t="s">
        <v>38</v>
      </c>
      <c r="U3875" s="3" t="s">
        <v>39</v>
      </c>
      <c r="V3875" s="3">
        <v>299.08</v>
      </c>
      <c r="W3875" s="3">
        <v>127.11</v>
      </c>
      <c r="X3875" s="3">
        <v>120.38</v>
      </c>
      <c r="Y3875" s="3">
        <v>51.59</v>
      </c>
    </row>
    <row r="3876" spans="1:25" ht="60.75" x14ac:dyDescent="0.25">
      <c r="A3876" s="3" t="s">
        <v>26</v>
      </c>
      <c r="B3876" s="3" t="s">
        <v>27</v>
      </c>
      <c r="C3876" s="3" t="s">
        <v>28</v>
      </c>
      <c r="D3876" s="3" t="s">
        <v>29</v>
      </c>
      <c r="E3876" s="3" t="s">
        <v>47</v>
      </c>
      <c r="F3876" s="3" t="s">
        <v>31</v>
      </c>
      <c r="G3876" s="3" t="s">
        <v>47</v>
      </c>
      <c r="H3876" s="3" t="s">
        <v>48</v>
      </c>
      <c r="I3876" s="3">
        <v>2025</v>
      </c>
      <c r="J3876" s="3" t="str">
        <f>CONCATENATE("54820043765")</f>
        <v>54820043765</v>
      </c>
      <c r="K3876" s="3" t="s">
        <v>33</v>
      </c>
      <c r="L3876" s="3"/>
      <c r="M3876" s="3" t="s">
        <v>131</v>
      </c>
      <c r="N3876" s="3" t="str">
        <f>CONCATENATE("TRCFBA65S20A329C")</f>
        <v>TRCFBA65S20A329C</v>
      </c>
      <c r="O3876" s="3" t="s">
        <v>3991</v>
      </c>
      <c r="P3876" s="3" t="s">
        <v>36</v>
      </c>
      <c r="Q3876" s="3"/>
      <c r="R3876" s="4">
        <v>45996</v>
      </c>
      <c r="S3876" s="3" t="s">
        <v>37</v>
      </c>
      <c r="T3876" s="3" t="s">
        <v>38</v>
      </c>
      <c r="U3876" s="3" t="s">
        <v>39</v>
      </c>
      <c r="V3876" s="3">
        <v>697.3</v>
      </c>
      <c r="W3876" s="3">
        <v>296.35000000000002</v>
      </c>
      <c r="X3876" s="3">
        <v>280.66000000000003</v>
      </c>
      <c r="Y3876" s="3">
        <v>120.29</v>
      </c>
    </row>
    <row r="3877" spans="1:25" ht="60.75" x14ac:dyDescent="0.25">
      <c r="A3877" s="3" t="s">
        <v>26</v>
      </c>
      <c r="B3877" s="3" t="s">
        <v>27</v>
      </c>
      <c r="C3877" s="3" t="s">
        <v>28</v>
      </c>
      <c r="D3877" s="3" t="s">
        <v>3938</v>
      </c>
      <c r="E3877" s="3" t="s">
        <v>3939</v>
      </c>
      <c r="F3877" s="3" t="s">
        <v>31</v>
      </c>
      <c r="G3877" s="3" t="s">
        <v>47</v>
      </c>
      <c r="H3877" s="3" t="s">
        <v>48</v>
      </c>
      <c r="I3877" s="3">
        <v>2025</v>
      </c>
      <c r="J3877" s="3" t="str">
        <f>CONCATENATE("54820042890")</f>
        <v>54820042890</v>
      </c>
      <c r="K3877" s="3" t="s">
        <v>33</v>
      </c>
      <c r="L3877" s="3"/>
      <c r="M3877" s="3" t="s">
        <v>131</v>
      </c>
      <c r="N3877" s="3" t="str">
        <f>CONCATENATE("LCCSDR78D12D451E")</f>
        <v>LCCSDR78D12D451E</v>
      </c>
      <c r="O3877" s="3" t="s">
        <v>3992</v>
      </c>
      <c r="P3877" s="3" t="s">
        <v>36</v>
      </c>
      <c r="Q3877" s="3"/>
      <c r="R3877" s="4">
        <v>45996</v>
      </c>
      <c r="S3877" s="3" t="s">
        <v>37</v>
      </c>
      <c r="T3877" s="3" t="s">
        <v>38</v>
      </c>
      <c r="U3877" s="3" t="s">
        <v>39</v>
      </c>
      <c r="V3877" s="3">
        <v>648.82000000000005</v>
      </c>
      <c r="W3877" s="3">
        <v>275.75</v>
      </c>
      <c r="X3877" s="3">
        <v>261.14999999999998</v>
      </c>
      <c r="Y3877" s="3">
        <v>111.92</v>
      </c>
    </row>
    <row r="3878" spans="1:25" ht="60.75" x14ac:dyDescent="0.25">
      <c r="A3878" s="3" t="s">
        <v>26</v>
      </c>
      <c r="B3878" s="3" t="s">
        <v>27</v>
      </c>
      <c r="C3878" s="3" t="s">
        <v>28</v>
      </c>
      <c r="D3878" s="3" t="s">
        <v>29</v>
      </c>
      <c r="E3878" s="3" t="s">
        <v>68</v>
      </c>
      <c r="F3878" s="3" t="s">
        <v>31</v>
      </c>
      <c r="G3878" s="3" t="s">
        <v>68</v>
      </c>
      <c r="H3878" s="3" t="s">
        <v>32</v>
      </c>
      <c r="I3878" s="3">
        <v>2025</v>
      </c>
      <c r="J3878" s="3" t="str">
        <f>CONCATENATE("54820069562")</f>
        <v>54820069562</v>
      </c>
      <c r="K3878" s="3" t="s">
        <v>33</v>
      </c>
      <c r="L3878" s="3"/>
      <c r="M3878" s="3" t="s">
        <v>131</v>
      </c>
      <c r="N3878" s="3" t="str">
        <f>CONCATENATE("PSSFNC83C11B474K")</f>
        <v>PSSFNC83C11B474K</v>
      </c>
      <c r="O3878" s="3" t="s">
        <v>3993</v>
      </c>
      <c r="P3878" s="3" t="s">
        <v>36</v>
      </c>
      <c r="Q3878" s="3"/>
      <c r="R3878" s="4">
        <v>45996</v>
      </c>
      <c r="S3878" s="3" t="s">
        <v>37</v>
      </c>
      <c r="T3878" s="3" t="s">
        <v>38</v>
      </c>
      <c r="U3878" s="3" t="s">
        <v>39</v>
      </c>
      <c r="V3878" s="3">
        <v>230.99</v>
      </c>
      <c r="W3878" s="3">
        <v>98.17</v>
      </c>
      <c r="X3878" s="3">
        <v>92.97</v>
      </c>
      <c r="Y3878" s="3">
        <v>39.85</v>
      </c>
    </row>
    <row r="3879" spans="1:25" ht="60.75" x14ac:dyDescent="0.25">
      <c r="A3879" s="3" t="s">
        <v>26</v>
      </c>
      <c r="B3879" s="3" t="s">
        <v>27</v>
      </c>
      <c r="C3879" s="3" t="s">
        <v>28</v>
      </c>
      <c r="D3879" s="3" t="s">
        <v>29</v>
      </c>
      <c r="E3879" s="3" t="s">
        <v>72</v>
      </c>
      <c r="F3879" s="3" t="s">
        <v>31</v>
      </c>
      <c r="G3879" s="3" t="s">
        <v>72</v>
      </c>
      <c r="H3879" s="3" t="s">
        <v>45</v>
      </c>
      <c r="I3879" s="3">
        <v>2025</v>
      </c>
      <c r="J3879" s="3" t="str">
        <f>CONCATENATE("54820043450")</f>
        <v>54820043450</v>
      </c>
      <c r="K3879" s="3" t="s">
        <v>33</v>
      </c>
      <c r="L3879" s="3"/>
      <c r="M3879" s="3" t="s">
        <v>131</v>
      </c>
      <c r="N3879" s="3" t="str">
        <f>CONCATENATE("MRTLRA76D69C745F")</f>
        <v>MRTLRA76D69C745F</v>
      </c>
      <c r="O3879" s="3" t="s">
        <v>3994</v>
      </c>
      <c r="P3879" s="3" t="s">
        <v>36</v>
      </c>
      <c r="Q3879" s="3"/>
      <c r="R3879" s="4">
        <v>45996</v>
      </c>
      <c r="S3879" s="3" t="s">
        <v>37</v>
      </c>
      <c r="T3879" s="3" t="s">
        <v>38</v>
      </c>
      <c r="U3879" s="3" t="s">
        <v>39</v>
      </c>
      <c r="V3879" s="3">
        <v>441.17</v>
      </c>
      <c r="W3879" s="3">
        <v>187.5</v>
      </c>
      <c r="X3879" s="3">
        <v>177.57</v>
      </c>
      <c r="Y3879" s="3">
        <v>76.099999999999994</v>
      </c>
    </row>
    <row r="3880" spans="1:25" ht="60.75" x14ac:dyDescent="0.25">
      <c r="A3880" s="3" t="s">
        <v>26</v>
      </c>
      <c r="B3880" s="3" t="s">
        <v>27</v>
      </c>
      <c r="C3880" s="3" t="s">
        <v>28</v>
      </c>
      <c r="D3880" s="3" t="s">
        <v>50</v>
      </c>
      <c r="E3880" s="3" t="s">
        <v>147</v>
      </c>
      <c r="F3880" s="3" t="s">
        <v>52</v>
      </c>
      <c r="G3880" s="3" t="s">
        <v>147</v>
      </c>
      <c r="H3880" s="3" t="s">
        <v>45</v>
      </c>
      <c r="I3880" s="3">
        <v>2025</v>
      </c>
      <c r="J3880" s="3" t="str">
        <f>CONCATENATE("54820075882")</f>
        <v>54820075882</v>
      </c>
      <c r="K3880" s="3" t="s">
        <v>33</v>
      </c>
      <c r="L3880" s="3"/>
      <c r="M3880" s="3" t="s">
        <v>131</v>
      </c>
      <c r="N3880" s="3" t="str">
        <f>CONCATENATE("GRGNBR50E22D541W")</f>
        <v>GRGNBR50E22D541W</v>
      </c>
      <c r="O3880" s="3" t="s">
        <v>3995</v>
      </c>
      <c r="P3880" s="3" t="s">
        <v>36</v>
      </c>
      <c r="Q3880" s="3"/>
      <c r="R3880" s="4">
        <v>45996</v>
      </c>
      <c r="S3880" s="3" t="s">
        <v>37</v>
      </c>
      <c r="T3880" s="3" t="s">
        <v>38</v>
      </c>
      <c r="U3880" s="3" t="s">
        <v>39</v>
      </c>
      <c r="V3880" s="3">
        <v>182.91</v>
      </c>
      <c r="W3880" s="3">
        <v>77.739999999999995</v>
      </c>
      <c r="X3880" s="3">
        <v>73.62</v>
      </c>
      <c r="Y3880" s="3">
        <v>31.55</v>
      </c>
    </row>
    <row r="3881" spans="1:25" ht="60.75" x14ac:dyDescent="0.25">
      <c r="A3881" s="3" t="s">
        <v>26</v>
      </c>
      <c r="B3881" s="3" t="s">
        <v>27</v>
      </c>
      <c r="C3881" s="3" t="s">
        <v>28</v>
      </c>
      <c r="D3881" s="3" t="s">
        <v>29</v>
      </c>
      <c r="E3881" s="3" t="s">
        <v>233</v>
      </c>
      <c r="F3881" s="3" t="s">
        <v>31</v>
      </c>
      <c r="G3881" s="3" t="s">
        <v>233</v>
      </c>
      <c r="H3881" s="3" t="s">
        <v>96</v>
      </c>
      <c r="I3881" s="3">
        <v>2025</v>
      </c>
      <c r="J3881" s="3" t="str">
        <f>CONCATENATE("54820057195")</f>
        <v>54820057195</v>
      </c>
      <c r="K3881" s="3" t="s">
        <v>33</v>
      </c>
      <c r="L3881" s="3"/>
      <c r="M3881" s="3" t="s">
        <v>131</v>
      </c>
      <c r="N3881" s="3" t="str">
        <f>CONCATENATE("MRTMRA46C23A044I")</f>
        <v>MRTMRA46C23A044I</v>
      </c>
      <c r="O3881" s="3" t="s">
        <v>3996</v>
      </c>
      <c r="P3881" s="3" t="s">
        <v>36</v>
      </c>
      <c r="Q3881" s="3"/>
      <c r="R3881" s="4">
        <v>45996</v>
      </c>
      <c r="S3881" s="3" t="s">
        <v>37</v>
      </c>
      <c r="T3881" s="3" t="s">
        <v>38</v>
      </c>
      <c r="U3881" s="3" t="s">
        <v>39</v>
      </c>
      <c r="V3881" s="3">
        <v>71.040000000000006</v>
      </c>
      <c r="W3881" s="3">
        <v>30.19</v>
      </c>
      <c r="X3881" s="3">
        <v>28.59</v>
      </c>
      <c r="Y3881" s="3">
        <v>12.26</v>
      </c>
    </row>
    <row r="3882" spans="1:25" ht="60.75" x14ac:dyDescent="0.25">
      <c r="A3882" s="3" t="s">
        <v>26</v>
      </c>
      <c r="B3882" s="3" t="s">
        <v>27</v>
      </c>
      <c r="C3882" s="3" t="s">
        <v>28</v>
      </c>
      <c r="D3882" s="3" t="s">
        <v>40</v>
      </c>
      <c r="E3882" s="3" t="s">
        <v>44</v>
      </c>
      <c r="F3882" s="3" t="s">
        <v>42</v>
      </c>
      <c r="G3882" s="3" t="s">
        <v>44</v>
      </c>
      <c r="H3882" s="3" t="s">
        <v>32</v>
      </c>
      <c r="I3882" s="3">
        <v>2025</v>
      </c>
      <c r="J3882" s="3" t="str">
        <f>CONCATENATE("54820026281")</f>
        <v>54820026281</v>
      </c>
      <c r="K3882" s="3" t="s">
        <v>33</v>
      </c>
      <c r="L3882" s="3"/>
      <c r="M3882" s="3" t="s">
        <v>131</v>
      </c>
      <c r="N3882" s="3" t="str">
        <f>CONCATENATE("SBBMRP53E41B474Z")</f>
        <v>SBBMRP53E41B474Z</v>
      </c>
      <c r="O3882" s="3" t="s">
        <v>3997</v>
      </c>
      <c r="P3882" s="3" t="s">
        <v>36</v>
      </c>
      <c r="Q3882" s="3"/>
      <c r="R3882" s="4">
        <v>45996</v>
      </c>
      <c r="S3882" s="3" t="s">
        <v>37</v>
      </c>
      <c r="T3882" s="3" t="s">
        <v>38</v>
      </c>
      <c r="U3882" s="3" t="s">
        <v>39</v>
      </c>
      <c r="V3882" s="3">
        <v>49.25</v>
      </c>
      <c r="W3882" s="3">
        <v>20.93</v>
      </c>
      <c r="X3882" s="3">
        <v>19.82</v>
      </c>
      <c r="Y3882" s="3">
        <v>8.5</v>
      </c>
    </row>
    <row r="3883" spans="1:25" ht="36.75" x14ac:dyDescent="0.25">
      <c r="A3883" s="3" t="s">
        <v>26</v>
      </c>
      <c r="B3883" s="3" t="s">
        <v>27</v>
      </c>
      <c r="C3883" s="3" t="s">
        <v>28</v>
      </c>
      <c r="D3883" s="3" t="s">
        <v>40</v>
      </c>
      <c r="E3883" s="3" t="s">
        <v>54</v>
      </c>
      <c r="F3883" s="3" t="s">
        <v>42</v>
      </c>
      <c r="G3883" s="3" t="s">
        <v>54</v>
      </c>
      <c r="H3883" s="3" t="s">
        <v>45</v>
      </c>
      <c r="I3883" s="3">
        <v>2025</v>
      </c>
      <c r="J3883" s="3" t="str">
        <f>CONCATENATE("54820071311")</f>
        <v>54820071311</v>
      </c>
      <c r="K3883" s="3" t="s">
        <v>33</v>
      </c>
      <c r="L3883" s="3"/>
      <c r="M3883" s="3" t="s">
        <v>131</v>
      </c>
      <c r="N3883" s="3" t="str">
        <f>CONCATENATE("02746840418")</f>
        <v>02746840418</v>
      </c>
      <c r="O3883" s="3" t="s">
        <v>3998</v>
      </c>
      <c r="P3883" s="3" t="s">
        <v>36</v>
      </c>
      <c r="Q3883" s="3"/>
      <c r="R3883" s="4">
        <v>45996</v>
      </c>
      <c r="S3883" s="3" t="s">
        <v>37</v>
      </c>
      <c r="T3883" s="3" t="s">
        <v>38</v>
      </c>
      <c r="U3883" s="3" t="s">
        <v>39</v>
      </c>
      <c r="V3883" s="3">
        <v>664.57</v>
      </c>
      <c r="W3883" s="3">
        <v>282.44</v>
      </c>
      <c r="X3883" s="3">
        <v>267.49</v>
      </c>
      <c r="Y3883" s="3">
        <v>114.64</v>
      </c>
    </row>
    <row r="3884" spans="1:25" ht="60.75" x14ac:dyDescent="0.25">
      <c r="A3884" s="3" t="s">
        <v>26</v>
      </c>
      <c r="B3884" s="3" t="s">
        <v>27</v>
      </c>
      <c r="C3884" s="3" t="s">
        <v>28</v>
      </c>
      <c r="D3884" s="3" t="s">
        <v>29</v>
      </c>
      <c r="E3884" s="3" t="s">
        <v>68</v>
      </c>
      <c r="F3884" s="3" t="s">
        <v>31</v>
      </c>
      <c r="G3884" s="3" t="s">
        <v>68</v>
      </c>
      <c r="H3884" s="3" t="s">
        <v>32</v>
      </c>
      <c r="I3884" s="3">
        <v>2025</v>
      </c>
      <c r="J3884" s="3" t="str">
        <f>CONCATENATE("54820018205")</f>
        <v>54820018205</v>
      </c>
      <c r="K3884" s="3" t="s">
        <v>33</v>
      </c>
      <c r="L3884" s="3"/>
      <c r="M3884" s="3" t="s">
        <v>131</v>
      </c>
      <c r="N3884" s="3" t="str">
        <f>CONCATENATE("RCCGNN39E16F793D")</f>
        <v>RCCGNN39E16F793D</v>
      </c>
      <c r="O3884" s="3" t="s">
        <v>1932</v>
      </c>
      <c r="P3884" s="3" t="s">
        <v>36</v>
      </c>
      <c r="Q3884" s="3"/>
      <c r="R3884" s="4">
        <v>45996</v>
      </c>
      <c r="S3884" s="3" t="s">
        <v>37</v>
      </c>
      <c r="T3884" s="3" t="s">
        <v>38</v>
      </c>
      <c r="U3884" s="3" t="s">
        <v>39</v>
      </c>
      <c r="V3884" s="3">
        <v>115.68</v>
      </c>
      <c r="W3884" s="3">
        <v>49.16</v>
      </c>
      <c r="X3884" s="3">
        <v>46.56</v>
      </c>
      <c r="Y3884" s="3">
        <v>19.96</v>
      </c>
    </row>
    <row r="3885" spans="1:25" ht="60.75" x14ac:dyDescent="0.25">
      <c r="A3885" s="3" t="s">
        <v>26</v>
      </c>
      <c r="B3885" s="3" t="s">
        <v>27</v>
      </c>
      <c r="C3885" s="3" t="s">
        <v>28</v>
      </c>
      <c r="D3885" s="3" t="s">
        <v>29</v>
      </c>
      <c r="E3885" s="3" t="s">
        <v>80</v>
      </c>
      <c r="F3885" s="3" t="s">
        <v>31</v>
      </c>
      <c r="G3885" s="3" t="s">
        <v>80</v>
      </c>
      <c r="H3885" s="3" t="s">
        <v>45</v>
      </c>
      <c r="I3885" s="3">
        <v>2025</v>
      </c>
      <c r="J3885" s="3" t="str">
        <f>CONCATENATE("54820174651")</f>
        <v>54820174651</v>
      </c>
      <c r="K3885" s="3" t="s">
        <v>33</v>
      </c>
      <c r="L3885" s="3"/>
      <c r="M3885" s="3" t="s">
        <v>131</v>
      </c>
      <c r="N3885" s="3" t="str">
        <f>CONCATENATE("TNLSFN79T26L500B")</f>
        <v>TNLSFN79T26L500B</v>
      </c>
      <c r="O3885" s="3" t="s">
        <v>3999</v>
      </c>
      <c r="P3885" s="3" t="s">
        <v>36</v>
      </c>
      <c r="Q3885" s="3"/>
      <c r="R3885" s="4">
        <v>45996</v>
      </c>
      <c r="S3885" s="3" t="s">
        <v>37</v>
      </c>
      <c r="T3885" s="3" t="s">
        <v>38</v>
      </c>
      <c r="U3885" s="3" t="s">
        <v>39</v>
      </c>
      <c r="V3885" s="3">
        <v>306.54000000000002</v>
      </c>
      <c r="W3885" s="3">
        <v>130.28</v>
      </c>
      <c r="X3885" s="3">
        <v>123.38</v>
      </c>
      <c r="Y3885" s="3">
        <v>52.88</v>
      </c>
    </row>
    <row r="3886" spans="1:25" ht="60.75" x14ac:dyDescent="0.25">
      <c r="A3886" s="3" t="s">
        <v>26</v>
      </c>
      <c r="B3886" s="3" t="s">
        <v>27</v>
      </c>
      <c r="C3886" s="3" t="s">
        <v>28</v>
      </c>
      <c r="D3886" s="3" t="s">
        <v>50</v>
      </c>
      <c r="E3886" s="3" t="s">
        <v>252</v>
      </c>
      <c r="F3886" s="3" t="s">
        <v>52</v>
      </c>
      <c r="G3886" s="3" t="s">
        <v>252</v>
      </c>
      <c r="H3886" s="3" t="s">
        <v>45</v>
      </c>
      <c r="I3886" s="3">
        <v>2025</v>
      </c>
      <c r="J3886" s="3" t="str">
        <f>CONCATENATE("54820211735")</f>
        <v>54820211735</v>
      </c>
      <c r="K3886" s="3" t="s">
        <v>33</v>
      </c>
      <c r="L3886" s="3"/>
      <c r="M3886" s="3" t="s">
        <v>131</v>
      </c>
      <c r="N3886" s="3" t="str">
        <f>CONCATENATE("MRLLSN02T17D488T")</f>
        <v>MRLLSN02T17D488T</v>
      </c>
      <c r="O3886" s="3" t="s">
        <v>4000</v>
      </c>
      <c r="P3886" s="3" t="s">
        <v>36</v>
      </c>
      <c r="Q3886" s="3"/>
      <c r="R3886" s="4">
        <v>45996</v>
      </c>
      <c r="S3886" s="3" t="s">
        <v>37</v>
      </c>
      <c r="T3886" s="3" t="s">
        <v>38</v>
      </c>
      <c r="U3886" s="3" t="s">
        <v>39</v>
      </c>
      <c r="V3886" s="3">
        <v>520.96</v>
      </c>
      <c r="W3886" s="3">
        <v>221.41</v>
      </c>
      <c r="X3886" s="3">
        <v>209.69</v>
      </c>
      <c r="Y3886" s="3">
        <v>89.86</v>
      </c>
    </row>
    <row r="3887" spans="1:25" ht="60.75" x14ac:dyDescent="0.25">
      <c r="A3887" s="3" t="s">
        <v>26</v>
      </c>
      <c r="B3887" s="3" t="s">
        <v>27</v>
      </c>
      <c r="C3887" s="3" t="s">
        <v>28</v>
      </c>
      <c r="D3887" s="3" t="s">
        <v>50</v>
      </c>
      <c r="E3887" s="3" t="s">
        <v>147</v>
      </c>
      <c r="F3887" s="3" t="s">
        <v>52</v>
      </c>
      <c r="G3887" s="3" t="s">
        <v>147</v>
      </c>
      <c r="H3887" s="3" t="s">
        <v>45</v>
      </c>
      <c r="I3887" s="3">
        <v>2025</v>
      </c>
      <c r="J3887" s="3" t="str">
        <f>CONCATENATE("54820188222")</f>
        <v>54820188222</v>
      </c>
      <c r="K3887" s="3" t="s">
        <v>33</v>
      </c>
      <c r="L3887" s="3"/>
      <c r="M3887" s="3" t="s">
        <v>131</v>
      </c>
      <c r="N3887" s="3" t="str">
        <f>CONCATENATE("MRCLEI36D23L500S")</f>
        <v>MRCLEI36D23L500S</v>
      </c>
      <c r="O3887" s="3" t="s">
        <v>4001</v>
      </c>
      <c r="P3887" s="3" t="s">
        <v>36</v>
      </c>
      <c r="Q3887" s="3"/>
      <c r="R3887" s="4">
        <v>45996</v>
      </c>
      <c r="S3887" s="3" t="s">
        <v>37</v>
      </c>
      <c r="T3887" s="3" t="s">
        <v>38</v>
      </c>
      <c r="U3887" s="3" t="s">
        <v>39</v>
      </c>
      <c r="V3887" s="3">
        <v>183.93</v>
      </c>
      <c r="W3887" s="3">
        <v>78.17</v>
      </c>
      <c r="X3887" s="3">
        <v>74.03</v>
      </c>
      <c r="Y3887" s="3">
        <v>31.73</v>
      </c>
    </row>
    <row r="3888" spans="1:25" ht="36.75" x14ac:dyDescent="0.25">
      <c r="A3888" s="3" t="s">
        <v>26</v>
      </c>
      <c r="B3888" s="3" t="s">
        <v>27</v>
      </c>
      <c r="C3888" s="3" t="s">
        <v>28</v>
      </c>
      <c r="D3888" s="3" t="s">
        <v>264</v>
      </c>
      <c r="E3888" s="3" t="s">
        <v>265</v>
      </c>
      <c r="F3888" s="3" t="s">
        <v>266</v>
      </c>
      <c r="G3888" s="3" t="s">
        <v>265</v>
      </c>
      <c r="H3888" s="3" t="s">
        <v>45</v>
      </c>
      <c r="I3888" s="3">
        <v>2025</v>
      </c>
      <c r="J3888" s="3" t="str">
        <f>CONCATENATE("54820268883")</f>
        <v>54820268883</v>
      </c>
      <c r="K3888" s="3" t="s">
        <v>33</v>
      </c>
      <c r="L3888" s="3"/>
      <c r="M3888" s="3" t="s">
        <v>131</v>
      </c>
      <c r="N3888" s="3" t="str">
        <f>CONCATENATE("02761650411")</f>
        <v>02761650411</v>
      </c>
      <c r="O3888" s="3" t="s">
        <v>4002</v>
      </c>
      <c r="P3888" s="3" t="s">
        <v>36</v>
      </c>
      <c r="Q3888" s="3"/>
      <c r="R3888" s="4">
        <v>45996</v>
      </c>
      <c r="S3888" s="3" t="s">
        <v>37</v>
      </c>
      <c r="T3888" s="3" t="s">
        <v>38</v>
      </c>
      <c r="U3888" s="3" t="s">
        <v>39</v>
      </c>
      <c r="V3888" s="3">
        <v>677.34</v>
      </c>
      <c r="W3888" s="3">
        <v>287.87</v>
      </c>
      <c r="X3888" s="3">
        <v>272.63</v>
      </c>
      <c r="Y3888" s="3">
        <v>116.84</v>
      </c>
    </row>
    <row r="3889" spans="1:25" ht="60.75" x14ac:dyDescent="0.25">
      <c r="A3889" s="3" t="s">
        <v>26</v>
      </c>
      <c r="B3889" s="3" t="s">
        <v>27</v>
      </c>
      <c r="C3889" s="3" t="s">
        <v>28</v>
      </c>
      <c r="D3889" s="3" t="s">
        <v>40</v>
      </c>
      <c r="E3889" s="3" t="s">
        <v>54</v>
      </c>
      <c r="F3889" s="3" t="s">
        <v>42</v>
      </c>
      <c r="G3889" s="3" t="s">
        <v>54</v>
      </c>
      <c r="H3889" s="3" t="s">
        <v>45</v>
      </c>
      <c r="I3889" s="3">
        <v>2025</v>
      </c>
      <c r="J3889" s="3" t="str">
        <f>CONCATENATE("54820022165")</f>
        <v>54820022165</v>
      </c>
      <c r="K3889" s="3" t="s">
        <v>33</v>
      </c>
      <c r="L3889" s="3"/>
      <c r="M3889" s="3" t="s">
        <v>131</v>
      </c>
      <c r="N3889" s="3" t="str">
        <f>CONCATENATE("CPCGLN64B69B352I")</f>
        <v>CPCGLN64B69B352I</v>
      </c>
      <c r="O3889" s="3" t="s">
        <v>4003</v>
      </c>
      <c r="P3889" s="3" t="s">
        <v>36</v>
      </c>
      <c r="Q3889" s="3"/>
      <c r="R3889" s="4">
        <v>45996</v>
      </c>
      <c r="S3889" s="3" t="s">
        <v>37</v>
      </c>
      <c r="T3889" s="3" t="s">
        <v>38</v>
      </c>
      <c r="U3889" s="3" t="s">
        <v>39</v>
      </c>
      <c r="V3889" s="3">
        <v>761.6</v>
      </c>
      <c r="W3889" s="3">
        <v>323.68</v>
      </c>
      <c r="X3889" s="3">
        <v>306.54000000000002</v>
      </c>
      <c r="Y3889" s="3">
        <v>131.38</v>
      </c>
    </row>
    <row r="3890" spans="1:25" ht="60.75" x14ac:dyDescent="0.25">
      <c r="A3890" s="3" t="s">
        <v>26</v>
      </c>
      <c r="B3890" s="3" t="s">
        <v>27</v>
      </c>
      <c r="C3890" s="3" t="s">
        <v>28</v>
      </c>
      <c r="D3890" s="3" t="s">
        <v>29</v>
      </c>
      <c r="E3890" s="3" t="s">
        <v>136</v>
      </c>
      <c r="F3890" s="3" t="s">
        <v>31</v>
      </c>
      <c r="G3890" s="3" t="s">
        <v>136</v>
      </c>
      <c r="H3890" s="3" t="s">
        <v>48</v>
      </c>
      <c r="I3890" s="3">
        <v>2025</v>
      </c>
      <c r="J3890" s="3" t="str">
        <f>CONCATENATE("54820027941")</f>
        <v>54820027941</v>
      </c>
      <c r="K3890" s="3" t="s">
        <v>33</v>
      </c>
      <c r="L3890" s="3"/>
      <c r="M3890" s="3" t="s">
        <v>131</v>
      </c>
      <c r="N3890" s="3" t="str">
        <f>CONCATENATE("RFFGNN31A08I156R")</f>
        <v>RFFGNN31A08I156R</v>
      </c>
      <c r="O3890" s="3" t="s">
        <v>4004</v>
      </c>
      <c r="P3890" s="3" t="s">
        <v>36</v>
      </c>
      <c r="Q3890" s="3"/>
      <c r="R3890" s="4">
        <v>45996</v>
      </c>
      <c r="S3890" s="3" t="s">
        <v>37</v>
      </c>
      <c r="T3890" s="3" t="s">
        <v>38</v>
      </c>
      <c r="U3890" s="3" t="s">
        <v>39</v>
      </c>
      <c r="V3890" s="3">
        <v>123.84</v>
      </c>
      <c r="W3890" s="3">
        <v>52.63</v>
      </c>
      <c r="X3890" s="3">
        <v>49.85</v>
      </c>
      <c r="Y3890" s="3">
        <v>21.36</v>
      </c>
    </row>
    <row r="3891" spans="1:25" ht="60.75" x14ac:dyDescent="0.25">
      <c r="A3891" s="3" t="s">
        <v>26</v>
      </c>
      <c r="B3891" s="3" t="s">
        <v>27</v>
      </c>
      <c r="C3891" s="3" t="s">
        <v>28</v>
      </c>
      <c r="D3891" s="3" t="s">
        <v>29</v>
      </c>
      <c r="E3891" s="3" t="s">
        <v>186</v>
      </c>
      <c r="F3891" s="3" t="s">
        <v>31</v>
      </c>
      <c r="G3891" s="3" t="s">
        <v>186</v>
      </c>
      <c r="H3891" s="3" t="s">
        <v>45</v>
      </c>
      <c r="I3891" s="3">
        <v>2025</v>
      </c>
      <c r="J3891" s="3" t="str">
        <f>CONCATENATE("54820138474")</f>
        <v>54820138474</v>
      </c>
      <c r="K3891" s="3" t="s">
        <v>33</v>
      </c>
      <c r="L3891" s="3"/>
      <c r="M3891" s="3" t="s">
        <v>131</v>
      </c>
      <c r="N3891" s="3" t="str">
        <f>CONCATENATE("BLDGPP58C19G551K")</f>
        <v>BLDGPP58C19G551K</v>
      </c>
      <c r="O3891" s="3" t="s">
        <v>4005</v>
      </c>
      <c r="P3891" s="3" t="s">
        <v>36</v>
      </c>
      <c r="Q3891" s="3"/>
      <c r="R3891" s="4">
        <v>45996</v>
      </c>
      <c r="S3891" s="3" t="s">
        <v>37</v>
      </c>
      <c r="T3891" s="3" t="s">
        <v>38</v>
      </c>
      <c r="U3891" s="3" t="s">
        <v>39</v>
      </c>
      <c r="V3891" s="3">
        <v>543.26</v>
      </c>
      <c r="W3891" s="3">
        <v>230.89</v>
      </c>
      <c r="X3891" s="3">
        <v>218.66</v>
      </c>
      <c r="Y3891" s="3">
        <v>93.71</v>
      </c>
    </row>
    <row r="3892" spans="1:25" ht="60.75" x14ac:dyDescent="0.25">
      <c r="A3892" s="3" t="s">
        <v>26</v>
      </c>
      <c r="B3892" s="3" t="s">
        <v>27</v>
      </c>
      <c r="C3892" s="3" t="s">
        <v>28</v>
      </c>
      <c r="D3892" s="3" t="s">
        <v>29</v>
      </c>
      <c r="E3892" s="3" t="s">
        <v>56</v>
      </c>
      <c r="F3892" s="3" t="s">
        <v>31</v>
      </c>
      <c r="G3892" s="3" t="s">
        <v>56</v>
      </c>
      <c r="H3892" s="3" t="s">
        <v>32</v>
      </c>
      <c r="I3892" s="3">
        <v>2025</v>
      </c>
      <c r="J3892" s="3" t="str">
        <f>CONCATENATE("54820034665")</f>
        <v>54820034665</v>
      </c>
      <c r="K3892" s="3" t="s">
        <v>33</v>
      </c>
      <c r="L3892" s="3"/>
      <c r="M3892" s="3" t="s">
        <v>131</v>
      </c>
      <c r="N3892" s="3" t="str">
        <f>CONCATENATE("CGNLGU52P29I661R")</f>
        <v>CGNLGU52P29I661R</v>
      </c>
      <c r="O3892" s="3" t="s">
        <v>4006</v>
      </c>
      <c r="P3892" s="3" t="s">
        <v>36</v>
      </c>
      <c r="Q3892" s="3"/>
      <c r="R3892" s="4">
        <v>45996</v>
      </c>
      <c r="S3892" s="3" t="s">
        <v>37</v>
      </c>
      <c r="T3892" s="3" t="s">
        <v>38</v>
      </c>
      <c r="U3892" s="3" t="s">
        <v>39</v>
      </c>
      <c r="V3892" s="3">
        <v>345.44</v>
      </c>
      <c r="W3892" s="3">
        <v>146.81</v>
      </c>
      <c r="X3892" s="3">
        <v>139.04</v>
      </c>
      <c r="Y3892" s="3">
        <v>59.59</v>
      </c>
    </row>
    <row r="3893" spans="1:25" ht="60.75" x14ac:dyDescent="0.25">
      <c r="A3893" s="3" t="s">
        <v>26</v>
      </c>
      <c r="B3893" s="3" t="s">
        <v>27</v>
      </c>
      <c r="C3893" s="3" t="s">
        <v>28</v>
      </c>
      <c r="D3893" s="3" t="s">
        <v>29</v>
      </c>
      <c r="E3893" s="3" t="s">
        <v>72</v>
      </c>
      <c r="F3893" s="3" t="s">
        <v>31</v>
      </c>
      <c r="G3893" s="3" t="s">
        <v>72</v>
      </c>
      <c r="H3893" s="3" t="s">
        <v>45</v>
      </c>
      <c r="I3893" s="3">
        <v>2025</v>
      </c>
      <c r="J3893" s="3" t="str">
        <f>CONCATENATE("54820027263")</f>
        <v>54820027263</v>
      </c>
      <c r="K3893" s="3" t="s">
        <v>33</v>
      </c>
      <c r="L3893" s="3"/>
      <c r="M3893" s="3" t="s">
        <v>131</v>
      </c>
      <c r="N3893" s="3" t="str">
        <f>CONCATENATE("GRGLSN72T25D488O")</f>
        <v>GRGLSN72T25D488O</v>
      </c>
      <c r="O3893" s="3" t="s">
        <v>4007</v>
      </c>
      <c r="P3893" s="3" t="s">
        <v>36</v>
      </c>
      <c r="Q3893" s="3"/>
      <c r="R3893" s="4">
        <v>45996</v>
      </c>
      <c r="S3893" s="3" t="s">
        <v>37</v>
      </c>
      <c r="T3893" s="3" t="s">
        <v>38</v>
      </c>
      <c r="U3893" s="3" t="s">
        <v>39</v>
      </c>
      <c r="V3893" s="3">
        <v>401.72</v>
      </c>
      <c r="W3893" s="3">
        <v>170.73</v>
      </c>
      <c r="X3893" s="3">
        <v>161.69</v>
      </c>
      <c r="Y3893" s="3">
        <v>69.3</v>
      </c>
    </row>
    <row r="3894" spans="1:25" ht="60.75" x14ac:dyDescent="0.25">
      <c r="A3894" s="3" t="s">
        <v>26</v>
      </c>
      <c r="B3894" s="3" t="s">
        <v>27</v>
      </c>
      <c r="C3894" s="3" t="s">
        <v>28</v>
      </c>
      <c r="D3894" s="3" t="s">
        <v>50</v>
      </c>
      <c r="E3894" s="3" t="s">
        <v>173</v>
      </c>
      <c r="F3894" s="3" t="s">
        <v>52</v>
      </c>
      <c r="G3894" s="3" t="s">
        <v>173</v>
      </c>
      <c r="H3894" s="3" t="s">
        <v>45</v>
      </c>
      <c r="I3894" s="3">
        <v>2025</v>
      </c>
      <c r="J3894" s="3" t="str">
        <f>CONCATENATE("54820069679")</f>
        <v>54820069679</v>
      </c>
      <c r="K3894" s="3" t="s">
        <v>33</v>
      </c>
      <c r="L3894" s="3"/>
      <c r="M3894" s="3" t="s">
        <v>131</v>
      </c>
      <c r="N3894" s="3" t="str">
        <f>CONCATENATE("PCCGNN49R14E785X")</f>
        <v>PCCGNN49R14E785X</v>
      </c>
      <c r="O3894" s="3" t="s">
        <v>4008</v>
      </c>
      <c r="P3894" s="3" t="s">
        <v>36</v>
      </c>
      <c r="Q3894" s="3"/>
      <c r="R3894" s="4">
        <v>45996</v>
      </c>
      <c r="S3894" s="3" t="s">
        <v>37</v>
      </c>
      <c r="T3894" s="3" t="s">
        <v>38</v>
      </c>
      <c r="U3894" s="3" t="s">
        <v>39</v>
      </c>
      <c r="V3894" s="5">
        <v>1003.16</v>
      </c>
      <c r="W3894" s="3">
        <v>426.34</v>
      </c>
      <c r="X3894" s="3">
        <v>403.77</v>
      </c>
      <c r="Y3894" s="3">
        <v>173.05</v>
      </c>
    </row>
    <row r="3895" spans="1:25" ht="60.75" x14ac:dyDescent="0.25">
      <c r="A3895" s="3" t="s">
        <v>26</v>
      </c>
      <c r="B3895" s="3" t="s">
        <v>27</v>
      </c>
      <c r="C3895" s="3" t="s">
        <v>28</v>
      </c>
      <c r="D3895" s="3" t="s">
        <v>29</v>
      </c>
      <c r="E3895" s="3" t="s">
        <v>47</v>
      </c>
      <c r="F3895" s="3" t="s">
        <v>31</v>
      </c>
      <c r="G3895" s="3" t="s">
        <v>47</v>
      </c>
      <c r="H3895" s="3" t="s">
        <v>48</v>
      </c>
      <c r="I3895" s="3">
        <v>2025</v>
      </c>
      <c r="J3895" s="3" t="str">
        <f>CONCATENATE("54820191192")</f>
        <v>54820191192</v>
      </c>
      <c r="K3895" s="3" t="s">
        <v>33</v>
      </c>
      <c r="L3895" s="3"/>
      <c r="M3895" s="3" t="s">
        <v>131</v>
      </c>
      <c r="N3895" s="3" t="str">
        <f>CONCATENATE("CCCGNI73L03D451Q")</f>
        <v>CCCGNI73L03D451Q</v>
      </c>
      <c r="O3895" s="3" t="s">
        <v>4009</v>
      </c>
      <c r="P3895" s="3" t="s">
        <v>36</v>
      </c>
      <c r="Q3895" s="3"/>
      <c r="R3895" s="4">
        <v>45996</v>
      </c>
      <c r="S3895" s="3" t="s">
        <v>37</v>
      </c>
      <c r="T3895" s="3" t="s">
        <v>38</v>
      </c>
      <c r="U3895" s="3" t="s">
        <v>39</v>
      </c>
      <c r="V3895" s="3">
        <v>210.25</v>
      </c>
      <c r="W3895" s="3">
        <v>89.36</v>
      </c>
      <c r="X3895" s="3">
        <v>84.63</v>
      </c>
      <c r="Y3895" s="3">
        <v>36.26</v>
      </c>
    </row>
    <row r="3896" spans="1:25" ht="60.75" x14ac:dyDescent="0.25">
      <c r="A3896" s="3" t="s">
        <v>26</v>
      </c>
      <c r="B3896" s="3" t="s">
        <v>27</v>
      </c>
      <c r="C3896" s="3" t="s">
        <v>28</v>
      </c>
      <c r="D3896" s="3" t="s">
        <v>50</v>
      </c>
      <c r="E3896" s="3" t="s">
        <v>147</v>
      </c>
      <c r="F3896" s="3" t="s">
        <v>52</v>
      </c>
      <c r="G3896" s="3" t="s">
        <v>147</v>
      </c>
      <c r="H3896" s="3" t="s">
        <v>45</v>
      </c>
      <c r="I3896" s="3">
        <v>2025</v>
      </c>
      <c r="J3896" s="3" t="str">
        <f>CONCATENATE("54820140942")</f>
        <v>54820140942</v>
      </c>
      <c r="K3896" s="3" t="s">
        <v>33</v>
      </c>
      <c r="L3896" s="3"/>
      <c r="M3896" s="3" t="s">
        <v>131</v>
      </c>
      <c r="N3896" s="3" t="str">
        <f>CONCATENATE("RSSLDN65E45C830K")</f>
        <v>RSSLDN65E45C830K</v>
      </c>
      <c r="O3896" s="3" t="s">
        <v>4010</v>
      </c>
      <c r="P3896" s="3" t="s">
        <v>36</v>
      </c>
      <c r="Q3896" s="3"/>
      <c r="R3896" s="4">
        <v>45996</v>
      </c>
      <c r="S3896" s="3" t="s">
        <v>37</v>
      </c>
      <c r="T3896" s="3" t="s">
        <v>38</v>
      </c>
      <c r="U3896" s="3" t="s">
        <v>39</v>
      </c>
      <c r="V3896" s="3">
        <v>203.63</v>
      </c>
      <c r="W3896" s="3">
        <v>86.54</v>
      </c>
      <c r="X3896" s="3">
        <v>81.96</v>
      </c>
      <c r="Y3896" s="3">
        <v>35.130000000000003</v>
      </c>
    </row>
    <row r="3897" spans="1:25" ht="60.75" x14ac:dyDescent="0.25">
      <c r="A3897" s="3" t="s">
        <v>26</v>
      </c>
      <c r="B3897" s="3" t="s">
        <v>27</v>
      </c>
      <c r="C3897" s="3" t="s">
        <v>28</v>
      </c>
      <c r="D3897" s="3" t="s">
        <v>40</v>
      </c>
      <c r="E3897" s="3" t="s">
        <v>218</v>
      </c>
      <c r="F3897" s="3" t="s">
        <v>42</v>
      </c>
      <c r="G3897" s="3" t="s">
        <v>218</v>
      </c>
      <c r="H3897" s="3" t="s">
        <v>45</v>
      </c>
      <c r="I3897" s="3">
        <v>2025</v>
      </c>
      <c r="J3897" s="3" t="str">
        <f>CONCATENATE("54820026547")</f>
        <v>54820026547</v>
      </c>
      <c r="K3897" s="3" t="s">
        <v>33</v>
      </c>
      <c r="L3897" s="3"/>
      <c r="M3897" s="3" t="s">
        <v>131</v>
      </c>
      <c r="N3897" s="3" t="str">
        <f>CONCATENATE("GNSMCL72M10L500C")</f>
        <v>GNSMCL72M10L500C</v>
      </c>
      <c r="O3897" s="3" t="s">
        <v>4011</v>
      </c>
      <c r="P3897" s="3" t="s">
        <v>36</v>
      </c>
      <c r="Q3897" s="3"/>
      <c r="R3897" s="4">
        <v>45996</v>
      </c>
      <c r="S3897" s="3" t="s">
        <v>37</v>
      </c>
      <c r="T3897" s="3" t="s">
        <v>38</v>
      </c>
      <c r="U3897" s="3" t="s">
        <v>39</v>
      </c>
      <c r="V3897" s="3">
        <v>126.91</v>
      </c>
      <c r="W3897" s="3">
        <v>53.94</v>
      </c>
      <c r="X3897" s="3">
        <v>51.08</v>
      </c>
      <c r="Y3897" s="3">
        <v>21.89</v>
      </c>
    </row>
    <row r="3898" spans="1:25" ht="60.75" x14ac:dyDescent="0.25">
      <c r="A3898" s="3" t="s">
        <v>26</v>
      </c>
      <c r="B3898" s="3" t="s">
        <v>27</v>
      </c>
      <c r="C3898" s="3" t="s">
        <v>28</v>
      </c>
      <c r="D3898" s="3" t="s">
        <v>29</v>
      </c>
      <c r="E3898" s="3" t="s">
        <v>136</v>
      </c>
      <c r="F3898" s="3" t="s">
        <v>31</v>
      </c>
      <c r="G3898" s="3" t="s">
        <v>136</v>
      </c>
      <c r="H3898" s="3" t="s">
        <v>48</v>
      </c>
      <c r="I3898" s="3">
        <v>2025</v>
      </c>
      <c r="J3898" s="3" t="str">
        <f>CONCATENATE("54820067269")</f>
        <v>54820067269</v>
      </c>
      <c r="K3898" s="3" t="s">
        <v>33</v>
      </c>
      <c r="L3898" s="3"/>
      <c r="M3898" s="3" t="s">
        <v>131</v>
      </c>
      <c r="N3898" s="3" t="str">
        <f>CONCATENATE("GRTNND33D03H958C")</f>
        <v>GRTNND33D03H958C</v>
      </c>
      <c r="O3898" s="3" t="s">
        <v>4012</v>
      </c>
      <c r="P3898" s="3" t="s">
        <v>36</v>
      </c>
      <c r="Q3898" s="3"/>
      <c r="R3898" s="4">
        <v>45996</v>
      </c>
      <c r="S3898" s="3" t="s">
        <v>37</v>
      </c>
      <c r="T3898" s="3" t="s">
        <v>38</v>
      </c>
      <c r="U3898" s="3" t="s">
        <v>39</v>
      </c>
      <c r="V3898" s="3">
        <v>313.66000000000003</v>
      </c>
      <c r="W3898" s="3">
        <v>133.31</v>
      </c>
      <c r="X3898" s="3">
        <v>126.25</v>
      </c>
      <c r="Y3898" s="3">
        <v>54.1</v>
      </c>
    </row>
    <row r="3899" spans="1:25" ht="72.75" x14ac:dyDescent="0.25">
      <c r="A3899" s="3" t="s">
        <v>26</v>
      </c>
      <c r="B3899" s="3" t="s">
        <v>27</v>
      </c>
      <c r="C3899" s="3" t="s">
        <v>28</v>
      </c>
      <c r="D3899" s="3" t="s">
        <v>40</v>
      </c>
      <c r="E3899" s="3" t="s">
        <v>287</v>
      </c>
      <c r="F3899" s="3" t="s">
        <v>42</v>
      </c>
      <c r="G3899" s="3" t="s">
        <v>287</v>
      </c>
      <c r="H3899" s="3" t="s">
        <v>32</v>
      </c>
      <c r="I3899" s="3">
        <v>2025</v>
      </c>
      <c r="J3899" s="3" t="str">
        <f>CONCATENATE("54820107081")</f>
        <v>54820107081</v>
      </c>
      <c r="K3899" s="3" t="s">
        <v>33</v>
      </c>
      <c r="L3899" s="3"/>
      <c r="M3899" s="3" t="s">
        <v>131</v>
      </c>
      <c r="N3899" s="3" t="str">
        <f>CONCATENATE("GVNMRZ58R01G657R")</f>
        <v>GVNMRZ58R01G657R</v>
      </c>
      <c r="O3899" s="3" t="s">
        <v>4013</v>
      </c>
      <c r="P3899" s="3" t="s">
        <v>36</v>
      </c>
      <c r="Q3899" s="3"/>
      <c r="R3899" s="4">
        <v>45996</v>
      </c>
      <c r="S3899" s="3" t="s">
        <v>37</v>
      </c>
      <c r="T3899" s="3" t="s">
        <v>38</v>
      </c>
      <c r="U3899" s="3" t="s">
        <v>39</v>
      </c>
      <c r="V3899" s="3">
        <v>76.47</v>
      </c>
      <c r="W3899" s="3">
        <v>32.5</v>
      </c>
      <c r="X3899" s="3">
        <v>30.78</v>
      </c>
      <c r="Y3899" s="3">
        <v>13.19</v>
      </c>
    </row>
    <row r="3900" spans="1:25" ht="60.75" x14ac:dyDescent="0.25">
      <c r="A3900" s="3" t="s">
        <v>26</v>
      </c>
      <c r="B3900" s="3" t="s">
        <v>27</v>
      </c>
      <c r="C3900" s="3" t="s">
        <v>28</v>
      </c>
      <c r="D3900" s="3" t="s">
        <v>40</v>
      </c>
      <c r="E3900" s="3" t="s">
        <v>218</v>
      </c>
      <c r="F3900" s="3" t="s">
        <v>42</v>
      </c>
      <c r="G3900" s="3" t="s">
        <v>218</v>
      </c>
      <c r="H3900" s="3" t="s">
        <v>45</v>
      </c>
      <c r="I3900" s="3">
        <v>2025</v>
      </c>
      <c r="J3900" s="3" t="str">
        <f>CONCATENATE("54820030945")</f>
        <v>54820030945</v>
      </c>
      <c r="K3900" s="3" t="s">
        <v>33</v>
      </c>
      <c r="L3900" s="3"/>
      <c r="M3900" s="3" t="s">
        <v>131</v>
      </c>
      <c r="N3900" s="3" t="str">
        <f>CONCATENATE("GMBGRT92L70L500Q")</f>
        <v>GMBGRT92L70L500Q</v>
      </c>
      <c r="O3900" s="3" t="s">
        <v>4014</v>
      </c>
      <c r="P3900" s="3" t="s">
        <v>36</v>
      </c>
      <c r="Q3900" s="3"/>
      <c r="R3900" s="4">
        <v>45996</v>
      </c>
      <c r="S3900" s="3" t="s">
        <v>37</v>
      </c>
      <c r="T3900" s="3" t="s">
        <v>38</v>
      </c>
      <c r="U3900" s="3" t="s">
        <v>39</v>
      </c>
      <c r="V3900" s="3">
        <v>749.58</v>
      </c>
      <c r="W3900" s="3">
        <v>318.57</v>
      </c>
      <c r="X3900" s="3">
        <v>301.70999999999998</v>
      </c>
      <c r="Y3900" s="3">
        <v>129.30000000000001</v>
      </c>
    </row>
    <row r="3901" spans="1:25" ht="60.75" x14ac:dyDescent="0.25">
      <c r="A3901" s="3" t="s">
        <v>26</v>
      </c>
      <c r="B3901" s="3" t="s">
        <v>27</v>
      </c>
      <c r="C3901" s="3" t="s">
        <v>28</v>
      </c>
      <c r="D3901" s="3" t="s">
        <v>50</v>
      </c>
      <c r="E3901" s="3" t="s">
        <v>212</v>
      </c>
      <c r="F3901" s="3" t="s">
        <v>52</v>
      </c>
      <c r="G3901" s="3" t="s">
        <v>212</v>
      </c>
      <c r="H3901" s="3" t="s">
        <v>32</v>
      </c>
      <c r="I3901" s="3">
        <v>2025</v>
      </c>
      <c r="J3901" s="3" t="str">
        <f>CONCATENATE("54820025572")</f>
        <v>54820025572</v>
      </c>
      <c r="K3901" s="3" t="s">
        <v>33</v>
      </c>
      <c r="L3901" s="3"/>
      <c r="M3901" s="3" t="s">
        <v>131</v>
      </c>
      <c r="N3901" s="3" t="str">
        <f>CONCATENATE("STRLRT60T18B398G")</f>
        <v>STRLRT60T18B398G</v>
      </c>
      <c r="O3901" s="3" t="s">
        <v>4015</v>
      </c>
      <c r="P3901" s="3" t="s">
        <v>36</v>
      </c>
      <c r="Q3901" s="3"/>
      <c r="R3901" s="4">
        <v>45996</v>
      </c>
      <c r="S3901" s="3" t="s">
        <v>37</v>
      </c>
      <c r="T3901" s="3" t="s">
        <v>38</v>
      </c>
      <c r="U3901" s="3" t="s">
        <v>39</v>
      </c>
      <c r="V3901" s="3">
        <v>97.46</v>
      </c>
      <c r="W3901" s="3">
        <v>41.42</v>
      </c>
      <c r="X3901" s="3">
        <v>39.229999999999997</v>
      </c>
      <c r="Y3901" s="3">
        <v>16.809999999999999</v>
      </c>
    </row>
    <row r="3902" spans="1:25" ht="60.75" x14ac:dyDescent="0.25">
      <c r="A3902" s="3" t="s">
        <v>26</v>
      </c>
      <c r="B3902" s="3" t="s">
        <v>27</v>
      </c>
      <c r="C3902" s="3" t="s">
        <v>28</v>
      </c>
      <c r="D3902" s="3" t="s">
        <v>29</v>
      </c>
      <c r="E3902" s="3" t="s">
        <v>72</v>
      </c>
      <c r="F3902" s="3" t="s">
        <v>31</v>
      </c>
      <c r="G3902" s="3" t="s">
        <v>72</v>
      </c>
      <c r="H3902" s="3" t="s">
        <v>45</v>
      </c>
      <c r="I3902" s="3">
        <v>2025</v>
      </c>
      <c r="J3902" s="3" t="str">
        <f>CONCATENATE("54820023809")</f>
        <v>54820023809</v>
      </c>
      <c r="K3902" s="3" t="s">
        <v>33</v>
      </c>
      <c r="L3902" s="3"/>
      <c r="M3902" s="3" t="s">
        <v>131</v>
      </c>
      <c r="N3902" s="3" t="str">
        <f>CONCATENATE("FRLGNS83L43D488Y")</f>
        <v>FRLGNS83L43D488Y</v>
      </c>
      <c r="O3902" s="3" t="s">
        <v>4016</v>
      </c>
      <c r="P3902" s="3" t="s">
        <v>36</v>
      </c>
      <c r="Q3902" s="3"/>
      <c r="R3902" s="4">
        <v>45996</v>
      </c>
      <c r="S3902" s="3" t="s">
        <v>37</v>
      </c>
      <c r="T3902" s="3" t="s">
        <v>38</v>
      </c>
      <c r="U3902" s="3" t="s">
        <v>39</v>
      </c>
      <c r="V3902" s="3">
        <v>292.08999999999997</v>
      </c>
      <c r="W3902" s="3">
        <v>124.14</v>
      </c>
      <c r="X3902" s="3">
        <v>117.57</v>
      </c>
      <c r="Y3902" s="3">
        <v>50.38</v>
      </c>
    </row>
    <row r="3903" spans="1:25" ht="60.75" x14ac:dyDescent="0.25">
      <c r="A3903" s="3" t="s">
        <v>26</v>
      </c>
      <c r="B3903" s="3" t="s">
        <v>27</v>
      </c>
      <c r="C3903" s="3" t="s">
        <v>28</v>
      </c>
      <c r="D3903" s="3" t="s">
        <v>29</v>
      </c>
      <c r="E3903" s="3" t="s">
        <v>80</v>
      </c>
      <c r="F3903" s="3" t="s">
        <v>31</v>
      </c>
      <c r="G3903" s="3" t="s">
        <v>80</v>
      </c>
      <c r="H3903" s="3" t="s">
        <v>45</v>
      </c>
      <c r="I3903" s="3">
        <v>2025</v>
      </c>
      <c r="J3903" s="3" t="str">
        <f>CONCATENATE("54820068796")</f>
        <v>54820068796</v>
      </c>
      <c r="K3903" s="3" t="s">
        <v>33</v>
      </c>
      <c r="L3903" s="3"/>
      <c r="M3903" s="3" t="s">
        <v>131</v>
      </c>
      <c r="N3903" s="3" t="str">
        <f>CONCATENATE("BCCMRA58T17G453D")</f>
        <v>BCCMRA58T17G453D</v>
      </c>
      <c r="O3903" s="3" t="s">
        <v>4017</v>
      </c>
      <c r="P3903" s="3" t="s">
        <v>36</v>
      </c>
      <c r="Q3903" s="3"/>
      <c r="R3903" s="4">
        <v>45996</v>
      </c>
      <c r="S3903" s="3" t="s">
        <v>37</v>
      </c>
      <c r="T3903" s="3" t="s">
        <v>38</v>
      </c>
      <c r="U3903" s="3" t="s">
        <v>39</v>
      </c>
      <c r="V3903" s="3">
        <v>490.1</v>
      </c>
      <c r="W3903" s="3">
        <v>208.29</v>
      </c>
      <c r="X3903" s="3">
        <v>197.27</v>
      </c>
      <c r="Y3903" s="3">
        <v>84.54</v>
      </c>
    </row>
    <row r="3904" spans="1:25" ht="60.75" x14ac:dyDescent="0.25">
      <c r="A3904" s="3" t="s">
        <v>26</v>
      </c>
      <c r="B3904" s="3" t="s">
        <v>27</v>
      </c>
      <c r="C3904" s="3" t="s">
        <v>28</v>
      </c>
      <c r="D3904" s="3" t="s">
        <v>29</v>
      </c>
      <c r="E3904" s="3" t="s">
        <v>47</v>
      </c>
      <c r="F3904" s="3" t="s">
        <v>31</v>
      </c>
      <c r="G3904" s="3" t="s">
        <v>47</v>
      </c>
      <c r="H3904" s="3" t="s">
        <v>48</v>
      </c>
      <c r="I3904" s="3">
        <v>2025</v>
      </c>
      <c r="J3904" s="3" t="str">
        <f>CONCATENATE("54820030952")</f>
        <v>54820030952</v>
      </c>
      <c r="K3904" s="3" t="s">
        <v>33</v>
      </c>
      <c r="L3904" s="3"/>
      <c r="M3904" s="3" t="s">
        <v>131</v>
      </c>
      <c r="N3904" s="3" t="str">
        <f>CONCATENATE("GLDNDR83H29E388O")</f>
        <v>GLDNDR83H29E388O</v>
      </c>
      <c r="O3904" s="3" t="s">
        <v>4018</v>
      </c>
      <c r="P3904" s="3" t="s">
        <v>36</v>
      </c>
      <c r="Q3904" s="3"/>
      <c r="R3904" s="4">
        <v>45996</v>
      </c>
      <c r="S3904" s="3" t="s">
        <v>37</v>
      </c>
      <c r="T3904" s="3" t="s">
        <v>38</v>
      </c>
      <c r="U3904" s="3" t="s">
        <v>39</v>
      </c>
      <c r="V3904" s="3">
        <v>67.48</v>
      </c>
      <c r="W3904" s="3">
        <v>28.68</v>
      </c>
      <c r="X3904" s="3">
        <v>27.16</v>
      </c>
      <c r="Y3904" s="3">
        <v>11.64</v>
      </c>
    </row>
    <row r="3905" spans="1:25" ht="72.75" x14ac:dyDescent="0.25">
      <c r="A3905" s="3" t="s">
        <v>26</v>
      </c>
      <c r="B3905" s="3" t="s">
        <v>27</v>
      </c>
      <c r="C3905" s="3" t="s">
        <v>28</v>
      </c>
      <c r="D3905" s="3" t="s">
        <v>29</v>
      </c>
      <c r="E3905" s="3" t="s">
        <v>80</v>
      </c>
      <c r="F3905" s="3" t="s">
        <v>31</v>
      </c>
      <c r="G3905" s="3" t="s">
        <v>80</v>
      </c>
      <c r="H3905" s="3" t="s">
        <v>45</v>
      </c>
      <c r="I3905" s="3">
        <v>2025</v>
      </c>
      <c r="J3905" s="3" t="str">
        <f>CONCATENATE("54820034459")</f>
        <v>54820034459</v>
      </c>
      <c r="K3905" s="3" t="s">
        <v>33</v>
      </c>
      <c r="L3905" s="3"/>
      <c r="M3905" s="3" t="s">
        <v>131</v>
      </c>
      <c r="N3905" s="3" t="str">
        <f>CONCATENATE("MTRNMR58E57I923B")</f>
        <v>MTRNMR58E57I923B</v>
      </c>
      <c r="O3905" s="3" t="s">
        <v>4019</v>
      </c>
      <c r="P3905" s="3" t="s">
        <v>36</v>
      </c>
      <c r="Q3905" s="3"/>
      <c r="R3905" s="4">
        <v>45996</v>
      </c>
      <c r="S3905" s="3" t="s">
        <v>37</v>
      </c>
      <c r="T3905" s="3" t="s">
        <v>38</v>
      </c>
      <c r="U3905" s="3" t="s">
        <v>39</v>
      </c>
      <c r="V3905" s="3">
        <v>160.66999999999999</v>
      </c>
      <c r="W3905" s="3">
        <v>68.28</v>
      </c>
      <c r="X3905" s="3">
        <v>64.67</v>
      </c>
      <c r="Y3905" s="3">
        <v>27.72</v>
      </c>
    </row>
    <row r="3906" spans="1:25" ht="36.75" x14ac:dyDescent="0.25">
      <c r="A3906" s="3" t="s">
        <v>26</v>
      </c>
      <c r="B3906" s="3" t="s">
        <v>27</v>
      </c>
      <c r="C3906" s="3" t="s">
        <v>28</v>
      </c>
      <c r="D3906" s="3" t="s">
        <v>50</v>
      </c>
      <c r="E3906" s="3" t="s">
        <v>290</v>
      </c>
      <c r="F3906" s="3" t="s">
        <v>52</v>
      </c>
      <c r="G3906" s="3" t="s">
        <v>290</v>
      </c>
      <c r="H3906" s="3" t="s">
        <v>96</v>
      </c>
      <c r="I3906" s="3">
        <v>2025</v>
      </c>
      <c r="J3906" s="3" t="str">
        <f>CONCATENATE("54820040787")</f>
        <v>54820040787</v>
      </c>
      <c r="K3906" s="3" t="s">
        <v>33</v>
      </c>
      <c r="L3906" s="3"/>
      <c r="M3906" s="3" t="s">
        <v>131</v>
      </c>
      <c r="N3906" s="3" t="str">
        <f>CONCATENATE("01882010448")</f>
        <v>01882010448</v>
      </c>
      <c r="O3906" s="3" t="s">
        <v>4020</v>
      </c>
      <c r="P3906" s="3" t="s">
        <v>36</v>
      </c>
      <c r="Q3906" s="3"/>
      <c r="R3906" s="4">
        <v>45996</v>
      </c>
      <c r="S3906" s="3" t="s">
        <v>37</v>
      </c>
      <c r="T3906" s="3" t="s">
        <v>38</v>
      </c>
      <c r="U3906" s="3" t="s">
        <v>39</v>
      </c>
      <c r="V3906" s="3">
        <v>180.35</v>
      </c>
      <c r="W3906" s="3">
        <v>76.650000000000006</v>
      </c>
      <c r="X3906" s="3">
        <v>72.59</v>
      </c>
      <c r="Y3906" s="3">
        <v>31.11</v>
      </c>
    </row>
    <row r="3907" spans="1:25" ht="60.75" x14ac:dyDescent="0.25">
      <c r="A3907" s="3" t="s">
        <v>26</v>
      </c>
      <c r="B3907" s="3" t="s">
        <v>27</v>
      </c>
      <c r="C3907" s="3" t="s">
        <v>28</v>
      </c>
      <c r="D3907" s="3" t="s">
        <v>29</v>
      </c>
      <c r="E3907" s="3" t="s">
        <v>56</v>
      </c>
      <c r="F3907" s="3" t="s">
        <v>31</v>
      </c>
      <c r="G3907" s="3" t="s">
        <v>56</v>
      </c>
      <c r="H3907" s="3" t="s">
        <v>32</v>
      </c>
      <c r="I3907" s="3">
        <v>2025</v>
      </c>
      <c r="J3907" s="3" t="str">
        <f>CONCATENATE("54820010053")</f>
        <v>54820010053</v>
      </c>
      <c r="K3907" s="3" t="s">
        <v>33</v>
      </c>
      <c r="L3907" s="3"/>
      <c r="M3907" s="3" t="s">
        <v>131</v>
      </c>
      <c r="N3907" s="3" t="str">
        <f>CONCATENATE("RPNFMN38A69M078F")</f>
        <v>RPNFMN38A69M078F</v>
      </c>
      <c r="O3907" s="3" t="s">
        <v>4021</v>
      </c>
      <c r="P3907" s="3" t="s">
        <v>36</v>
      </c>
      <c r="Q3907" s="3"/>
      <c r="R3907" s="4">
        <v>45996</v>
      </c>
      <c r="S3907" s="3" t="s">
        <v>37</v>
      </c>
      <c r="T3907" s="3" t="s">
        <v>38</v>
      </c>
      <c r="U3907" s="3" t="s">
        <v>39</v>
      </c>
      <c r="V3907" s="3">
        <v>176.59</v>
      </c>
      <c r="W3907" s="3">
        <v>75.05</v>
      </c>
      <c r="X3907" s="3">
        <v>71.08</v>
      </c>
      <c r="Y3907" s="3">
        <v>30.46</v>
      </c>
    </row>
    <row r="3908" spans="1:25" ht="60.75" x14ac:dyDescent="0.25">
      <c r="A3908" s="3" t="s">
        <v>26</v>
      </c>
      <c r="B3908" s="3" t="s">
        <v>27</v>
      </c>
      <c r="C3908" s="3" t="s">
        <v>28</v>
      </c>
      <c r="D3908" s="3" t="s">
        <v>29</v>
      </c>
      <c r="E3908" s="3" t="s">
        <v>80</v>
      </c>
      <c r="F3908" s="3" t="s">
        <v>31</v>
      </c>
      <c r="G3908" s="3" t="s">
        <v>80</v>
      </c>
      <c r="H3908" s="3" t="s">
        <v>45</v>
      </c>
      <c r="I3908" s="3">
        <v>2025</v>
      </c>
      <c r="J3908" s="3" t="str">
        <f>CONCATENATE("54820032388")</f>
        <v>54820032388</v>
      </c>
      <c r="K3908" s="3" t="s">
        <v>33</v>
      </c>
      <c r="L3908" s="3"/>
      <c r="M3908" s="3" t="s">
        <v>131</v>
      </c>
      <c r="N3908" s="3" t="str">
        <f>CONCATENATE("VTICSC62R10G453O")</f>
        <v>VTICSC62R10G453O</v>
      </c>
      <c r="O3908" s="3" t="s">
        <v>4022</v>
      </c>
      <c r="P3908" s="3" t="s">
        <v>36</v>
      </c>
      <c r="Q3908" s="3"/>
      <c r="R3908" s="4">
        <v>45996</v>
      </c>
      <c r="S3908" s="3" t="s">
        <v>37</v>
      </c>
      <c r="T3908" s="3" t="s">
        <v>38</v>
      </c>
      <c r="U3908" s="3" t="s">
        <v>39</v>
      </c>
      <c r="V3908" s="3">
        <v>714.18</v>
      </c>
      <c r="W3908" s="3">
        <v>303.52999999999997</v>
      </c>
      <c r="X3908" s="3">
        <v>287.45999999999998</v>
      </c>
      <c r="Y3908" s="3">
        <v>123.19</v>
      </c>
    </row>
    <row r="3909" spans="1:25" ht="36.75" x14ac:dyDescent="0.25">
      <c r="A3909" s="3" t="s">
        <v>26</v>
      </c>
      <c r="B3909" s="3" t="s">
        <v>27</v>
      </c>
      <c r="C3909" s="3" t="s">
        <v>28</v>
      </c>
      <c r="D3909" s="3" t="s">
        <v>40</v>
      </c>
      <c r="E3909" s="3" t="s">
        <v>287</v>
      </c>
      <c r="F3909" s="3" t="s">
        <v>42</v>
      </c>
      <c r="G3909" s="3" t="s">
        <v>287</v>
      </c>
      <c r="H3909" s="3" t="s">
        <v>32</v>
      </c>
      <c r="I3909" s="3">
        <v>2025</v>
      </c>
      <c r="J3909" s="3" t="str">
        <f>CONCATENATE("54820018395")</f>
        <v>54820018395</v>
      </c>
      <c r="K3909" s="3" t="s">
        <v>33</v>
      </c>
      <c r="L3909" s="3"/>
      <c r="M3909" s="3" t="s">
        <v>131</v>
      </c>
      <c r="N3909" s="3" t="str">
        <f>CONCATENATE("02044060438")</f>
        <v>02044060438</v>
      </c>
      <c r="O3909" s="3" t="s">
        <v>4023</v>
      </c>
      <c r="P3909" s="3" t="s">
        <v>36</v>
      </c>
      <c r="Q3909" s="3"/>
      <c r="R3909" s="4">
        <v>45996</v>
      </c>
      <c r="S3909" s="3" t="s">
        <v>37</v>
      </c>
      <c r="T3909" s="3" t="s">
        <v>38</v>
      </c>
      <c r="U3909" s="3" t="s">
        <v>39</v>
      </c>
      <c r="V3909" s="3">
        <v>265.32</v>
      </c>
      <c r="W3909" s="3">
        <v>112.76</v>
      </c>
      <c r="X3909" s="3">
        <v>106.79</v>
      </c>
      <c r="Y3909" s="3">
        <v>45.77</v>
      </c>
    </row>
    <row r="3910" spans="1:25" ht="60.75" x14ac:dyDescent="0.25">
      <c r="A3910" s="3" t="s">
        <v>26</v>
      </c>
      <c r="B3910" s="3" t="s">
        <v>27</v>
      </c>
      <c r="C3910" s="3" t="s">
        <v>28</v>
      </c>
      <c r="D3910" s="3" t="s">
        <v>29</v>
      </c>
      <c r="E3910" s="3" t="s">
        <v>208</v>
      </c>
      <c r="F3910" s="3" t="s">
        <v>31</v>
      </c>
      <c r="G3910" s="3" t="s">
        <v>208</v>
      </c>
      <c r="H3910" s="3" t="s">
        <v>45</v>
      </c>
      <c r="I3910" s="3">
        <v>2025</v>
      </c>
      <c r="J3910" s="3" t="str">
        <f>CONCATENATE("54820031984")</f>
        <v>54820031984</v>
      </c>
      <c r="K3910" s="3" t="s">
        <v>33</v>
      </c>
      <c r="L3910" s="3"/>
      <c r="M3910" s="3" t="s">
        <v>131</v>
      </c>
      <c r="N3910" s="3" t="str">
        <f>CONCATENATE("BTLLSE51C10G416Y")</f>
        <v>BTLLSE51C10G416Y</v>
      </c>
      <c r="O3910" s="3" t="s">
        <v>4024</v>
      </c>
      <c r="P3910" s="3" t="s">
        <v>36</v>
      </c>
      <c r="Q3910" s="3"/>
      <c r="R3910" s="4">
        <v>45996</v>
      </c>
      <c r="S3910" s="3" t="s">
        <v>37</v>
      </c>
      <c r="T3910" s="3" t="s">
        <v>38</v>
      </c>
      <c r="U3910" s="3" t="s">
        <v>39</v>
      </c>
      <c r="V3910" s="3">
        <v>61.12</v>
      </c>
      <c r="W3910" s="3">
        <v>25.98</v>
      </c>
      <c r="X3910" s="3">
        <v>24.6</v>
      </c>
      <c r="Y3910" s="3">
        <v>10.54</v>
      </c>
    </row>
    <row r="3911" spans="1:25" ht="60.75" x14ac:dyDescent="0.25">
      <c r="A3911" s="3" t="s">
        <v>26</v>
      </c>
      <c r="B3911" s="3" t="s">
        <v>27</v>
      </c>
      <c r="C3911" s="3" t="s">
        <v>28</v>
      </c>
      <c r="D3911" s="3" t="s">
        <v>50</v>
      </c>
      <c r="E3911" s="3" t="s">
        <v>173</v>
      </c>
      <c r="F3911" s="3" t="s">
        <v>52</v>
      </c>
      <c r="G3911" s="3" t="s">
        <v>173</v>
      </c>
      <c r="H3911" s="3" t="s">
        <v>45</v>
      </c>
      <c r="I3911" s="3">
        <v>2025</v>
      </c>
      <c r="J3911" s="3" t="str">
        <f>CONCATENATE("54820051669")</f>
        <v>54820051669</v>
      </c>
      <c r="K3911" s="3" t="s">
        <v>33</v>
      </c>
      <c r="L3911" s="3"/>
      <c r="M3911" s="3" t="s">
        <v>131</v>
      </c>
      <c r="N3911" s="3" t="str">
        <f>CONCATENATE("CLCSMN71S05B816T")</f>
        <v>CLCSMN71S05B816T</v>
      </c>
      <c r="O3911" s="3" t="s">
        <v>4025</v>
      </c>
      <c r="P3911" s="3" t="s">
        <v>36</v>
      </c>
      <c r="Q3911" s="3"/>
      <c r="R3911" s="4">
        <v>45996</v>
      </c>
      <c r="S3911" s="3" t="s">
        <v>37</v>
      </c>
      <c r="T3911" s="3" t="s">
        <v>38</v>
      </c>
      <c r="U3911" s="3" t="s">
        <v>39</v>
      </c>
      <c r="V3911" s="3">
        <v>150.65</v>
      </c>
      <c r="W3911" s="3">
        <v>64.03</v>
      </c>
      <c r="X3911" s="3">
        <v>60.64</v>
      </c>
      <c r="Y3911" s="3">
        <v>25.98</v>
      </c>
    </row>
    <row r="3912" spans="1:25" ht="60.75" x14ac:dyDescent="0.25">
      <c r="A3912" s="3" t="s">
        <v>26</v>
      </c>
      <c r="B3912" s="3" t="s">
        <v>27</v>
      </c>
      <c r="C3912" s="3" t="s">
        <v>28</v>
      </c>
      <c r="D3912" s="3" t="s">
        <v>40</v>
      </c>
      <c r="E3912" s="3" t="s">
        <v>44</v>
      </c>
      <c r="F3912" s="3" t="s">
        <v>42</v>
      </c>
      <c r="G3912" s="3" t="s">
        <v>44</v>
      </c>
      <c r="H3912" s="3" t="s">
        <v>32</v>
      </c>
      <c r="I3912" s="3">
        <v>2025</v>
      </c>
      <c r="J3912" s="3" t="str">
        <f>CONCATENATE("54820029871")</f>
        <v>54820029871</v>
      </c>
      <c r="K3912" s="3" t="s">
        <v>33</v>
      </c>
      <c r="L3912" s="3"/>
      <c r="M3912" s="3" t="s">
        <v>131</v>
      </c>
      <c r="N3912" s="3" t="str">
        <f>CONCATENATE("TRNMRA91D04B474F")</f>
        <v>TRNMRA91D04B474F</v>
      </c>
      <c r="O3912" s="3" t="s">
        <v>4026</v>
      </c>
      <c r="P3912" s="3" t="s">
        <v>36</v>
      </c>
      <c r="Q3912" s="3"/>
      <c r="R3912" s="4">
        <v>45996</v>
      </c>
      <c r="S3912" s="3" t="s">
        <v>37</v>
      </c>
      <c r="T3912" s="3" t="s">
        <v>38</v>
      </c>
      <c r="U3912" s="3" t="s">
        <v>39</v>
      </c>
      <c r="V3912" s="3">
        <v>511.36</v>
      </c>
      <c r="W3912" s="3">
        <v>217.33</v>
      </c>
      <c r="X3912" s="3">
        <v>205.82</v>
      </c>
      <c r="Y3912" s="3">
        <v>88.21</v>
      </c>
    </row>
    <row r="3913" spans="1:25" ht="60.75" x14ac:dyDescent="0.25">
      <c r="A3913" s="3" t="s">
        <v>26</v>
      </c>
      <c r="B3913" s="3" t="s">
        <v>27</v>
      </c>
      <c r="C3913" s="3" t="s">
        <v>28</v>
      </c>
      <c r="D3913" s="3" t="s">
        <v>29</v>
      </c>
      <c r="E3913" s="3" t="s">
        <v>233</v>
      </c>
      <c r="F3913" s="3" t="s">
        <v>31</v>
      </c>
      <c r="G3913" s="3" t="s">
        <v>233</v>
      </c>
      <c r="H3913" s="3" t="s">
        <v>96</v>
      </c>
      <c r="I3913" s="3">
        <v>2025</v>
      </c>
      <c r="J3913" s="3" t="str">
        <f>CONCATENATE("54820042536")</f>
        <v>54820042536</v>
      </c>
      <c r="K3913" s="3" t="s">
        <v>33</v>
      </c>
      <c r="L3913" s="3"/>
      <c r="M3913" s="3" t="s">
        <v>131</v>
      </c>
      <c r="N3913" s="3" t="str">
        <f>CONCATENATE("SPSMCH91E69A462L")</f>
        <v>SPSMCH91E69A462L</v>
      </c>
      <c r="O3913" s="3" t="s">
        <v>4027</v>
      </c>
      <c r="P3913" s="3" t="s">
        <v>36</v>
      </c>
      <c r="Q3913" s="3"/>
      <c r="R3913" s="4">
        <v>45996</v>
      </c>
      <c r="S3913" s="3" t="s">
        <v>37</v>
      </c>
      <c r="T3913" s="3" t="s">
        <v>38</v>
      </c>
      <c r="U3913" s="3" t="s">
        <v>39</v>
      </c>
      <c r="V3913" s="3">
        <v>133.34</v>
      </c>
      <c r="W3913" s="3">
        <v>56.67</v>
      </c>
      <c r="X3913" s="3">
        <v>53.67</v>
      </c>
      <c r="Y3913" s="3">
        <v>23</v>
      </c>
    </row>
    <row r="3914" spans="1:25" ht="60.75" x14ac:dyDescent="0.25">
      <c r="A3914" s="3" t="s">
        <v>26</v>
      </c>
      <c r="B3914" s="3" t="s">
        <v>27</v>
      </c>
      <c r="C3914" s="3" t="s">
        <v>28</v>
      </c>
      <c r="D3914" s="3" t="s">
        <v>29</v>
      </c>
      <c r="E3914" s="3" t="s">
        <v>72</v>
      </c>
      <c r="F3914" s="3" t="s">
        <v>31</v>
      </c>
      <c r="G3914" s="3" t="s">
        <v>72</v>
      </c>
      <c r="H3914" s="3" t="s">
        <v>45</v>
      </c>
      <c r="I3914" s="3">
        <v>2025</v>
      </c>
      <c r="J3914" s="3" t="str">
        <f>CONCATENATE("54820059969")</f>
        <v>54820059969</v>
      </c>
      <c r="K3914" s="3" t="s">
        <v>33</v>
      </c>
      <c r="L3914" s="3"/>
      <c r="M3914" s="3" t="s">
        <v>131</v>
      </c>
      <c r="N3914" s="3" t="str">
        <f>CONCATENATE("BRZLRN69B58B352I")</f>
        <v>BRZLRN69B58B352I</v>
      </c>
      <c r="O3914" s="3" t="s">
        <v>4028</v>
      </c>
      <c r="P3914" s="3" t="s">
        <v>36</v>
      </c>
      <c r="Q3914" s="3"/>
      <c r="R3914" s="4">
        <v>45996</v>
      </c>
      <c r="S3914" s="3" t="s">
        <v>37</v>
      </c>
      <c r="T3914" s="3" t="s">
        <v>38</v>
      </c>
      <c r="U3914" s="3" t="s">
        <v>39</v>
      </c>
      <c r="V3914" s="3">
        <v>385.41</v>
      </c>
      <c r="W3914" s="3">
        <v>163.80000000000001</v>
      </c>
      <c r="X3914" s="3">
        <v>155.13</v>
      </c>
      <c r="Y3914" s="3">
        <v>66.48</v>
      </c>
    </row>
    <row r="3915" spans="1:25" ht="60.75" x14ac:dyDescent="0.25">
      <c r="A3915" s="3" t="s">
        <v>26</v>
      </c>
      <c r="B3915" s="3" t="s">
        <v>27</v>
      </c>
      <c r="C3915" s="3" t="s">
        <v>28</v>
      </c>
      <c r="D3915" s="3" t="s">
        <v>29</v>
      </c>
      <c r="E3915" s="3" t="s">
        <v>119</v>
      </c>
      <c r="F3915" s="3" t="s">
        <v>31</v>
      </c>
      <c r="G3915" s="3" t="s">
        <v>119</v>
      </c>
      <c r="H3915" s="3" t="s">
        <v>96</v>
      </c>
      <c r="I3915" s="3">
        <v>2025</v>
      </c>
      <c r="J3915" s="3" t="str">
        <f>CONCATENATE("54820021944")</f>
        <v>54820021944</v>
      </c>
      <c r="K3915" s="3" t="s">
        <v>33</v>
      </c>
      <c r="L3915" s="3"/>
      <c r="M3915" s="3" t="s">
        <v>131</v>
      </c>
      <c r="N3915" s="3" t="str">
        <f>CONCATENATE("MRNNLM59P48C935P")</f>
        <v>MRNNLM59P48C935P</v>
      </c>
      <c r="O3915" s="3" t="s">
        <v>4029</v>
      </c>
      <c r="P3915" s="3" t="s">
        <v>36</v>
      </c>
      <c r="Q3915" s="3"/>
      <c r="R3915" s="4">
        <v>45996</v>
      </c>
      <c r="S3915" s="3" t="s">
        <v>37</v>
      </c>
      <c r="T3915" s="3" t="s">
        <v>38</v>
      </c>
      <c r="U3915" s="3" t="s">
        <v>39</v>
      </c>
      <c r="V3915" s="3">
        <v>388.48</v>
      </c>
      <c r="W3915" s="3">
        <v>165.1</v>
      </c>
      <c r="X3915" s="3">
        <v>156.36000000000001</v>
      </c>
      <c r="Y3915" s="3">
        <v>67.02</v>
      </c>
    </row>
    <row r="3916" spans="1:25" ht="60.75" x14ac:dyDescent="0.25">
      <c r="A3916" s="3" t="s">
        <v>26</v>
      </c>
      <c r="B3916" s="3" t="s">
        <v>27</v>
      </c>
      <c r="C3916" s="3" t="s">
        <v>28</v>
      </c>
      <c r="D3916" s="3" t="s">
        <v>29</v>
      </c>
      <c r="E3916" s="3" t="s">
        <v>56</v>
      </c>
      <c r="F3916" s="3" t="s">
        <v>31</v>
      </c>
      <c r="G3916" s="3" t="s">
        <v>56</v>
      </c>
      <c r="H3916" s="3" t="s">
        <v>32</v>
      </c>
      <c r="I3916" s="3">
        <v>2025</v>
      </c>
      <c r="J3916" s="3" t="str">
        <f>CONCATENATE("54820047220")</f>
        <v>54820047220</v>
      </c>
      <c r="K3916" s="3" t="s">
        <v>33</v>
      </c>
      <c r="L3916" s="3"/>
      <c r="M3916" s="3" t="s">
        <v>131</v>
      </c>
      <c r="N3916" s="3" t="str">
        <f>CONCATENATE("CCNFRC87L05B474H")</f>
        <v>CCNFRC87L05B474H</v>
      </c>
      <c r="O3916" s="3" t="s">
        <v>4030</v>
      </c>
      <c r="P3916" s="3" t="s">
        <v>36</v>
      </c>
      <c r="Q3916" s="3"/>
      <c r="R3916" s="4">
        <v>45996</v>
      </c>
      <c r="S3916" s="3" t="s">
        <v>37</v>
      </c>
      <c r="T3916" s="3" t="s">
        <v>38</v>
      </c>
      <c r="U3916" s="3" t="s">
        <v>39</v>
      </c>
      <c r="V3916" s="3">
        <v>262.44</v>
      </c>
      <c r="W3916" s="3">
        <v>111.54</v>
      </c>
      <c r="X3916" s="3">
        <v>105.63</v>
      </c>
      <c r="Y3916" s="3">
        <v>45.27</v>
      </c>
    </row>
    <row r="3917" spans="1:25" ht="60.75" x14ac:dyDescent="0.25">
      <c r="A3917" s="3" t="s">
        <v>26</v>
      </c>
      <c r="B3917" s="3" t="s">
        <v>27</v>
      </c>
      <c r="C3917" s="3" t="s">
        <v>28</v>
      </c>
      <c r="D3917" s="3" t="s">
        <v>29</v>
      </c>
      <c r="E3917" s="3" t="s">
        <v>56</v>
      </c>
      <c r="F3917" s="3" t="s">
        <v>31</v>
      </c>
      <c r="G3917" s="3" t="s">
        <v>56</v>
      </c>
      <c r="H3917" s="3" t="s">
        <v>32</v>
      </c>
      <c r="I3917" s="3">
        <v>2025</v>
      </c>
      <c r="J3917" s="3" t="str">
        <f>CONCATENATE("54820055264")</f>
        <v>54820055264</v>
      </c>
      <c r="K3917" s="3" t="s">
        <v>33</v>
      </c>
      <c r="L3917" s="3"/>
      <c r="M3917" s="3" t="s">
        <v>131</v>
      </c>
      <c r="N3917" s="3" t="str">
        <f>CONCATENATE("PGNSTN49E03M078R")</f>
        <v>PGNSTN49E03M078R</v>
      </c>
      <c r="O3917" s="3" t="s">
        <v>4031</v>
      </c>
      <c r="P3917" s="3" t="s">
        <v>36</v>
      </c>
      <c r="Q3917" s="3"/>
      <c r="R3917" s="4">
        <v>45996</v>
      </c>
      <c r="S3917" s="3" t="s">
        <v>37</v>
      </c>
      <c r="T3917" s="3" t="s">
        <v>38</v>
      </c>
      <c r="U3917" s="3" t="s">
        <v>39</v>
      </c>
      <c r="V3917" s="3">
        <v>57.67</v>
      </c>
      <c r="W3917" s="3">
        <v>24.51</v>
      </c>
      <c r="X3917" s="3">
        <v>23.21</v>
      </c>
      <c r="Y3917" s="3">
        <v>9.9499999999999993</v>
      </c>
    </row>
    <row r="3918" spans="1:25" ht="60.75" x14ac:dyDescent="0.25">
      <c r="A3918" s="3" t="s">
        <v>26</v>
      </c>
      <c r="B3918" s="3" t="s">
        <v>27</v>
      </c>
      <c r="C3918" s="3" t="s">
        <v>28</v>
      </c>
      <c r="D3918" s="3" t="s">
        <v>29</v>
      </c>
      <c r="E3918" s="3" t="s">
        <v>47</v>
      </c>
      <c r="F3918" s="3" t="s">
        <v>31</v>
      </c>
      <c r="G3918" s="3" t="s">
        <v>47</v>
      </c>
      <c r="H3918" s="3" t="s">
        <v>48</v>
      </c>
      <c r="I3918" s="3">
        <v>2025</v>
      </c>
      <c r="J3918" s="3" t="str">
        <f>CONCATENATE("54820032248")</f>
        <v>54820032248</v>
      </c>
      <c r="K3918" s="3" t="s">
        <v>33</v>
      </c>
      <c r="L3918" s="3"/>
      <c r="M3918" s="3" t="s">
        <v>131</v>
      </c>
      <c r="N3918" s="3" t="str">
        <f>CONCATENATE("MRALCN59C28D451A")</f>
        <v>MRALCN59C28D451A</v>
      </c>
      <c r="O3918" s="3" t="s">
        <v>4032</v>
      </c>
      <c r="P3918" s="3" t="s">
        <v>36</v>
      </c>
      <c r="Q3918" s="3"/>
      <c r="R3918" s="4">
        <v>45996</v>
      </c>
      <c r="S3918" s="3" t="s">
        <v>37</v>
      </c>
      <c r="T3918" s="3" t="s">
        <v>38</v>
      </c>
      <c r="U3918" s="3" t="s">
        <v>39</v>
      </c>
      <c r="V3918" s="3">
        <v>107.38</v>
      </c>
      <c r="W3918" s="3">
        <v>45.64</v>
      </c>
      <c r="X3918" s="3">
        <v>43.22</v>
      </c>
      <c r="Y3918" s="3">
        <v>18.52</v>
      </c>
    </row>
    <row r="3919" spans="1:25" ht="60.75" x14ac:dyDescent="0.25">
      <c r="A3919" s="3" t="s">
        <v>26</v>
      </c>
      <c r="B3919" s="3" t="s">
        <v>27</v>
      </c>
      <c r="C3919" s="3" t="s">
        <v>28</v>
      </c>
      <c r="D3919" s="3" t="s">
        <v>40</v>
      </c>
      <c r="E3919" s="3" t="s">
        <v>287</v>
      </c>
      <c r="F3919" s="3" t="s">
        <v>42</v>
      </c>
      <c r="G3919" s="3" t="s">
        <v>287</v>
      </c>
      <c r="H3919" s="3" t="s">
        <v>32</v>
      </c>
      <c r="I3919" s="3">
        <v>2025</v>
      </c>
      <c r="J3919" s="3" t="str">
        <f>CONCATENATE("54820018635")</f>
        <v>54820018635</v>
      </c>
      <c r="K3919" s="3" t="s">
        <v>33</v>
      </c>
      <c r="L3919" s="3"/>
      <c r="M3919" s="3" t="s">
        <v>131</v>
      </c>
      <c r="N3919" s="3" t="str">
        <f>CONCATENATE("VLNMLN74L06E783Q")</f>
        <v>VLNMLN74L06E783Q</v>
      </c>
      <c r="O3919" s="3" t="s">
        <v>4033</v>
      </c>
      <c r="P3919" s="3" t="s">
        <v>36</v>
      </c>
      <c r="Q3919" s="3"/>
      <c r="R3919" s="4">
        <v>45996</v>
      </c>
      <c r="S3919" s="3" t="s">
        <v>37</v>
      </c>
      <c r="T3919" s="3" t="s">
        <v>38</v>
      </c>
      <c r="U3919" s="3" t="s">
        <v>39</v>
      </c>
      <c r="V3919" s="3">
        <v>98.77</v>
      </c>
      <c r="W3919" s="3">
        <v>41.98</v>
      </c>
      <c r="X3919" s="3">
        <v>39.75</v>
      </c>
      <c r="Y3919" s="3">
        <v>17.04</v>
      </c>
    </row>
    <row r="3920" spans="1:25" ht="72.75" x14ac:dyDescent="0.25">
      <c r="A3920" s="3" t="s">
        <v>26</v>
      </c>
      <c r="B3920" s="3" t="s">
        <v>27</v>
      </c>
      <c r="C3920" s="3" t="s">
        <v>28</v>
      </c>
      <c r="D3920" s="3" t="s">
        <v>29</v>
      </c>
      <c r="E3920" s="3" t="s">
        <v>228</v>
      </c>
      <c r="F3920" s="3" t="s">
        <v>31</v>
      </c>
      <c r="G3920" s="3" t="s">
        <v>228</v>
      </c>
      <c r="H3920" s="3" t="s">
        <v>45</v>
      </c>
      <c r="I3920" s="3">
        <v>2025</v>
      </c>
      <c r="J3920" s="3" t="str">
        <f>CONCATENATE("54820051339")</f>
        <v>54820051339</v>
      </c>
      <c r="K3920" s="3" t="s">
        <v>33</v>
      </c>
      <c r="L3920" s="3"/>
      <c r="M3920" s="3" t="s">
        <v>131</v>
      </c>
      <c r="N3920" s="3" t="str">
        <f>CONCATENATE("SNTGRL72M29D749N")</f>
        <v>SNTGRL72M29D749N</v>
      </c>
      <c r="O3920" s="3" t="s">
        <v>4034</v>
      </c>
      <c r="P3920" s="3" t="s">
        <v>36</v>
      </c>
      <c r="Q3920" s="3"/>
      <c r="R3920" s="4">
        <v>45996</v>
      </c>
      <c r="S3920" s="3" t="s">
        <v>37</v>
      </c>
      <c r="T3920" s="3" t="s">
        <v>38</v>
      </c>
      <c r="U3920" s="3" t="s">
        <v>39</v>
      </c>
      <c r="V3920" s="3">
        <v>95.16</v>
      </c>
      <c r="W3920" s="3">
        <v>40.44</v>
      </c>
      <c r="X3920" s="3">
        <v>38.299999999999997</v>
      </c>
      <c r="Y3920" s="3">
        <v>16.420000000000002</v>
      </c>
    </row>
    <row r="3921" spans="1:25" ht="60.75" x14ac:dyDescent="0.25">
      <c r="A3921" s="3" t="s">
        <v>26</v>
      </c>
      <c r="B3921" s="3" t="s">
        <v>27</v>
      </c>
      <c r="C3921" s="3" t="s">
        <v>28</v>
      </c>
      <c r="D3921" s="3" t="s">
        <v>50</v>
      </c>
      <c r="E3921" s="3" t="s">
        <v>51</v>
      </c>
      <c r="F3921" s="3" t="s">
        <v>52</v>
      </c>
      <c r="G3921" s="3" t="s">
        <v>51</v>
      </c>
      <c r="H3921" s="3" t="s">
        <v>48</v>
      </c>
      <c r="I3921" s="3">
        <v>2025</v>
      </c>
      <c r="J3921" s="3" t="str">
        <f>CONCATENATE("54820051388")</f>
        <v>54820051388</v>
      </c>
      <c r="K3921" s="3" t="s">
        <v>33</v>
      </c>
      <c r="L3921" s="3"/>
      <c r="M3921" s="3" t="s">
        <v>131</v>
      </c>
      <c r="N3921" s="3" t="str">
        <f>CONCATENATE("DNGLGN60L45C524G")</f>
        <v>DNGLGN60L45C524G</v>
      </c>
      <c r="O3921" s="3" t="s">
        <v>4035</v>
      </c>
      <c r="P3921" s="3" t="s">
        <v>36</v>
      </c>
      <c r="Q3921" s="3"/>
      <c r="R3921" s="4">
        <v>45996</v>
      </c>
      <c r="S3921" s="3" t="s">
        <v>37</v>
      </c>
      <c r="T3921" s="3" t="s">
        <v>38</v>
      </c>
      <c r="U3921" s="3" t="s">
        <v>39</v>
      </c>
      <c r="V3921" s="3">
        <v>264.07</v>
      </c>
      <c r="W3921" s="3">
        <v>112.23</v>
      </c>
      <c r="X3921" s="3">
        <v>106.29</v>
      </c>
      <c r="Y3921" s="3">
        <v>45.55</v>
      </c>
    </row>
    <row r="3922" spans="1:25" ht="60.75" x14ac:dyDescent="0.25">
      <c r="A3922" s="3" t="s">
        <v>26</v>
      </c>
      <c r="B3922" s="3" t="s">
        <v>27</v>
      </c>
      <c r="C3922" s="3" t="s">
        <v>28</v>
      </c>
      <c r="D3922" s="3" t="s">
        <v>29</v>
      </c>
      <c r="E3922" s="3" t="s">
        <v>119</v>
      </c>
      <c r="F3922" s="3" t="s">
        <v>31</v>
      </c>
      <c r="G3922" s="3" t="s">
        <v>119</v>
      </c>
      <c r="H3922" s="3" t="s">
        <v>96</v>
      </c>
      <c r="I3922" s="3">
        <v>2025</v>
      </c>
      <c r="J3922" s="3" t="str">
        <f>CONCATENATE("54820069851")</f>
        <v>54820069851</v>
      </c>
      <c r="K3922" s="3" t="s">
        <v>33</v>
      </c>
      <c r="L3922" s="3"/>
      <c r="M3922" s="3" t="s">
        <v>131</v>
      </c>
      <c r="N3922" s="3" t="str">
        <f>CONCATENATE("TRNBRN38A49A252Z")</f>
        <v>TRNBRN38A49A252Z</v>
      </c>
      <c r="O3922" s="3" t="s">
        <v>4036</v>
      </c>
      <c r="P3922" s="3" t="s">
        <v>36</v>
      </c>
      <c r="Q3922" s="3"/>
      <c r="R3922" s="4">
        <v>45996</v>
      </c>
      <c r="S3922" s="3" t="s">
        <v>37</v>
      </c>
      <c r="T3922" s="3" t="s">
        <v>38</v>
      </c>
      <c r="U3922" s="3" t="s">
        <v>39</v>
      </c>
      <c r="V3922" s="3">
        <v>82.65</v>
      </c>
      <c r="W3922" s="3">
        <v>35.130000000000003</v>
      </c>
      <c r="X3922" s="3">
        <v>33.270000000000003</v>
      </c>
      <c r="Y3922" s="3">
        <v>14.25</v>
      </c>
    </row>
    <row r="3923" spans="1:25" ht="60.75" x14ac:dyDescent="0.25">
      <c r="A3923" s="3" t="s">
        <v>26</v>
      </c>
      <c r="B3923" s="3" t="s">
        <v>27</v>
      </c>
      <c r="C3923" s="3" t="s">
        <v>28</v>
      </c>
      <c r="D3923" s="3" t="s">
        <v>50</v>
      </c>
      <c r="E3923" s="3" t="s">
        <v>173</v>
      </c>
      <c r="F3923" s="3" t="s">
        <v>52</v>
      </c>
      <c r="G3923" s="3" t="s">
        <v>173</v>
      </c>
      <c r="H3923" s="3" t="s">
        <v>45</v>
      </c>
      <c r="I3923" s="3">
        <v>2025</v>
      </c>
      <c r="J3923" s="3" t="str">
        <f>CONCATENATE("54820048996")</f>
        <v>54820048996</v>
      </c>
      <c r="K3923" s="3" t="s">
        <v>33</v>
      </c>
      <c r="L3923" s="3"/>
      <c r="M3923" s="3" t="s">
        <v>131</v>
      </c>
      <c r="N3923" s="3" t="str">
        <f>CONCATENATE("BNZMRA52P70F467P")</f>
        <v>BNZMRA52P70F467P</v>
      </c>
      <c r="O3923" s="3" t="s">
        <v>4037</v>
      </c>
      <c r="P3923" s="3" t="s">
        <v>36</v>
      </c>
      <c r="Q3923" s="3"/>
      <c r="R3923" s="4">
        <v>45996</v>
      </c>
      <c r="S3923" s="3" t="s">
        <v>37</v>
      </c>
      <c r="T3923" s="3" t="s">
        <v>38</v>
      </c>
      <c r="U3923" s="3" t="s">
        <v>39</v>
      </c>
      <c r="V3923" s="3">
        <v>93.2</v>
      </c>
      <c r="W3923" s="3">
        <v>39.61</v>
      </c>
      <c r="X3923" s="3">
        <v>37.51</v>
      </c>
      <c r="Y3923" s="3">
        <v>16.079999999999998</v>
      </c>
    </row>
    <row r="3924" spans="1:25" ht="60.75" x14ac:dyDescent="0.25">
      <c r="A3924" s="3" t="s">
        <v>26</v>
      </c>
      <c r="B3924" s="3" t="s">
        <v>27</v>
      </c>
      <c r="C3924" s="3" t="s">
        <v>28</v>
      </c>
      <c r="D3924" s="3" t="s">
        <v>29</v>
      </c>
      <c r="E3924" s="3" t="s">
        <v>182</v>
      </c>
      <c r="F3924" s="3" t="s">
        <v>31</v>
      </c>
      <c r="G3924" s="3" t="s">
        <v>182</v>
      </c>
      <c r="H3924" s="3" t="s">
        <v>45</v>
      </c>
      <c r="I3924" s="3">
        <v>2025</v>
      </c>
      <c r="J3924" s="3" t="str">
        <f>CONCATENATE("54820060579")</f>
        <v>54820060579</v>
      </c>
      <c r="K3924" s="3" t="s">
        <v>33</v>
      </c>
      <c r="L3924" s="3"/>
      <c r="M3924" s="3" t="s">
        <v>131</v>
      </c>
      <c r="N3924" s="3" t="str">
        <f>CONCATENATE("DRNLNE58L52A035B")</f>
        <v>DRNLNE58L52A035B</v>
      </c>
      <c r="O3924" s="3" t="s">
        <v>4038</v>
      </c>
      <c r="P3924" s="3" t="s">
        <v>36</v>
      </c>
      <c r="Q3924" s="3"/>
      <c r="R3924" s="4">
        <v>45996</v>
      </c>
      <c r="S3924" s="3" t="s">
        <v>37</v>
      </c>
      <c r="T3924" s="3" t="s">
        <v>38</v>
      </c>
      <c r="U3924" s="3" t="s">
        <v>39</v>
      </c>
      <c r="V3924" s="5">
        <v>1939.68</v>
      </c>
      <c r="W3924" s="3">
        <v>824.36</v>
      </c>
      <c r="X3924" s="3">
        <v>780.72</v>
      </c>
      <c r="Y3924" s="3">
        <v>334.6</v>
      </c>
    </row>
    <row r="3925" spans="1:25" ht="60.75" x14ac:dyDescent="0.25">
      <c r="A3925" s="3" t="s">
        <v>26</v>
      </c>
      <c r="B3925" s="3" t="s">
        <v>27</v>
      </c>
      <c r="C3925" s="3" t="s">
        <v>28</v>
      </c>
      <c r="D3925" s="3" t="s">
        <v>29</v>
      </c>
      <c r="E3925" s="3" t="s">
        <v>228</v>
      </c>
      <c r="F3925" s="3" t="s">
        <v>31</v>
      </c>
      <c r="G3925" s="3" t="s">
        <v>228</v>
      </c>
      <c r="H3925" s="3" t="s">
        <v>45</v>
      </c>
      <c r="I3925" s="3">
        <v>2025</v>
      </c>
      <c r="J3925" s="3" t="str">
        <f>CONCATENATE("54820054929")</f>
        <v>54820054929</v>
      </c>
      <c r="K3925" s="3" t="s">
        <v>33</v>
      </c>
      <c r="L3925" s="3"/>
      <c r="M3925" s="3" t="s">
        <v>131</v>
      </c>
      <c r="N3925" s="3" t="str">
        <f>CONCATENATE("TBNRNI39P13L078P")</f>
        <v>TBNRNI39P13L078P</v>
      </c>
      <c r="O3925" s="3" t="s">
        <v>4039</v>
      </c>
      <c r="P3925" s="3" t="s">
        <v>36</v>
      </c>
      <c r="Q3925" s="3"/>
      <c r="R3925" s="4">
        <v>45996</v>
      </c>
      <c r="S3925" s="3" t="s">
        <v>37</v>
      </c>
      <c r="T3925" s="3" t="s">
        <v>38</v>
      </c>
      <c r="U3925" s="3" t="s">
        <v>39</v>
      </c>
      <c r="V3925" s="3">
        <v>173.92</v>
      </c>
      <c r="W3925" s="3">
        <v>73.92</v>
      </c>
      <c r="X3925" s="3">
        <v>70</v>
      </c>
      <c r="Y3925" s="3">
        <v>30</v>
      </c>
    </row>
    <row r="3926" spans="1:25" ht="60.75" x14ac:dyDescent="0.25">
      <c r="A3926" s="3" t="s">
        <v>26</v>
      </c>
      <c r="B3926" s="3" t="s">
        <v>27</v>
      </c>
      <c r="C3926" s="3" t="s">
        <v>28</v>
      </c>
      <c r="D3926" s="3" t="s">
        <v>50</v>
      </c>
      <c r="E3926" s="3" t="s">
        <v>147</v>
      </c>
      <c r="F3926" s="3" t="s">
        <v>52</v>
      </c>
      <c r="G3926" s="3" t="s">
        <v>147</v>
      </c>
      <c r="H3926" s="3" t="s">
        <v>45</v>
      </c>
      <c r="I3926" s="3">
        <v>2025</v>
      </c>
      <c r="J3926" s="3" t="str">
        <f>CONCATENATE("54820072921")</f>
        <v>54820072921</v>
      </c>
      <c r="K3926" s="3" t="s">
        <v>33</v>
      </c>
      <c r="L3926" s="3"/>
      <c r="M3926" s="3" t="s">
        <v>131</v>
      </c>
      <c r="N3926" s="3" t="str">
        <f>CONCATENATE("MCCBRN56L05L500E")</f>
        <v>MCCBRN56L05L500E</v>
      </c>
      <c r="O3926" s="3" t="s">
        <v>4040</v>
      </c>
      <c r="P3926" s="3" t="s">
        <v>36</v>
      </c>
      <c r="Q3926" s="3"/>
      <c r="R3926" s="4">
        <v>45996</v>
      </c>
      <c r="S3926" s="3" t="s">
        <v>37</v>
      </c>
      <c r="T3926" s="3" t="s">
        <v>38</v>
      </c>
      <c r="U3926" s="3" t="s">
        <v>39</v>
      </c>
      <c r="V3926" s="3">
        <v>410.77</v>
      </c>
      <c r="W3926" s="3">
        <v>174.58</v>
      </c>
      <c r="X3926" s="3">
        <v>165.33</v>
      </c>
      <c r="Y3926" s="3">
        <v>70.86</v>
      </c>
    </row>
    <row r="3927" spans="1:25" ht="72.75" x14ac:dyDescent="0.25">
      <c r="A3927" s="3" t="s">
        <v>26</v>
      </c>
      <c r="B3927" s="3" t="s">
        <v>27</v>
      </c>
      <c r="C3927" s="3" t="s">
        <v>28</v>
      </c>
      <c r="D3927" s="3" t="s">
        <v>29</v>
      </c>
      <c r="E3927" s="3" t="s">
        <v>233</v>
      </c>
      <c r="F3927" s="3" t="s">
        <v>31</v>
      </c>
      <c r="G3927" s="3" t="s">
        <v>233</v>
      </c>
      <c r="H3927" s="3" t="s">
        <v>96</v>
      </c>
      <c r="I3927" s="3">
        <v>2025</v>
      </c>
      <c r="J3927" s="3" t="str">
        <f>CONCATENATE("54820027008")</f>
        <v>54820027008</v>
      </c>
      <c r="K3927" s="3" t="s">
        <v>33</v>
      </c>
      <c r="L3927" s="3"/>
      <c r="M3927" s="3" t="s">
        <v>131</v>
      </c>
      <c r="N3927" s="3" t="str">
        <f>CONCATENATE("BSTPTR71M30H390M")</f>
        <v>BSTPTR71M30H390M</v>
      </c>
      <c r="O3927" s="3" t="s">
        <v>4041</v>
      </c>
      <c r="P3927" s="3" t="s">
        <v>36</v>
      </c>
      <c r="Q3927" s="3"/>
      <c r="R3927" s="4">
        <v>45996</v>
      </c>
      <c r="S3927" s="3" t="s">
        <v>37</v>
      </c>
      <c r="T3927" s="3" t="s">
        <v>38</v>
      </c>
      <c r="U3927" s="3" t="s">
        <v>39</v>
      </c>
      <c r="V3927" s="3">
        <v>50.28</v>
      </c>
      <c r="W3927" s="3">
        <v>21.37</v>
      </c>
      <c r="X3927" s="3">
        <v>20.239999999999998</v>
      </c>
      <c r="Y3927" s="3">
        <v>8.67</v>
      </c>
    </row>
    <row r="3928" spans="1:25" ht="60.75" x14ac:dyDescent="0.25">
      <c r="A3928" s="3" t="s">
        <v>26</v>
      </c>
      <c r="B3928" s="3" t="s">
        <v>27</v>
      </c>
      <c r="C3928" s="3" t="s">
        <v>28</v>
      </c>
      <c r="D3928" s="3" t="s">
        <v>29</v>
      </c>
      <c r="E3928" s="3" t="s">
        <v>186</v>
      </c>
      <c r="F3928" s="3" t="s">
        <v>31</v>
      </c>
      <c r="G3928" s="3" t="s">
        <v>186</v>
      </c>
      <c r="H3928" s="3" t="s">
        <v>45</v>
      </c>
      <c r="I3928" s="3">
        <v>2025</v>
      </c>
      <c r="J3928" s="3" t="str">
        <f>CONCATENATE("54820073333")</f>
        <v>54820073333</v>
      </c>
      <c r="K3928" s="3" t="s">
        <v>33</v>
      </c>
      <c r="L3928" s="3"/>
      <c r="M3928" s="3" t="s">
        <v>131</v>
      </c>
      <c r="N3928" s="3" t="str">
        <f>CONCATENATE("GROFRZ87S12I459M")</f>
        <v>GROFRZ87S12I459M</v>
      </c>
      <c r="O3928" s="3" t="s">
        <v>4042</v>
      </c>
      <c r="P3928" s="3" t="s">
        <v>36</v>
      </c>
      <c r="Q3928" s="3"/>
      <c r="R3928" s="4">
        <v>45996</v>
      </c>
      <c r="S3928" s="3" t="s">
        <v>37</v>
      </c>
      <c r="T3928" s="3" t="s">
        <v>38</v>
      </c>
      <c r="U3928" s="3" t="s">
        <v>39</v>
      </c>
      <c r="V3928" s="3">
        <v>205.06</v>
      </c>
      <c r="W3928" s="3">
        <v>87.15</v>
      </c>
      <c r="X3928" s="3">
        <v>82.54</v>
      </c>
      <c r="Y3928" s="3">
        <v>35.369999999999997</v>
      </c>
    </row>
    <row r="3929" spans="1:25" ht="60.75" x14ac:dyDescent="0.25">
      <c r="A3929" s="3" t="s">
        <v>26</v>
      </c>
      <c r="B3929" s="3" t="s">
        <v>27</v>
      </c>
      <c r="C3929" s="3" t="s">
        <v>28</v>
      </c>
      <c r="D3929" s="3" t="s">
        <v>29</v>
      </c>
      <c r="E3929" s="3" t="s">
        <v>233</v>
      </c>
      <c r="F3929" s="3" t="s">
        <v>31</v>
      </c>
      <c r="G3929" s="3" t="s">
        <v>233</v>
      </c>
      <c r="H3929" s="3" t="s">
        <v>96</v>
      </c>
      <c r="I3929" s="3">
        <v>2025</v>
      </c>
      <c r="J3929" s="3" t="str">
        <f>CONCATENATE("54820062955")</f>
        <v>54820062955</v>
      </c>
      <c r="K3929" s="3" t="s">
        <v>33</v>
      </c>
      <c r="L3929" s="3"/>
      <c r="M3929" s="3" t="s">
        <v>131</v>
      </c>
      <c r="N3929" s="3" t="str">
        <f>CONCATENATE("MLNLPL50C71D691W")</f>
        <v>MLNLPL50C71D691W</v>
      </c>
      <c r="O3929" s="3" t="s">
        <v>4043</v>
      </c>
      <c r="P3929" s="3" t="s">
        <v>36</v>
      </c>
      <c r="Q3929" s="3"/>
      <c r="R3929" s="4">
        <v>45996</v>
      </c>
      <c r="S3929" s="3" t="s">
        <v>37</v>
      </c>
      <c r="T3929" s="3" t="s">
        <v>38</v>
      </c>
      <c r="U3929" s="3" t="s">
        <v>39</v>
      </c>
      <c r="V3929" s="3">
        <v>163.56</v>
      </c>
      <c r="W3929" s="3">
        <v>69.510000000000005</v>
      </c>
      <c r="X3929" s="3">
        <v>65.83</v>
      </c>
      <c r="Y3929" s="3">
        <v>28.22</v>
      </c>
    </row>
    <row r="3930" spans="1:25" ht="60.75" x14ac:dyDescent="0.25">
      <c r="A3930" s="3" t="s">
        <v>26</v>
      </c>
      <c r="B3930" s="3" t="s">
        <v>27</v>
      </c>
      <c r="C3930" s="3" t="s">
        <v>28</v>
      </c>
      <c r="D3930" s="3" t="s">
        <v>29</v>
      </c>
      <c r="E3930" s="3" t="s">
        <v>186</v>
      </c>
      <c r="F3930" s="3" t="s">
        <v>31</v>
      </c>
      <c r="G3930" s="3" t="s">
        <v>186</v>
      </c>
      <c r="H3930" s="3" t="s">
        <v>45</v>
      </c>
      <c r="I3930" s="3">
        <v>2025</v>
      </c>
      <c r="J3930" s="3" t="str">
        <f>CONCATENATE("54820045067")</f>
        <v>54820045067</v>
      </c>
      <c r="K3930" s="3" t="s">
        <v>33</v>
      </c>
      <c r="L3930" s="3"/>
      <c r="M3930" s="3" t="s">
        <v>131</v>
      </c>
      <c r="N3930" s="3" t="str">
        <f>CONCATENATE("SVRGPL72H28I459F")</f>
        <v>SVRGPL72H28I459F</v>
      </c>
      <c r="O3930" s="3" t="s">
        <v>4044</v>
      </c>
      <c r="P3930" s="3" t="s">
        <v>36</v>
      </c>
      <c r="Q3930" s="3"/>
      <c r="R3930" s="4">
        <v>45996</v>
      </c>
      <c r="S3930" s="3" t="s">
        <v>37</v>
      </c>
      <c r="T3930" s="3" t="s">
        <v>38</v>
      </c>
      <c r="U3930" s="3" t="s">
        <v>39</v>
      </c>
      <c r="V3930" s="3">
        <v>881.56</v>
      </c>
      <c r="W3930" s="3">
        <v>374.66</v>
      </c>
      <c r="X3930" s="3">
        <v>354.83</v>
      </c>
      <c r="Y3930" s="3">
        <v>152.07</v>
      </c>
    </row>
    <row r="3931" spans="1:25" ht="60.75" x14ac:dyDescent="0.25">
      <c r="A3931" s="3" t="s">
        <v>26</v>
      </c>
      <c r="B3931" s="3" t="s">
        <v>27</v>
      </c>
      <c r="C3931" s="3" t="s">
        <v>28</v>
      </c>
      <c r="D3931" s="3" t="s">
        <v>29</v>
      </c>
      <c r="E3931" s="3" t="s">
        <v>186</v>
      </c>
      <c r="F3931" s="3" t="s">
        <v>31</v>
      </c>
      <c r="G3931" s="3" t="s">
        <v>186</v>
      </c>
      <c r="H3931" s="3" t="s">
        <v>45</v>
      </c>
      <c r="I3931" s="3">
        <v>2025</v>
      </c>
      <c r="J3931" s="3" t="str">
        <f>CONCATENATE("54820140652")</f>
        <v>54820140652</v>
      </c>
      <c r="K3931" s="3" t="s">
        <v>33</v>
      </c>
      <c r="L3931" s="3"/>
      <c r="M3931" s="3" t="s">
        <v>131</v>
      </c>
      <c r="N3931" s="3" t="str">
        <f>CONCATENATE("GRSMNL61D65F205W")</f>
        <v>GRSMNL61D65F205W</v>
      </c>
      <c r="O3931" s="3" t="s">
        <v>4045</v>
      </c>
      <c r="P3931" s="3" t="s">
        <v>36</v>
      </c>
      <c r="Q3931" s="3"/>
      <c r="R3931" s="4">
        <v>45996</v>
      </c>
      <c r="S3931" s="3" t="s">
        <v>37</v>
      </c>
      <c r="T3931" s="3" t="s">
        <v>38</v>
      </c>
      <c r="U3931" s="3" t="s">
        <v>39</v>
      </c>
      <c r="V3931" s="3">
        <v>159.25</v>
      </c>
      <c r="W3931" s="3">
        <v>67.680000000000007</v>
      </c>
      <c r="X3931" s="3">
        <v>64.099999999999994</v>
      </c>
      <c r="Y3931" s="3">
        <v>27.47</v>
      </c>
    </row>
    <row r="3932" spans="1:25" ht="72.75" x14ac:dyDescent="0.25">
      <c r="A3932" s="3" t="s">
        <v>26</v>
      </c>
      <c r="B3932" s="3" t="s">
        <v>27</v>
      </c>
      <c r="C3932" s="3" t="s">
        <v>28</v>
      </c>
      <c r="D3932" s="3" t="s">
        <v>29</v>
      </c>
      <c r="E3932" s="3" t="s">
        <v>119</v>
      </c>
      <c r="F3932" s="3" t="s">
        <v>31</v>
      </c>
      <c r="G3932" s="3" t="s">
        <v>119</v>
      </c>
      <c r="H3932" s="3" t="s">
        <v>96</v>
      </c>
      <c r="I3932" s="3">
        <v>2025</v>
      </c>
      <c r="J3932" s="3" t="str">
        <f>CONCATENATE("54820018387")</f>
        <v>54820018387</v>
      </c>
      <c r="K3932" s="3" t="s">
        <v>33</v>
      </c>
      <c r="L3932" s="3"/>
      <c r="M3932" s="3" t="s">
        <v>131</v>
      </c>
      <c r="N3932" s="3" t="str">
        <f>CONCATENATE("NNMGPP30B24F509C")</f>
        <v>NNMGPP30B24F509C</v>
      </c>
      <c r="O3932" s="3" t="s">
        <v>4046</v>
      </c>
      <c r="P3932" s="3" t="s">
        <v>36</v>
      </c>
      <c r="Q3932" s="3"/>
      <c r="R3932" s="4">
        <v>45996</v>
      </c>
      <c r="S3932" s="3" t="s">
        <v>37</v>
      </c>
      <c r="T3932" s="3" t="s">
        <v>38</v>
      </c>
      <c r="U3932" s="3" t="s">
        <v>39</v>
      </c>
      <c r="V3932" s="3">
        <v>121.3</v>
      </c>
      <c r="W3932" s="3">
        <v>51.55</v>
      </c>
      <c r="X3932" s="3">
        <v>48.82</v>
      </c>
      <c r="Y3932" s="3">
        <v>20.93</v>
      </c>
    </row>
    <row r="3933" spans="1:25" ht="60.75" x14ac:dyDescent="0.25">
      <c r="A3933" s="3" t="s">
        <v>26</v>
      </c>
      <c r="B3933" s="3" t="s">
        <v>27</v>
      </c>
      <c r="C3933" s="3" t="s">
        <v>28</v>
      </c>
      <c r="D3933" s="3" t="s">
        <v>29</v>
      </c>
      <c r="E3933" s="3" t="s">
        <v>228</v>
      </c>
      <c r="F3933" s="3" t="s">
        <v>31</v>
      </c>
      <c r="G3933" s="3" t="s">
        <v>228</v>
      </c>
      <c r="H3933" s="3" t="s">
        <v>45</v>
      </c>
      <c r="I3933" s="3">
        <v>2025</v>
      </c>
      <c r="J3933" s="3" t="str">
        <f>CONCATENATE("54820031760")</f>
        <v>54820031760</v>
      </c>
      <c r="K3933" s="3" t="s">
        <v>33</v>
      </c>
      <c r="L3933" s="3"/>
      <c r="M3933" s="3" t="s">
        <v>131</v>
      </c>
      <c r="N3933" s="3" t="str">
        <f>CONCATENATE("BLDMRS42C66G089Z")</f>
        <v>BLDMRS42C66G089Z</v>
      </c>
      <c r="O3933" s="3" t="s">
        <v>4047</v>
      </c>
      <c r="P3933" s="3" t="s">
        <v>36</v>
      </c>
      <c r="Q3933" s="3"/>
      <c r="R3933" s="4">
        <v>45996</v>
      </c>
      <c r="S3933" s="3" t="s">
        <v>37</v>
      </c>
      <c r="T3933" s="3" t="s">
        <v>38</v>
      </c>
      <c r="U3933" s="3" t="s">
        <v>39</v>
      </c>
      <c r="V3933" s="3">
        <v>76.8</v>
      </c>
      <c r="W3933" s="3">
        <v>32.64</v>
      </c>
      <c r="X3933" s="3">
        <v>30.91</v>
      </c>
      <c r="Y3933" s="3">
        <v>13.25</v>
      </c>
    </row>
    <row r="3934" spans="1:25" ht="72.75" x14ac:dyDescent="0.25">
      <c r="A3934" s="3" t="s">
        <v>26</v>
      </c>
      <c r="B3934" s="3" t="s">
        <v>27</v>
      </c>
      <c r="C3934" s="3" t="s">
        <v>28</v>
      </c>
      <c r="D3934" s="3" t="s">
        <v>29</v>
      </c>
      <c r="E3934" s="3" t="s">
        <v>208</v>
      </c>
      <c r="F3934" s="3" t="s">
        <v>31</v>
      </c>
      <c r="G3934" s="3" t="s">
        <v>208</v>
      </c>
      <c r="H3934" s="3" t="s">
        <v>45</v>
      </c>
      <c r="I3934" s="3">
        <v>2025</v>
      </c>
      <c r="J3934" s="3" t="str">
        <f>CONCATENATE("54820061767")</f>
        <v>54820061767</v>
      </c>
      <c r="K3934" s="3" t="s">
        <v>33</v>
      </c>
      <c r="L3934" s="3"/>
      <c r="M3934" s="3" t="s">
        <v>131</v>
      </c>
      <c r="N3934" s="3" t="str">
        <f>CONCATENATE("TMSGPP56D05B026Q")</f>
        <v>TMSGPP56D05B026Q</v>
      </c>
      <c r="O3934" s="3" t="s">
        <v>4048</v>
      </c>
      <c r="P3934" s="3" t="s">
        <v>36</v>
      </c>
      <c r="Q3934" s="3"/>
      <c r="R3934" s="4">
        <v>45996</v>
      </c>
      <c r="S3934" s="3" t="s">
        <v>37</v>
      </c>
      <c r="T3934" s="3" t="s">
        <v>38</v>
      </c>
      <c r="U3934" s="3" t="s">
        <v>39</v>
      </c>
      <c r="V3934" s="3">
        <v>244.77</v>
      </c>
      <c r="W3934" s="3">
        <v>104.03</v>
      </c>
      <c r="X3934" s="3">
        <v>98.52</v>
      </c>
      <c r="Y3934" s="3">
        <v>42.22</v>
      </c>
    </row>
    <row r="3935" spans="1:25" ht="36.75" x14ac:dyDescent="0.25">
      <c r="A3935" s="3" t="s">
        <v>26</v>
      </c>
      <c r="B3935" s="3" t="s">
        <v>27</v>
      </c>
      <c r="C3935" s="3" t="s">
        <v>28</v>
      </c>
      <c r="D3935" s="3" t="s">
        <v>40</v>
      </c>
      <c r="E3935" s="3" t="s">
        <v>54</v>
      </c>
      <c r="F3935" s="3" t="s">
        <v>42</v>
      </c>
      <c r="G3935" s="3" t="s">
        <v>54</v>
      </c>
      <c r="H3935" s="3" t="s">
        <v>45</v>
      </c>
      <c r="I3935" s="3">
        <v>2025</v>
      </c>
      <c r="J3935" s="3" t="str">
        <f>CONCATENATE("54820062534")</f>
        <v>54820062534</v>
      </c>
      <c r="K3935" s="3" t="s">
        <v>33</v>
      </c>
      <c r="L3935" s="3"/>
      <c r="M3935" s="3" t="s">
        <v>131</v>
      </c>
      <c r="N3935" s="3" t="str">
        <f>CONCATENATE("02669140416")</f>
        <v>02669140416</v>
      </c>
      <c r="O3935" s="3" t="s">
        <v>4049</v>
      </c>
      <c r="P3935" s="3" t="s">
        <v>36</v>
      </c>
      <c r="Q3935" s="3"/>
      <c r="R3935" s="4">
        <v>45996</v>
      </c>
      <c r="S3935" s="3" t="s">
        <v>37</v>
      </c>
      <c r="T3935" s="3" t="s">
        <v>38</v>
      </c>
      <c r="U3935" s="3" t="s">
        <v>39</v>
      </c>
      <c r="V3935" s="3">
        <v>690.58</v>
      </c>
      <c r="W3935" s="3">
        <v>293.5</v>
      </c>
      <c r="X3935" s="3">
        <v>277.95999999999998</v>
      </c>
      <c r="Y3935" s="3">
        <v>119.12</v>
      </c>
    </row>
    <row r="3936" spans="1:25" ht="60.75" x14ac:dyDescent="0.25">
      <c r="A3936" s="3" t="s">
        <v>26</v>
      </c>
      <c r="B3936" s="3" t="s">
        <v>27</v>
      </c>
      <c r="C3936" s="3" t="s">
        <v>28</v>
      </c>
      <c r="D3936" s="3" t="s">
        <v>104</v>
      </c>
      <c r="E3936" s="3" t="s">
        <v>268</v>
      </c>
      <c r="F3936" s="3" t="s">
        <v>104</v>
      </c>
      <c r="G3936" s="3" t="s">
        <v>268</v>
      </c>
      <c r="H3936" s="3" t="s">
        <v>32</v>
      </c>
      <c r="I3936" s="3">
        <v>2025</v>
      </c>
      <c r="J3936" s="3" t="str">
        <f>CONCATENATE("54820019526")</f>
        <v>54820019526</v>
      </c>
      <c r="K3936" s="3" t="s">
        <v>33</v>
      </c>
      <c r="L3936" s="3"/>
      <c r="M3936" s="3" t="s">
        <v>131</v>
      </c>
      <c r="N3936" s="3" t="str">
        <f>CONCATENATE("GRLNDR02B26I156R")</f>
        <v>GRLNDR02B26I156R</v>
      </c>
      <c r="O3936" s="3" t="s">
        <v>4050</v>
      </c>
      <c r="P3936" s="3" t="s">
        <v>36</v>
      </c>
      <c r="Q3936" s="3"/>
      <c r="R3936" s="4">
        <v>45996</v>
      </c>
      <c r="S3936" s="3" t="s">
        <v>37</v>
      </c>
      <c r="T3936" s="3" t="s">
        <v>38</v>
      </c>
      <c r="U3936" s="3" t="s">
        <v>39</v>
      </c>
      <c r="V3936" s="3">
        <v>165.94</v>
      </c>
      <c r="W3936" s="3">
        <v>70.52</v>
      </c>
      <c r="X3936" s="3">
        <v>66.790000000000006</v>
      </c>
      <c r="Y3936" s="3">
        <v>28.63</v>
      </c>
    </row>
    <row r="3937" spans="1:25" ht="60.75" x14ac:dyDescent="0.25">
      <c r="A3937" s="3" t="s">
        <v>26</v>
      </c>
      <c r="B3937" s="3" t="s">
        <v>27</v>
      </c>
      <c r="C3937" s="3" t="s">
        <v>28</v>
      </c>
      <c r="D3937" s="3" t="s">
        <v>50</v>
      </c>
      <c r="E3937" s="3" t="s">
        <v>173</v>
      </c>
      <c r="F3937" s="3" t="s">
        <v>52</v>
      </c>
      <c r="G3937" s="3" t="s">
        <v>173</v>
      </c>
      <c r="H3937" s="3" t="s">
        <v>45</v>
      </c>
      <c r="I3937" s="3">
        <v>2025</v>
      </c>
      <c r="J3937" s="3" t="str">
        <f>CONCATENATE("54820036199")</f>
        <v>54820036199</v>
      </c>
      <c r="K3937" s="3" t="s">
        <v>33</v>
      </c>
      <c r="L3937" s="3"/>
      <c r="M3937" s="3" t="s">
        <v>131</v>
      </c>
      <c r="N3937" s="3" t="str">
        <f>CONCATENATE("TRCLDN55P56I459V")</f>
        <v>TRCLDN55P56I459V</v>
      </c>
      <c r="O3937" s="3" t="s">
        <v>4051</v>
      </c>
      <c r="P3937" s="3" t="s">
        <v>36</v>
      </c>
      <c r="Q3937" s="3"/>
      <c r="R3937" s="4">
        <v>45996</v>
      </c>
      <c r="S3937" s="3" t="s">
        <v>37</v>
      </c>
      <c r="T3937" s="3" t="s">
        <v>38</v>
      </c>
      <c r="U3937" s="3" t="s">
        <v>39</v>
      </c>
      <c r="V3937" s="3">
        <v>234.69</v>
      </c>
      <c r="W3937" s="3">
        <v>99.74</v>
      </c>
      <c r="X3937" s="3">
        <v>94.46</v>
      </c>
      <c r="Y3937" s="3">
        <v>40.49</v>
      </c>
    </row>
    <row r="3938" spans="1:25" ht="60.75" x14ac:dyDescent="0.25">
      <c r="A3938" s="3" t="s">
        <v>26</v>
      </c>
      <c r="B3938" s="3" t="s">
        <v>27</v>
      </c>
      <c r="C3938" s="3" t="s">
        <v>28</v>
      </c>
      <c r="D3938" s="3" t="s">
        <v>29</v>
      </c>
      <c r="E3938" s="3" t="s">
        <v>72</v>
      </c>
      <c r="F3938" s="3" t="s">
        <v>31</v>
      </c>
      <c r="G3938" s="3" t="s">
        <v>72</v>
      </c>
      <c r="H3938" s="3" t="s">
        <v>45</v>
      </c>
      <c r="I3938" s="3">
        <v>2025</v>
      </c>
      <c r="J3938" s="3" t="str">
        <f>CONCATENATE("54820044722")</f>
        <v>54820044722</v>
      </c>
      <c r="K3938" s="3" t="s">
        <v>33</v>
      </c>
      <c r="L3938" s="3"/>
      <c r="M3938" s="3" t="s">
        <v>131</v>
      </c>
      <c r="N3938" s="3" t="str">
        <f>CONCATENATE("NRDCRL65D10L498M")</f>
        <v>NRDCRL65D10L498M</v>
      </c>
      <c r="O3938" s="3" t="s">
        <v>4052</v>
      </c>
      <c r="P3938" s="3" t="s">
        <v>36</v>
      </c>
      <c r="Q3938" s="3"/>
      <c r="R3938" s="4">
        <v>45996</v>
      </c>
      <c r="S3938" s="3" t="s">
        <v>37</v>
      </c>
      <c r="T3938" s="3" t="s">
        <v>38</v>
      </c>
      <c r="U3938" s="3" t="s">
        <v>39</v>
      </c>
      <c r="V3938" s="3">
        <v>299.67</v>
      </c>
      <c r="W3938" s="3">
        <v>127.36</v>
      </c>
      <c r="X3938" s="3">
        <v>120.62</v>
      </c>
      <c r="Y3938" s="3">
        <v>51.69</v>
      </c>
    </row>
    <row r="3939" spans="1:25" ht="72.75" x14ac:dyDescent="0.25">
      <c r="A3939" s="3" t="s">
        <v>26</v>
      </c>
      <c r="B3939" s="3" t="s">
        <v>27</v>
      </c>
      <c r="C3939" s="3" t="s">
        <v>28</v>
      </c>
      <c r="D3939" s="3" t="s">
        <v>50</v>
      </c>
      <c r="E3939" s="3" t="s">
        <v>60</v>
      </c>
      <c r="F3939" s="3" t="s">
        <v>52</v>
      </c>
      <c r="G3939" s="3" t="s">
        <v>60</v>
      </c>
      <c r="H3939" s="3" t="s">
        <v>45</v>
      </c>
      <c r="I3939" s="3">
        <v>2025</v>
      </c>
      <c r="J3939" s="3" t="str">
        <f>CONCATENATE("54820083332")</f>
        <v>54820083332</v>
      </c>
      <c r="K3939" s="3" t="s">
        <v>33</v>
      </c>
      <c r="L3939" s="3"/>
      <c r="M3939" s="3" t="s">
        <v>131</v>
      </c>
      <c r="N3939" s="3" t="str">
        <f>CONCATENATE("NCLRCR60M12G479R")</f>
        <v>NCLRCR60M12G479R</v>
      </c>
      <c r="O3939" s="3" t="s">
        <v>4053</v>
      </c>
      <c r="P3939" s="3" t="s">
        <v>36</v>
      </c>
      <c r="Q3939" s="3"/>
      <c r="R3939" s="4">
        <v>45996</v>
      </c>
      <c r="S3939" s="3" t="s">
        <v>37</v>
      </c>
      <c r="T3939" s="3" t="s">
        <v>38</v>
      </c>
      <c r="U3939" s="3" t="s">
        <v>39</v>
      </c>
      <c r="V3939" s="3">
        <v>65.28</v>
      </c>
      <c r="W3939" s="3">
        <v>27.74</v>
      </c>
      <c r="X3939" s="3">
        <v>26.28</v>
      </c>
      <c r="Y3939" s="3">
        <v>11.26</v>
      </c>
    </row>
    <row r="3940" spans="1:25" ht="72.75" x14ac:dyDescent="0.25">
      <c r="A3940" s="3" t="s">
        <v>26</v>
      </c>
      <c r="B3940" s="3" t="s">
        <v>27</v>
      </c>
      <c r="C3940" s="3" t="s">
        <v>28</v>
      </c>
      <c r="D3940" s="3" t="s">
        <v>29</v>
      </c>
      <c r="E3940" s="3" t="s">
        <v>101</v>
      </c>
      <c r="F3940" s="3" t="s">
        <v>31</v>
      </c>
      <c r="G3940" s="3" t="s">
        <v>101</v>
      </c>
      <c r="H3940" s="3" t="s">
        <v>32</v>
      </c>
      <c r="I3940" s="3">
        <v>2025</v>
      </c>
      <c r="J3940" s="3" t="str">
        <f>CONCATENATE("54820140074")</f>
        <v>54820140074</v>
      </c>
      <c r="K3940" s="3" t="s">
        <v>33</v>
      </c>
      <c r="L3940" s="3"/>
      <c r="M3940" s="3" t="s">
        <v>131</v>
      </c>
      <c r="N3940" s="3" t="str">
        <f>CONCATENATE("LFAGPP59B65B398H")</f>
        <v>LFAGPP59B65B398H</v>
      </c>
      <c r="O3940" s="3" t="s">
        <v>4054</v>
      </c>
      <c r="P3940" s="3" t="s">
        <v>36</v>
      </c>
      <c r="Q3940" s="3"/>
      <c r="R3940" s="4">
        <v>45996</v>
      </c>
      <c r="S3940" s="3" t="s">
        <v>37</v>
      </c>
      <c r="T3940" s="3" t="s">
        <v>38</v>
      </c>
      <c r="U3940" s="3" t="s">
        <v>39</v>
      </c>
      <c r="V3940" s="3">
        <v>57.31</v>
      </c>
      <c r="W3940" s="3">
        <v>24.36</v>
      </c>
      <c r="X3940" s="3">
        <v>23.07</v>
      </c>
      <c r="Y3940" s="3">
        <v>9.8800000000000008</v>
      </c>
    </row>
    <row r="3941" spans="1:25" ht="72.75" x14ac:dyDescent="0.25">
      <c r="A3941" s="3" t="s">
        <v>26</v>
      </c>
      <c r="B3941" s="3" t="s">
        <v>27</v>
      </c>
      <c r="C3941" s="3" t="s">
        <v>28</v>
      </c>
      <c r="D3941" s="3" t="s">
        <v>50</v>
      </c>
      <c r="E3941" s="3" t="s">
        <v>60</v>
      </c>
      <c r="F3941" s="3" t="s">
        <v>52</v>
      </c>
      <c r="G3941" s="3" t="s">
        <v>60</v>
      </c>
      <c r="H3941" s="3" t="s">
        <v>45</v>
      </c>
      <c r="I3941" s="3">
        <v>2025</v>
      </c>
      <c r="J3941" s="3" t="str">
        <f>CONCATENATE("54820109574")</f>
        <v>54820109574</v>
      </c>
      <c r="K3941" s="3" t="s">
        <v>33</v>
      </c>
      <c r="L3941" s="3"/>
      <c r="M3941" s="3" t="s">
        <v>131</v>
      </c>
      <c r="N3941" s="3" t="str">
        <f>CONCATENATE("CHRRMN28H58I654D")</f>
        <v>CHRRMN28H58I654D</v>
      </c>
      <c r="O3941" s="3" t="s">
        <v>4055</v>
      </c>
      <c r="P3941" s="3" t="s">
        <v>36</v>
      </c>
      <c r="Q3941" s="3"/>
      <c r="R3941" s="4">
        <v>45996</v>
      </c>
      <c r="S3941" s="3" t="s">
        <v>37</v>
      </c>
      <c r="T3941" s="3" t="s">
        <v>38</v>
      </c>
      <c r="U3941" s="3" t="s">
        <v>39</v>
      </c>
      <c r="V3941" s="3">
        <v>243.19</v>
      </c>
      <c r="W3941" s="3">
        <v>103.36</v>
      </c>
      <c r="X3941" s="3">
        <v>97.88</v>
      </c>
      <c r="Y3941" s="3">
        <v>41.95</v>
      </c>
    </row>
    <row r="3942" spans="1:25" ht="60.75" x14ac:dyDescent="0.25">
      <c r="A3942" s="3" t="s">
        <v>26</v>
      </c>
      <c r="B3942" s="3" t="s">
        <v>27</v>
      </c>
      <c r="C3942" s="3" t="s">
        <v>28</v>
      </c>
      <c r="D3942" s="3" t="s">
        <v>40</v>
      </c>
      <c r="E3942" s="3" t="s">
        <v>44</v>
      </c>
      <c r="F3942" s="3" t="s">
        <v>42</v>
      </c>
      <c r="G3942" s="3" t="s">
        <v>44</v>
      </c>
      <c r="H3942" s="3" t="s">
        <v>32</v>
      </c>
      <c r="I3942" s="3">
        <v>2025</v>
      </c>
      <c r="J3942" s="3" t="str">
        <f>CONCATENATE("54820065149")</f>
        <v>54820065149</v>
      </c>
      <c r="K3942" s="3" t="s">
        <v>33</v>
      </c>
      <c r="L3942" s="3"/>
      <c r="M3942" s="3" t="s">
        <v>131</v>
      </c>
      <c r="N3942" s="3" t="str">
        <f>CONCATENATE("PRGSFN92T03E783D")</f>
        <v>PRGSFN92T03E783D</v>
      </c>
      <c r="O3942" s="3" t="s">
        <v>4056</v>
      </c>
      <c r="P3942" s="3" t="s">
        <v>36</v>
      </c>
      <c r="Q3942" s="3"/>
      <c r="R3942" s="4">
        <v>45996</v>
      </c>
      <c r="S3942" s="3" t="s">
        <v>37</v>
      </c>
      <c r="T3942" s="3" t="s">
        <v>38</v>
      </c>
      <c r="U3942" s="3" t="s">
        <v>39</v>
      </c>
      <c r="V3942" s="3">
        <v>415.73</v>
      </c>
      <c r="W3942" s="3">
        <v>176.69</v>
      </c>
      <c r="X3942" s="3">
        <v>167.33</v>
      </c>
      <c r="Y3942" s="3">
        <v>71.709999999999994</v>
      </c>
    </row>
    <row r="3943" spans="1:25" ht="60.75" x14ac:dyDescent="0.25">
      <c r="A3943" s="3" t="s">
        <v>26</v>
      </c>
      <c r="B3943" s="3" t="s">
        <v>27</v>
      </c>
      <c r="C3943" s="3" t="s">
        <v>28</v>
      </c>
      <c r="D3943" s="3" t="s">
        <v>50</v>
      </c>
      <c r="E3943" s="3" t="s">
        <v>60</v>
      </c>
      <c r="F3943" s="3" t="s">
        <v>52</v>
      </c>
      <c r="G3943" s="3" t="s">
        <v>60</v>
      </c>
      <c r="H3943" s="3" t="s">
        <v>45</v>
      </c>
      <c r="I3943" s="3">
        <v>2025</v>
      </c>
      <c r="J3943" s="3" t="str">
        <f>CONCATENATE("54820132527")</f>
        <v>54820132527</v>
      </c>
      <c r="K3943" s="3" t="s">
        <v>33</v>
      </c>
      <c r="L3943" s="3"/>
      <c r="M3943" s="3" t="s">
        <v>131</v>
      </c>
      <c r="N3943" s="3" t="str">
        <f>CONCATENATE("PRNGCR62C16I654N")</f>
        <v>PRNGCR62C16I654N</v>
      </c>
      <c r="O3943" s="3" t="s">
        <v>4057</v>
      </c>
      <c r="P3943" s="3" t="s">
        <v>36</v>
      </c>
      <c r="Q3943" s="3"/>
      <c r="R3943" s="4">
        <v>45996</v>
      </c>
      <c r="S3943" s="3" t="s">
        <v>37</v>
      </c>
      <c r="T3943" s="3" t="s">
        <v>38</v>
      </c>
      <c r="U3943" s="3" t="s">
        <v>39</v>
      </c>
      <c r="V3943" s="3">
        <v>86.17</v>
      </c>
      <c r="W3943" s="3">
        <v>36.619999999999997</v>
      </c>
      <c r="X3943" s="3">
        <v>34.68</v>
      </c>
      <c r="Y3943" s="3">
        <v>14.87</v>
      </c>
    </row>
    <row r="3944" spans="1:25" ht="60.75" x14ac:dyDescent="0.25">
      <c r="A3944" s="3" t="s">
        <v>26</v>
      </c>
      <c r="B3944" s="3" t="s">
        <v>27</v>
      </c>
      <c r="C3944" s="3" t="s">
        <v>28</v>
      </c>
      <c r="D3944" s="3" t="s">
        <v>29</v>
      </c>
      <c r="E3944" s="3" t="s">
        <v>136</v>
      </c>
      <c r="F3944" s="3" t="s">
        <v>31</v>
      </c>
      <c r="G3944" s="3" t="s">
        <v>136</v>
      </c>
      <c r="H3944" s="3" t="s">
        <v>48</v>
      </c>
      <c r="I3944" s="3">
        <v>2025</v>
      </c>
      <c r="J3944" s="3" t="str">
        <f>CONCATENATE("54820076906")</f>
        <v>54820076906</v>
      </c>
      <c r="K3944" s="3" t="s">
        <v>33</v>
      </c>
      <c r="L3944" s="3"/>
      <c r="M3944" s="3" t="s">
        <v>131</v>
      </c>
      <c r="N3944" s="3" t="str">
        <f>CONCATENATE("LRTGNN71E10I461W")</f>
        <v>LRTGNN71E10I461W</v>
      </c>
      <c r="O3944" s="3" t="s">
        <v>4058</v>
      </c>
      <c r="P3944" s="3" t="s">
        <v>36</v>
      </c>
      <c r="Q3944" s="3"/>
      <c r="R3944" s="4">
        <v>45996</v>
      </c>
      <c r="S3944" s="3" t="s">
        <v>37</v>
      </c>
      <c r="T3944" s="3" t="s">
        <v>38</v>
      </c>
      <c r="U3944" s="3" t="s">
        <v>39</v>
      </c>
      <c r="V3944" s="3">
        <v>47.28</v>
      </c>
      <c r="W3944" s="3">
        <v>20.09</v>
      </c>
      <c r="X3944" s="3">
        <v>19.03</v>
      </c>
      <c r="Y3944" s="3">
        <v>8.16</v>
      </c>
    </row>
    <row r="3945" spans="1:25" ht="60.75" x14ac:dyDescent="0.25">
      <c r="A3945" s="3" t="s">
        <v>26</v>
      </c>
      <c r="B3945" s="3" t="s">
        <v>27</v>
      </c>
      <c r="C3945" s="3" t="s">
        <v>28</v>
      </c>
      <c r="D3945" s="3" t="s">
        <v>29</v>
      </c>
      <c r="E3945" s="3" t="s">
        <v>233</v>
      </c>
      <c r="F3945" s="3" t="s">
        <v>31</v>
      </c>
      <c r="G3945" s="3" t="s">
        <v>233</v>
      </c>
      <c r="H3945" s="3" t="s">
        <v>96</v>
      </c>
      <c r="I3945" s="3">
        <v>2025</v>
      </c>
      <c r="J3945" s="3" t="str">
        <f>CONCATENATE("54820047279")</f>
        <v>54820047279</v>
      </c>
      <c r="K3945" s="3" t="s">
        <v>33</v>
      </c>
      <c r="L3945" s="3"/>
      <c r="M3945" s="3" t="s">
        <v>131</v>
      </c>
      <c r="N3945" s="3" t="str">
        <f>CONCATENATE("GLLVNT63P70H098Z")</f>
        <v>GLLVNT63P70H098Z</v>
      </c>
      <c r="O3945" s="3" t="s">
        <v>4059</v>
      </c>
      <c r="P3945" s="3" t="s">
        <v>36</v>
      </c>
      <c r="Q3945" s="3"/>
      <c r="R3945" s="4">
        <v>45996</v>
      </c>
      <c r="S3945" s="3" t="s">
        <v>37</v>
      </c>
      <c r="T3945" s="3" t="s">
        <v>38</v>
      </c>
      <c r="U3945" s="3" t="s">
        <v>39</v>
      </c>
      <c r="V3945" s="3">
        <v>261.08999999999997</v>
      </c>
      <c r="W3945" s="3">
        <v>110.96</v>
      </c>
      <c r="X3945" s="3">
        <v>105.09</v>
      </c>
      <c r="Y3945" s="3">
        <v>45.04</v>
      </c>
    </row>
    <row r="3946" spans="1:25" ht="72.75" x14ac:dyDescent="0.25">
      <c r="A3946" s="3" t="s">
        <v>26</v>
      </c>
      <c r="B3946" s="3" t="s">
        <v>27</v>
      </c>
      <c r="C3946" s="3" t="s">
        <v>28</v>
      </c>
      <c r="D3946" s="3" t="s">
        <v>50</v>
      </c>
      <c r="E3946" s="3" t="s">
        <v>225</v>
      </c>
      <c r="F3946" s="3" t="s">
        <v>52</v>
      </c>
      <c r="G3946" s="3" t="s">
        <v>225</v>
      </c>
      <c r="H3946" s="3" t="s">
        <v>96</v>
      </c>
      <c r="I3946" s="3">
        <v>2025</v>
      </c>
      <c r="J3946" s="3" t="str">
        <f>CONCATENATE("54820043229")</f>
        <v>54820043229</v>
      </c>
      <c r="K3946" s="3" t="s">
        <v>33</v>
      </c>
      <c r="L3946" s="3"/>
      <c r="M3946" s="3" t="s">
        <v>131</v>
      </c>
      <c r="N3946" s="3" t="str">
        <f>CONCATENATE("GRLMTT81M08D542H")</f>
        <v>GRLMTT81M08D542H</v>
      </c>
      <c r="O3946" s="3" t="s">
        <v>4060</v>
      </c>
      <c r="P3946" s="3" t="s">
        <v>36</v>
      </c>
      <c r="Q3946" s="3"/>
      <c r="R3946" s="4">
        <v>45996</v>
      </c>
      <c r="S3946" s="3" t="s">
        <v>37</v>
      </c>
      <c r="T3946" s="3" t="s">
        <v>38</v>
      </c>
      <c r="U3946" s="3" t="s">
        <v>39</v>
      </c>
      <c r="V3946" s="3">
        <v>75.150000000000006</v>
      </c>
      <c r="W3946" s="3">
        <v>31.94</v>
      </c>
      <c r="X3946" s="3">
        <v>30.25</v>
      </c>
      <c r="Y3946" s="3">
        <v>12.96</v>
      </c>
    </row>
    <row r="3947" spans="1:25" ht="60.75" x14ac:dyDescent="0.25">
      <c r="A3947" s="3" t="s">
        <v>26</v>
      </c>
      <c r="B3947" s="3" t="s">
        <v>27</v>
      </c>
      <c r="C3947" s="3" t="s">
        <v>28</v>
      </c>
      <c r="D3947" s="3" t="s">
        <v>29</v>
      </c>
      <c r="E3947" s="3" t="s">
        <v>56</v>
      </c>
      <c r="F3947" s="3" t="s">
        <v>31</v>
      </c>
      <c r="G3947" s="3" t="s">
        <v>56</v>
      </c>
      <c r="H3947" s="3" t="s">
        <v>32</v>
      </c>
      <c r="I3947" s="3">
        <v>2025</v>
      </c>
      <c r="J3947" s="3" t="str">
        <f>CONCATENATE("54820099445")</f>
        <v>54820099445</v>
      </c>
      <c r="K3947" s="3" t="s">
        <v>33</v>
      </c>
      <c r="L3947" s="3"/>
      <c r="M3947" s="3" t="s">
        <v>131</v>
      </c>
      <c r="N3947" s="3" t="str">
        <f>CONCATENATE("MTTDRA65S04M078M")</f>
        <v>MTTDRA65S04M078M</v>
      </c>
      <c r="O3947" s="3" t="s">
        <v>4061</v>
      </c>
      <c r="P3947" s="3" t="s">
        <v>36</v>
      </c>
      <c r="Q3947" s="3"/>
      <c r="R3947" s="4">
        <v>45996</v>
      </c>
      <c r="S3947" s="3" t="s">
        <v>37</v>
      </c>
      <c r="T3947" s="3" t="s">
        <v>38</v>
      </c>
      <c r="U3947" s="3" t="s">
        <v>39</v>
      </c>
      <c r="V3947" s="3">
        <v>223.42</v>
      </c>
      <c r="W3947" s="3">
        <v>94.95</v>
      </c>
      <c r="X3947" s="3">
        <v>89.93</v>
      </c>
      <c r="Y3947" s="3">
        <v>38.54</v>
      </c>
    </row>
    <row r="3948" spans="1:25" ht="60.75" x14ac:dyDescent="0.25">
      <c r="A3948" s="3" t="s">
        <v>26</v>
      </c>
      <c r="B3948" s="3" t="s">
        <v>27</v>
      </c>
      <c r="C3948" s="3" t="s">
        <v>28</v>
      </c>
      <c r="D3948" s="3" t="s">
        <v>29</v>
      </c>
      <c r="E3948" s="3" t="s">
        <v>56</v>
      </c>
      <c r="F3948" s="3" t="s">
        <v>31</v>
      </c>
      <c r="G3948" s="3" t="s">
        <v>56</v>
      </c>
      <c r="H3948" s="3" t="s">
        <v>32</v>
      </c>
      <c r="I3948" s="3">
        <v>2025</v>
      </c>
      <c r="J3948" s="3" t="str">
        <f>CONCATENATE("54820023841")</f>
        <v>54820023841</v>
      </c>
      <c r="K3948" s="3" t="s">
        <v>33</v>
      </c>
      <c r="L3948" s="3"/>
      <c r="M3948" s="3" t="s">
        <v>131</v>
      </c>
      <c r="N3948" s="3" t="str">
        <f>CONCATENATE("DMNGRL52C55M078L")</f>
        <v>DMNGRL52C55M078L</v>
      </c>
      <c r="O3948" s="3" t="s">
        <v>4062</v>
      </c>
      <c r="P3948" s="3" t="s">
        <v>36</v>
      </c>
      <c r="Q3948" s="3"/>
      <c r="R3948" s="4">
        <v>45996</v>
      </c>
      <c r="S3948" s="3" t="s">
        <v>37</v>
      </c>
      <c r="T3948" s="3" t="s">
        <v>38</v>
      </c>
      <c r="U3948" s="3" t="s">
        <v>39</v>
      </c>
      <c r="V3948" s="3">
        <v>100.68</v>
      </c>
      <c r="W3948" s="3">
        <v>42.79</v>
      </c>
      <c r="X3948" s="3">
        <v>40.520000000000003</v>
      </c>
      <c r="Y3948" s="3">
        <v>17.37</v>
      </c>
    </row>
    <row r="3949" spans="1:25" ht="60.75" x14ac:dyDescent="0.25">
      <c r="A3949" s="3" t="s">
        <v>26</v>
      </c>
      <c r="B3949" s="3" t="s">
        <v>27</v>
      </c>
      <c r="C3949" s="3" t="s">
        <v>28</v>
      </c>
      <c r="D3949" s="3" t="s">
        <v>29</v>
      </c>
      <c r="E3949" s="3" t="s">
        <v>68</v>
      </c>
      <c r="F3949" s="3" t="s">
        <v>31</v>
      </c>
      <c r="G3949" s="3" t="s">
        <v>68</v>
      </c>
      <c r="H3949" s="3" t="s">
        <v>32</v>
      </c>
      <c r="I3949" s="3">
        <v>2025</v>
      </c>
      <c r="J3949" s="3" t="str">
        <f>CONCATENATE("54820041884")</f>
        <v>54820041884</v>
      </c>
      <c r="K3949" s="3" t="s">
        <v>33</v>
      </c>
      <c r="L3949" s="3"/>
      <c r="M3949" s="3" t="s">
        <v>131</v>
      </c>
      <c r="N3949" s="3" t="str">
        <f>CONCATENATE("GLLSDR57M19I436L")</f>
        <v>GLLSDR57M19I436L</v>
      </c>
      <c r="O3949" s="3" t="s">
        <v>4063</v>
      </c>
      <c r="P3949" s="3" t="s">
        <v>36</v>
      </c>
      <c r="Q3949" s="3"/>
      <c r="R3949" s="4">
        <v>45996</v>
      </c>
      <c r="S3949" s="3" t="s">
        <v>37</v>
      </c>
      <c r="T3949" s="3" t="s">
        <v>38</v>
      </c>
      <c r="U3949" s="3" t="s">
        <v>39</v>
      </c>
      <c r="V3949" s="3">
        <v>90.25</v>
      </c>
      <c r="W3949" s="3">
        <v>38.36</v>
      </c>
      <c r="X3949" s="3">
        <v>36.33</v>
      </c>
      <c r="Y3949" s="3">
        <v>15.56</v>
      </c>
    </row>
    <row r="3950" spans="1:25" ht="60.75" x14ac:dyDescent="0.25">
      <c r="A3950" s="3" t="s">
        <v>26</v>
      </c>
      <c r="B3950" s="3" t="s">
        <v>27</v>
      </c>
      <c r="C3950" s="3" t="s">
        <v>28</v>
      </c>
      <c r="D3950" s="3" t="s">
        <v>50</v>
      </c>
      <c r="E3950" s="3" t="s">
        <v>149</v>
      </c>
      <c r="F3950" s="3" t="s">
        <v>52</v>
      </c>
      <c r="G3950" s="3" t="s">
        <v>149</v>
      </c>
      <c r="H3950" s="3" t="s">
        <v>96</v>
      </c>
      <c r="I3950" s="3">
        <v>2025</v>
      </c>
      <c r="J3950" s="3" t="str">
        <f>CONCATENATE("54820031414")</f>
        <v>54820031414</v>
      </c>
      <c r="K3950" s="3" t="s">
        <v>33</v>
      </c>
      <c r="L3950" s="3"/>
      <c r="M3950" s="3" t="s">
        <v>131</v>
      </c>
      <c r="N3950" s="3" t="str">
        <f>CONCATENATE("BRNMRC79T10A462R")</f>
        <v>BRNMRC79T10A462R</v>
      </c>
      <c r="O3950" s="3" t="s">
        <v>4064</v>
      </c>
      <c r="P3950" s="3" t="s">
        <v>36</v>
      </c>
      <c r="Q3950" s="3"/>
      <c r="R3950" s="4">
        <v>45996</v>
      </c>
      <c r="S3950" s="3" t="s">
        <v>37</v>
      </c>
      <c r="T3950" s="3" t="s">
        <v>38</v>
      </c>
      <c r="U3950" s="3" t="s">
        <v>39</v>
      </c>
      <c r="V3950" s="3">
        <v>48.85</v>
      </c>
      <c r="W3950" s="3">
        <v>20.76</v>
      </c>
      <c r="X3950" s="3">
        <v>19.66</v>
      </c>
      <c r="Y3950" s="3">
        <v>8.43</v>
      </c>
    </row>
    <row r="3951" spans="1:25" ht="60.75" x14ac:dyDescent="0.25">
      <c r="A3951" s="3" t="s">
        <v>26</v>
      </c>
      <c r="B3951" s="3" t="s">
        <v>27</v>
      </c>
      <c r="C3951" s="3" t="s">
        <v>28</v>
      </c>
      <c r="D3951" s="3" t="s">
        <v>50</v>
      </c>
      <c r="E3951" s="3" t="s">
        <v>51</v>
      </c>
      <c r="F3951" s="3" t="s">
        <v>52</v>
      </c>
      <c r="G3951" s="3" t="s">
        <v>51</v>
      </c>
      <c r="H3951" s="3" t="s">
        <v>48</v>
      </c>
      <c r="I3951" s="3">
        <v>2025</v>
      </c>
      <c r="J3951" s="3" t="str">
        <f>CONCATENATE("54820042056")</f>
        <v>54820042056</v>
      </c>
      <c r="K3951" s="3" t="s">
        <v>33</v>
      </c>
      <c r="L3951" s="3"/>
      <c r="M3951" s="3" t="s">
        <v>131</v>
      </c>
      <c r="N3951" s="3" t="str">
        <f>CONCATENATE("CCCRRT69S30C524S")</f>
        <v>CCCRRT69S30C524S</v>
      </c>
      <c r="O3951" s="3" t="s">
        <v>4065</v>
      </c>
      <c r="P3951" s="3" t="s">
        <v>36</v>
      </c>
      <c r="Q3951" s="3"/>
      <c r="R3951" s="4">
        <v>45996</v>
      </c>
      <c r="S3951" s="3" t="s">
        <v>37</v>
      </c>
      <c r="T3951" s="3" t="s">
        <v>38</v>
      </c>
      <c r="U3951" s="3" t="s">
        <v>39</v>
      </c>
      <c r="V3951" s="3">
        <v>156.91</v>
      </c>
      <c r="W3951" s="3">
        <v>66.69</v>
      </c>
      <c r="X3951" s="3">
        <v>63.16</v>
      </c>
      <c r="Y3951" s="3">
        <v>27.06</v>
      </c>
    </row>
    <row r="3952" spans="1:25" ht="60.75" x14ac:dyDescent="0.25">
      <c r="A3952" s="3" t="s">
        <v>26</v>
      </c>
      <c r="B3952" s="3" t="s">
        <v>27</v>
      </c>
      <c r="C3952" s="3" t="s">
        <v>28</v>
      </c>
      <c r="D3952" s="3" t="s">
        <v>29</v>
      </c>
      <c r="E3952" s="3" t="s">
        <v>56</v>
      </c>
      <c r="F3952" s="3" t="s">
        <v>31</v>
      </c>
      <c r="G3952" s="3" t="s">
        <v>56</v>
      </c>
      <c r="H3952" s="3" t="s">
        <v>32</v>
      </c>
      <c r="I3952" s="3">
        <v>2025</v>
      </c>
      <c r="J3952" s="3" t="str">
        <f>CONCATENATE("54820024146")</f>
        <v>54820024146</v>
      </c>
      <c r="K3952" s="3" t="s">
        <v>33</v>
      </c>
      <c r="L3952" s="3"/>
      <c r="M3952" s="3" t="s">
        <v>131</v>
      </c>
      <c r="N3952" s="3" t="str">
        <f>CONCATENATE("BLFMNL90S20B474Z")</f>
        <v>BLFMNL90S20B474Z</v>
      </c>
      <c r="O3952" s="3" t="s">
        <v>4066</v>
      </c>
      <c r="P3952" s="3" t="s">
        <v>36</v>
      </c>
      <c r="Q3952" s="3"/>
      <c r="R3952" s="4">
        <v>45996</v>
      </c>
      <c r="S3952" s="3" t="s">
        <v>37</v>
      </c>
      <c r="T3952" s="3" t="s">
        <v>38</v>
      </c>
      <c r="U3952" s="3" t="s">
        <v>39</v>
      </c>
      <c r="V3952" s="3">
        <v>557.94000000000005</v>
      </c>
      <c r="W3952" s="3">
        <v>237.12</v>
      </c>
      <c r="X3952" s="3">
        <v>224.57</v>
      </c>
      <c r="Y3952" s="3">
        <v>96.25</v>
      </c>
    </row>
    <row r="3953" spans="1:25" ht="60.75" x14ac:dyDescent="0.25">
      <c r="A3953" s="3" t="s">
        <v>26</v>
      </c>
      <c r="B3953" s="3" t="s">
        <v>27</v>
      </c>
      <c r="C3953" s="3" t="s">
        <v>28</v>
      </c>
      <c r="D3953" s="3" t="s">
        <v>40</v>
      </c>
      <c r="E3953" s="3" t="s">
        <v>287</v>
      </c>
      <c r="F3953" s="3" t="s">
        <v>42</v>
      </c>
      <c r="G3953" s="3" t="s">
        <v>287</v>
      </c>
      <c r="H3953" s="3" t="s">
        <v>32</v>
      </c>
      <c r="I3953" s="3">
        <v>2025</v>
      </c>
      <c r="J3953" s="3" t="str">
        <f>CONCATENATE("54820017496")</f>
        <v>54820017496</v>
      </c>
      <c r="K3953" s="3" t="s">
        <v>33</v>
      </c>
      <c r="L3953" s="3"/>
      <c r="M3953" s="3" t="s">
        <v>131</v>
      </c>
      <c r="N3953" s="3" t="str">
        <f>CONCATENATE("SBRSLD37S11B474V")</f>
        <v>SBRSLD37S11B474V</v>
      </c>
      <c r="O3953" s="3" t="s">
        <v>4067</v>
      </c>
      <c r="P3953" s="3" t="s">
        <v>36</v>
      </c>
      <c r="Q3953" s="3"/>
      <c r="R3953" s="4">
        <v>45996</v>
      </c>
      <c r="S3953" s="3" t="s">
        <v>37</v>
      </c>
      <c r="T3953" s="3" t="s">
        <v>38</v>
      </c>
      <c r="U3953" s="3" t="s">
        <v>39</v>
      </c>
      <c r="V3953" s="3">
        <v>128.13999999999999</v>
      </c>
      <c r="W3953" s="3">
        <v>54.46</v>
      </c>
      <c r="X3953" s="3">
        <v>51.58</v>
      </c>
      <c r="Y3953" s="3">
        <v>22.1</v>
      </c>
    </row>
    <row r="3954" spans="1:25" ht="36.75" x14ac:dyDescent="0.25">
      <c r="A3954" s="3" t="s">
        <v>26</v>
      </c>
      <c r="B3954" s="3" t="s">
        <v>27</v>
      </c>
      <c r="C3954" s="3" t="s">
        <v>28</v>
      </c>
      <c r="D3954" s="3" t="s">
        <v>29</v>
      </c>
      <c r="E3954" s="3" t="s">
        <v>68</v>
      </c>
      <c r="F3954" s="3" t="s">
        <v>31</v>
      </c>
      <c r="G3954" s="3" t="s">
        <v>68</v>
      </c>
      <c r="H3954" s="3" t="s">
        <v>32</v>
      </c>
      <c r="I3954" s="3">
        <v>2025</v>
      </c>
      <c r="J3954" s="3" t="str">
        <f>CONCATENATE("54820048442")</f>
        <v>54820048442</v>
      </c>
      <c r="K3954" s="3" t="s">
        <v>33</v>
      </c>
      <c r="L3954" s="3"/>
      <c r="M3954" s="3" t="s">
        <v>131</v>
      </c>
      <c r="N3954" s="3" t="str">
        <f>CONCATENATE("01797880430")</f>
        <v>01797880430</v>
      </c>
      <c r="O3954" s="3" t="s">
        <v>4068</v>
      </c>
      <c r="P3954" s="3" t="s">
        <v>36</v>
      </c>
      <c r="Q3954" s="3"/>
      <c r="R3954" s="4">
        <v>45996</v>
      </c>
      <c r="S3954" s="3" t="s">
        <v>37</v>
      </c>
      <c r="T3954" s="3" t="s">
        <v>38</v>
      </c>
      <c r="U3954" s="3" t="s">
        <v>39</v>
      </c>
      <c r="V3954" s="3">
        <v>390.68</v>
      </c>
      <c r="W3954" s="3">
        <v>166.04</v>
      </c>
      <c r="X3954" s="3">
        <v>157.25</v>
      </c>
      <c r="Y3954" s="3">
        <v>67.39</v>
      </c>
    </row>
    <row r="3955" spans="1:25" ht="72.75" x14ac:dyDescent="0.25">
      <c r="A3955" s="3" t="s">
        <v>26</v>
      </c>
      <c r="B3955" s="3" t="s">
        <v>27</v>
      </c>
      <c r="C3955" s="3" t="s">
        <v>28</v>
      </c>
      <c r="D3955" s="3" t="s">
        <v>50</v>
      </c>
      <c r="E3955" s="3" t="s">
        <v>173</v>
      </c>
      <c r="F3955" s="3" t="s">
        <v>52</v>
      </c>
      <c r="G3955" s="3" t="s">
        <v>173</v>
      </c>
      <c r="H3955" s="3" t="s">
        <v>45</v>
      </c>
      <c r="I3955" s="3">
        <v>2025</v>
      </c>
      <c r="J3955" s="3" t="str">
        <f>CONCATENATE("54820063177")</f>
        <v>54820063177</v>
      </c>
      <c r="K3955" s="3" t="s">
        <v>33</v>
      </c>
      <c r="L3955" s="3"/>
      <c r="M3955" s="3" t="s">
        <v>131</v>
      </c>
      <c r="N3955" s="3" t="str">
        <f>CONCATENATE("MGNRNG59M65B371F")</f>
        <v>MGNRNG59M65B371F</v>
      </c>
      <c r="O3955" s="3" t="s">
        <v>4069</v>
      </c>
      <c r="P3955" s="3" t="s">
        <v>36</v>
      </c>
      <c r="Q3955" s="3"/>
      <c r="R3955" s="4">
        <v>45996</v>
      </c>
      <c r="S3955" s="3" t="s">
        <v>37</v>
      </c>
      <c r="T3955" s="3" t="s">
        <v>38</v>
      </c>
      <c r="U3955" s="3" t="s">
        <v>39</v>
      </c>
      <c r="V3955" s="3">
        <v>185.22</v>
      </c>
      <c r="W3955" s="3">
        <v>78.72</v>
      </c>
      <c r="X3955" s="3">
        <v>74.55</v>
      </c>
      <c r="Y3955" s="3">
        <v>31.95</v>
      </c>
    </row>
    <row r="3956" spans="1:25" ht="60.75" x14ac:dyDescent="0.25">
      <c r="A3956" s="3" t="s">
        <v>26</v>
      </c>
      <c r="B3956" s="3" t="s">
        <v>27</v>
      </c>
      <c r="C3956" s="3" t="s">
        <v>28</v>
      </c>
      <c r="D3956" s="3" t="s">
        <v>29</v>
      </c>
      <c r="E3956" s="3" t="s">
        <v>119</v>
      </c>
      <c r="F3956" s="3" t="s">
        <v>31</v>
      </c>
      <c r="G3956" s="3" t="s">
        <v>119</v>
      </c>
      <c r="H3956" s="3" t="s">
        <v>96</v>
      </c>
      <c r="I3956" s="3">
        <v>2025</v>
      </c>
      <c r="J3956" s="3" t="str">
        <f>CONCATENATE("54820018189")</f>
        <v>54820018189</v>
      </c>
      <c r="K3956" s="3" t="s">
        <v>33</v>
      </c>
      <c r="L3956" s="3"/>
      <c r="M3956" s="3" t="s">
        <v>131</v>
      </c>
      <c r="N3956" s="3" t="str">
        <f>CONCATENATE("TRBVLR45P49A252A")</f>
        <v>TRBVLR45P49A252A</v>
      </c>
      <c r="O3956" s="3" t="s">
        <v>4070</v>
      </c>
      <c r="P3956" s="3" t="s">
        <v>36</v>
      </c>
      <c r="Q3956" s="3"/>
      <c r="R3956" s="4">
        <v>45996</v>
      </c>
      <c r="S3956" s="3" t="s">
        <v>37</v>
      </c>
      <c r="T3956" s="3" t="s">
        <v>38</v>
      </c>
      <c r="U3956" s="3" t="s">
        <v>39</v>
      </c>
      <c r="V3956" s="3">
        <v>86.69</v>
      </c>
      <c r="W3956" s="3">
        <v>36.840000000000003</v>
      </c>
      <c r="X3956" s="3">
        <v>34.89</v>
      </c>
      <c r="Y3956" s="3">
        <v>14.96</v>
      </c>
    </row>
    <row r="3957" spans="1:25" ht="36.75" x14ac:dyDescent="0.25">
      <c r="A3957" s="3" t="s">
        <v>26</v>
      </c>
      <c r="B3957" s="3" t="s">
        <v>27</v>
      </c>
      <c r="C3957" s="3" t="s">
        <v>28</v>
      </c>
      <c r="D3957" s="3" t="s">
        <v>40</v>
      </c>
      <c r="E3957" s="3" t="s">
        <v>44</v>
      </c>
      <c r="F3957" s="3" t="s">
        <v>42</v>
      </c>
      <c r="G3957" s="3" t="s">
        <v>44</v>
      </c>
      <c r="H3957" s="3" t="s">
        <v>32</v>
      </c>
      <c r="I3957" s="3">
        <v>2025</v>
      </c>
      <c r="J3957" s="3" t="str">
        <f>CONCATENATE("54820020276")</f>
        <v>54820020276</v>
      </c>
      <c r="K3957" s="3" t="s">
        <v>33</v>
      </c>
      <c r="L3957" s="3"/>
      <c r="M3957" s="3" t="s">
        <v>131</v>
      </c>
      <c r="N3957" s="3" t="str">
        <f>CONCATENATE("01089250433")</f>
        <v>01089250433</v>
      </c>
      <c r="O3957" s="3" t="s">
        <v>4071</v>
      </c>
      <c r="P3957" s="3" t="s">
        <v>36</v>
      </c>
      <c r="Q3957" s="3"/>
      <c r="R3957" s="4">
        <v>45996</v>
      </c>
      <c r="S3957" s="3" t="s">
        <v>37</v>
      </c>
      <c r="T3957" s="3" t="s">
        <v>38</v>
      </c>
      <c r="U3957" s="3" t="s">
        <v>39</v>
      </c>
      <c r="V3957" s="3">
        <v>634.29</v>
      </c>
      <c r="W3957" s="3">
        <v>269.57</v>
      </c>
      <c r="X3957" s="3">
        <v>255.3</v>
      </c>
      <c r="Y3957" s="3">
        <v>109.42</v>
      </c>
    </row>
    <row r="3958" spans="1:25" ht="60.75" x14ac:dyDescent="0.25">
      <c r="A3958" s="3" t="s">
        <v>26</v>
      </c>
      <c r="B3958" s="3" t="s">
        <v>27</v>
      </c>
      <c r="C3958" s="3" t="s">
        <v>28</v>
      </c>
      <c r="D3958" s="3" t="s">
        <v>40</v>
      </c>
      <c r="E3958" s="3" t="s">
        <v>41</v>
      </c>
      <c r="F3958" s="3" t="s">
        <v>42</v>
      </c>
      <c r="G3958" s="3" t="s">
        <v>41</v>
      </c>
      <c r="H3958" s="3" t="s">
        <v>32</v>
      </c>
      <c r="I3958" s="3">
        <v>2025</v>
      </c>
      <c r="J3958" s="3" t="str">
        <f>CONCATENATE("54820041959")</f>
        <v>54820041959</v>
      </c>
      <c r="K3958" s="3" t="s">
        <v>33</v>
      </c>
      <c r="L3958" s="3"/>
      <c r="M3958" s="3" t="s">
        <v>131</v>
      </c>
      <c r="N3958" s="3" t="str">
        <f>CONCATENATE("CPPMHL91R06B474E")</f>
        <v>CPPMHL91R06B474E</v>
      </c>
      <c r="O3958" s="3" t="s">
        <v>4072</v>
      </c>
      <c r="P3958" s="3" t="s">
        <v>36</v>
      </c>
      <c r="Q3958" s="3"/>
      <c r="R3958" s="4">
        <v>45996</v>
      </c>
      <c r="S3958" s="3" t="s">
        <v>37</v>
      </c>
      <c r="T3958" s="3" t="s">
        <v>38</v>
      </c>
      <c r="U3958" s="3" t="s">
        <v>39</v>
      </c>
      <c r="V3958" s="3">
        <v>376.27</v>
      </c>
      <c r="W3958" s="3">
        <v>159.91</v>
      </c>
      <c r="X3958" s="3">
        <v>151.44999999999999</v>
      </c>
      <c r="Y3958" s="3">
        <v>64.91</v>
      </c>
    </row>
    <row r="3959" spans="1:25" ht="60.75" x14ac:dyDescent="0.25">
      <c r="A3959" s="3" t="s">
        <v>26</v>
      </c>
      <c r="B3959" s="3" t="s">
        <v>27</v>
      </c>
      <c r="C3959" s="3" t="s">
        <v>28</v>
      </c>
      <c r="D3959" s="3" t="s">
        <v>29</v>
      </c>
      <c r="E3959" s="3" t="s">
        <v>119</v>
      </c>
      <c r="F3959" s="3" t="s">
        <v>31</v>
      </c>
      <c r="G3959" s="3" t="s">
        <v>119</v>
      </c>
      <c r="H3959" s="3" t="s">
        <v>96</v>
      </c>
      <c r="I3959" s="3">
        <v>2025</v>
      </c>
      <c r="J3959" s="3" t="str">
        <f>CONCATENATE("54820010996")</f>
        <v>54820010996</v>
      </c>
      <c r="K3959" s="3" t="s">
        <v>33</v>
      </c>
      <c r="L3959" s="3"/>
      <c r="M3959" s="3" t="s">
        <v>131</v>
      </c>
      <c r="N3959" s="3" t="str">
        <f>CONCATENATE("DDSPRP57A06E647G")</f>
        <v>DDSPRP57A06E647G</v>
      </c>
      <c r="O3959" s="3" t="s">
        <v>4073</v>
      </c>
      <c r="P3959" s="3" t="s">
        <v>36</v>
      </c>
      <c r="Q3959" s="3"/>
      <c r="R3959" s="4">
        <v>45996</v>
      </c>
      <c r="S3959" s="3" t="s">
        <v>37</v>
      </c>
      <c r="T3959" s="3" t="s">
        <v>38</v>
      </c>
      <c r="U3959" s="3" t="s">
        <v>39</v>
      </c>
      <c r="V3959" s="3">
        <v>54.64</v>
      </c>
      <c r="W3959" s="3">
        <v>23.22</v>
      </c>
      <c r="X3959" s="3">
        <v>21.99</v>
      </c>
      <c r="Y3959" s="3">
        <v>9.43</v>
      </c>
    </row>
    <row r="3960" spans="1:25" ht="60.75" x14ac:dyDescent="0.25">
      <c r="A3960" s="3" t="s">
        <v>26</v>
      </c>
      <c r="B3960" s="3" t="s">
        <v>27</v>
      </c>
      <c r="C3960" s="3" t="s">
        <v>28</v>
      </c>
      <c r="D3960" s="3" t="s">
        <v>29</v>
      </c>
      <c r="E3960" s="3" t="s">
        <v>101</v>
      </c>
      <c r="F3960" s="3" t="s">
        <v>31</v>
      </c>
      <c r="G3960" s="3" t="s">
        <v>101</v>
      </c>
      <c r="H3960" s="3" t="s">
        <v>32</v>
      </c>
      <c r="I3960" s="3">
        <v>2025</v>
      </c>
      <c r="J3960" s="3" t="str">
        <f>CONCATENATE("54820008719")</f>
        <v>54820008719</v>
      </c>
      <c r="K3960" s="3" t="s">
        <v>33</v>
      </c>
      <c r="L3960" s="3"/>
      <c r="M3960" s="3" t="s">
        <v>131</v>
      </c>
      <c r="N3960" s="3" t="str">
        <f>CONCATENATE("SLVMTT85D27L191S")</f>
        <v>SLVMTT85D27L191S</v>
      </c>
      <c r="O3960" s="3" t="s">
        <v>4074</v>
      </c>
      <c r="P3960" s="3" t="s">
        <v>36</v>
      </c>
      <c r="Q3960" s="3"/>
      <c r="R3960" s="4">
        <v>45996</v>
      </c>
      <c r="S3960" s="3" t="s">
        <v>37</v>
      </c>
      <c r="T3960" s="3" t="s">
        <v>38</v>
      </c>
      <c r="U3960" s="3" t="s">
        <v>39</v>
      </c>
      <c r="V3960" s="3">
        <v>59.69</v>
      </c>
      <c r="W3960" s="3">
        <v>25.37</v>
      </c>
      <c r="X3960" s="3">
        <v>24.03</v>
      </c>
      <c r="Y3960" s="3">
        <v>10.29</v>
      </c>
    </row>
    <row r="3961" spans="1:25" ht="60.75" x14ac:dyDescent="0.25">
      <c r="A3961" s="3" t="s">
        <v>26</v>
      </c>
      <c r="B3961" s="3" t="s">
        <v>27</v>
      </c>
      <c r="C3961" s="3" t="s">
        <v>28</v>
      </c>
      <c r="D3961" s="3" t="s">
        <v>50</v>
      </c>
      <c r="E3961" s="3" t="s">
        <v>147</v>
      </c>
      <c r="F3961" s="3" t="s">
        <v>52</v>
      </c>
      <c r="G3961" s="3" t="s">
        <v>147</v>
      </c>
      <c r="H3961" s="3" t="s">
        <v>45</v>
      </c>
      <c r="I3961" s="3">
        <v>2025</v>
      </c>
      <c r="J3961" s="3" t="str">
        <f>CONCATENATE("54820191325")</f>
        <v>54820191325</v>
      </c>
      <c r="K3961" s="3" t="s">
        <v>33</v>
      </c>
      <c r="L3961" s="3"/>
      <c r="M3961" s="3" t="s">
        <v>131</v>
      </c>
      <c r="N3961" s="3" t="str">
        <f>CONCATENATE("BLDGST49M31L500P")</f>
        <v>BLDGST49M31L500P</v>
      </c>
      <c r="O3961" s="3" t="s">
        <v>4075</v>
      </c>
      <c r="P3961" s="3" t="s">
        <v>36</v>
      </c>
      <c r="Q3961" s="3"/>
      <c r="R3961" s="4">
        <v>45996</v>
      </c>
      <c r="S3961" s="3" t="s">
        <v>37</v>
      </c>
      <c r="T3961" s="3" t="s">
        <v>38</v>
      </c>
      <c r="U3961" s="3" t="s">
        <v>39</v>
      </c>
      <c r="V3961" s="3">
        <v>164.41</v>
      </c>
      <c r="W3961" s="3">
        <v>69.87</v>
      </c>
      <c r="X3961" s="3">
        <v>66.180000000000007</v>
      </c>
      <c r="Y3961" s="3">
        <v>28.36</v>
      </c>
    </row>
    <row r="3962" spans="1:25" ht="60.75" x14ac:dyDescent="0.25">
      <c r="A3962" s="3" t="s">
        <v>26</v>
      </c>
      <c r="B3962" s="3" t="s">
        <v>27</v>
      </c>
      <c r="C3962" s="3" t="s">
        <v>28</v>
      </c>
      <c r="D3962" s="3" t="s">
        <v>29</v>
      </c>
      <c r="E3962" s="3" t="s">
        <v>72</v>
      </c>
      <c r="F3962" s="3" t="s">
        <v>31</v>
      </c>
      <c r="G3962" s="3" t="s">
        <v>72</v>
      </c>
      <c r="H3962" s="3" t="s">
        <v>45</v>
      </c>
      <c r="I3962" s="3">
        <v>2025</v>
      </c>
      <c r="J3962" s="3" t="str">
        <f>CONCATENATE("54820086970")</f>
        <v>54820086970</v>
      </c>
      <c r="K3962" s="3" t="s">
        <v>33</v>
      </c>
      <c r="L3962" s="3"/>
      <c r="M3962" s="3" t="s">
        <v>131</v>
      </c>
      <c r="N3962" s="3" t="str">
        <f>CONCATENATE("DTLLVR57E13A327B")</f>
        <v>DTLLVR57E13A327B</v>
      </c>
      <c r="O3962" s="3" t="s">
        <v>4076</v>
      </c>
      <c r="P3962" s="3" t="s">
        <v>36</v>
      </c>
      <c r="Q3962" s="3"/>
      <c r="R3962" s="4">
        <v>45996</v>
      </c>
      <c r="S3962" s="3" t="s">
        <v>37</v>
      </c>
      <c r="T3962" s="3" t="s">
        <v>38</v>
      </c>
      <c r="U3962" s="3" t="s">
        <v>39</v>
      </c>
      <c r="V3962" s="3">
        <v>162.87</v>
      </c>
      <c r="W3962" s="3">
        <v>69.22</v>
      </c>
      <c r="X3962" s="3">
        <v>65.56</v>
      </c>
      <c r="Y3962" s="3">
        <v>28.09</v>
      </c>
    </row>
    <row r="3963" spans="1:25" ht="60.75" x14ac:dyDescent="0.25">
      <c r="A3963" s="3" t="s">
        <v>26</v>
      </c>
      <c r="B3963" s="3" t="s">
        <v>27</v>
      </c>
      <c r="C3963" s="3" t="s">
        <v>28</v>
      </c>
      <c r="D3963" s="3" t="s">
        <v>29</v>
      </c>
      <c r="E3963" s="3" t="s">
        <v>56</v>
      </c>
      <c r="F3963" s="3" t="s">
        <v>31</v>
      </c>
      <c r="G3963" s="3" t="s">
        <v>56</v>
      </c>
      <c r="H3963" s="3" t="s">
        <v>32</v>
      </c>
      <c r="I3963" s="3">
        <v>2025</v>
      </c>
      <c r="J3963" s="3" t="str">
        <f>CONCATENATE("54820099841")</f>
        <v>54820099841</v>
      </c>
      <c r="K3963" s="3" t="s">
        <v>33</v>
      </c>
      <c r="L3963" s="3"/>
      <c r="M3963" s="3" t="s">
        <v>131</v>
      </c>
      <c r="N3963" s="3" t="str">
        <f>CONCATENATE("MRSSNL59L55I888M")</f>
        <v>MRSSNL59L55I888M</v>
      </c>
      <c r="O3963" s="3" t="s">
        <v>4077</v>
      </c>
      <c r="P3963" s="3" t="s">
        <v>36</v>
      </c>
      <c r="Q3963" s="3"/>
      <c r="R3963" s="4">
        <v>45996</v>
      </c>
      <c r="S3963" s="3" t="s">
        <v>37</v>
      </c>
      <c r="T3963" s="3" t="s">
        <v>38</v>
      </c>
      <c r="U3963" s="3" t="s">
        <v>39</v>
      </c>
      <c r="V3963" s="5">
        <v>1336.44</v>
      </c>
      <c r="W3963" s="3">
        <v>567.99</v>
      </c>
      <c r="X3963" s="3">
        <v>537.91999999999996</v>
      </c>
      <c r="Y3963" s="3">
        <v>230.53</v>
      </c>
    </row>
    <row r="3964" spans="1:25" ht="36.75" x14ac:dyDescent="0.25">
      <c r="A3964" s="3" t="s">
        <v>26</v>
      </c>
      <c r="B3964" s="3" t="s">
        <v>27</v>
      </c>
      <c r="C3964" s="3" t="s">
        <v>28</v>
      </c>
      <c r="D3964" s="3" t="s">
        <v>104</v>
      </c>
      <c r="E3964" s="3" t="s">
        <v>268</v>
      </c>
      <c r="F3964" s="3" t="s">
        <v>104</v>
      </c>
      <c r="G3964" s="3" t="s">
        <v>268</v>
      </c>
      <c r="H3964" s="3" t="s">
        <v>32</v>
      </c>
      <c r="I3964" s="3">
        <v>2025</v>
      </c>
      <c r="J3964" s="3" t="str">
        <f>CONCATENATE("54820243308")</f>
        <v>54820243308</v>
      </c>
      <c r="K3964" s="3" t="s">
        <v>33</v>
      </c>
      <c r="L3964" s="3"/>
      <c r="M3964" s="3" t="s">
        <v>131</v>
      </c>
      <c r="N3964" s="3" t="str">
        <f>CONCATENATE("01297060434")</f>
        <v>01297060434</v>
      </c>
      <c r="O3964" s="3" t="s">
        <v>4078</v>
      </c>
      <c r="P3964" s="3" t="s">
        <v>36</v>
      </c>
      <c r="Q3964" s="3"/>
      <c r="R3964" s="4">
        <v>45996</v>
      </c>
      <c r="S3964" s="3" t="s">
        <v>37</v>
      </c>
      <c r="T3964" s="3" t="s">
        <v>38</v>
      </c>
      <c r="U3964" s="3" t="s">
        <v>39</v>
      </c>
      <c r="V3964" s="3">
        <v>298.23</v>
      </c>
      <c r="W3964" s="3">
        <v>126.75</v>
      </c>
      <c r="X3964" s="3">
        <v>120.04</v>
      </c>
      <c r="Y3964" s="3">
        <v>51.44</v>
      </c>
    </row>
    <row r="3965" spans="1:25" ht="60.75" x14ac:dyDescent="0.25">
      <c r="A3965" s="3" t="s">
        <v>26</v>
      </c>
      <c r="B3965" s="3" t="s">
        <v>27</v>
      </c>
      <c r="C3965" s="3" t="s">
        <v>28</v>
      </c>
      <c r="D3965" s="3" t="s">
        <v>29</v>
      </c>
      <c r="E3965" s="3" t="s">
        <v>68</v>
      </c>
      <c r="F3965" s="3" t="s">
        <v>31</v>
      </c>
      <c r="G3965" s="3" t="s">
        <v>68</v>
      </c>
      <c r="H3965" s="3" t="s">
        <v>32</v>
      </c>
      <c r="I3965" s="3">
        <v>2025</v>
      </c>
      <c r="J3965" s="3" t="str">
        <f>CONCATENATE("54820034160")</f>
        <v>54820034160</v>
      </c>
      <c r="K3965" s="3" t="s">
        <v>33</v>
      </c>
      <c r="L3965" s="3"/>
      <c r="M3965" s="3" t="s">
        <v>131</v>
      </c>
      <c r="N3965" s="3" t="str">
        <f>CONCATENATE("DMCFNC87L55C770W")</f>
        <v>DMCFNC87L55C770W</v>
      </c>
      <c r="O3965" s="3" t="s">
        <v>4079</v>
      </c>
      <c r="P3965" s="3" t="s">
        <v>36</v>
      </c>
      <c r="Q3965" s="3"/>
      <c r="R3965" s="4">
        <v>45996</v>
      </c>
      <c r="S3965" s="3" t="s">
        <v>37</v>
      </c>
      <c r="T3965" s="3" t="s">
        <v>38</v>
      </c>
      <c r="U3965" s="3" t="s">
        <v>39</v>
      </c>
      <c r="V3965" s="3">
        <v>163.38</v>
      </c>
      <c r="W3965" s="3">
        <v>69.44</v>
      </c>
      <c r="X3965" s="3">
        <v>65.760000000000005</v>
      </c>
      <c r="Y3965" s="3">
        <v>28.18</v>
      </c>
    </row>
    <row r="3966" spans="1:25" ht="60.75" x14ac:dyDescent="0.25">
      <c r="A3966" s="3" t="s">
        <v>26</v>
      </c>
      <c r="B3966" s="3" t="s">
        <v>27</v>
      </c>
      <c r="C3966" s="3" t="s">
        <v>28</v>
      </c>
      <c r="D3966" s="3" t="s">
        <v>29</v>
      </c>
      <c r="E3966" s="3" t="s">
        <v>101</v>
      </c>
      <c r="F3966" s="3" t="s">
        <v>31</v>
      </c>
      <c r="G3966" s="3" t="s">
        <v>101</v>
      </c>
      <c r="H3966" s="3" t="s">
        <v>32</v>
      </c>
      <c r="I3966" s="3">
        <v>2025</v>
      </c>
      <c r="J3966" s="3" t="str">
        <f>CONCATENATE("54820055983")</f>
        <v>54820055983</v>
      </c>
      <c r="K3966" s="3" t="s">
        <v>33</v>
      </c>
      <c r="L3966" s="3"/>
      <c r="M3966" s="3" t="s">
        <v>131</v>
      </c>
      <c r="N3966" s="3" t="str">
        <f>CONCATENATE("SRCRTI40B65I436G")</f>
        <v>SRCRTI40B65I436G</v>
      </c>
      <c r="O3966" s="3" t="s">
        <v>4080</v>
      </c>
      <c r="P3966" s="3" t="s">
        <v>36</v>
      </c>
      <c r="Q3966" s="3"/>
      <c r="R3966" s="4">
        <v>45996</v>
      </c>
      <c r="S3966" s="3" t="s">
        <v>37</v>
      </c>
      <c r="T3966" s="3" t="s">
        <v>38</v>
      </c>
      <c r="U3966" s="3" t="s">
        <v>39</v>
      </c>
      <c r="V3966" s="3">
        <v>91.03</v>
      </c>
      <c r="W3966" s="3">
        <v>38.69</v>
      </c>
      <c r="X3966" s="3">
        <v>36.64</v>
      </c>
      <c r="Y3966" s="3">
        <v>15.7</v>
      </c>
    </row>
    <row r="3967" spans="1:25" ht="60.75" x14ac:dyDescent="0.25">
      <c r="A3967" s="3" t="s">
        <v>26</v>
      </c>
      <c r="B3967" s="3" t="s">
        <v>27</v>
      </c>
      <c r="C3967" s="3" t="s">
        <v>28</v>
      </c>
      <c r="D3967" s="3" t="s">
        <v>29</v>
      </c>
      <c r="E3967" s="3" t="s">
        <v>136</v>
      </c>
      <c r="F3967" s="3" t="s">
        <v>31</v>
      </c>
      <c r="G3967" s="3" t="s">
        <v>136</v>
      </c>
      <c r="H3967" s="3" t="s">
        <v>48</v>
      </c>
      <c r="I3967" s="3">
        <v>2025</v>
      </c>
      <c r="J3967" s="3" t="str">
        <f>CONCATENATE("54820033717")</f>
        <v>54820033717</v>
      </c>
      <c r="K3967" s="3" t="s">
        <v>33</v>
      </c>
      <c r="L3967" s="3"/>
      <c r="M3967" s="3" t="s">
        <v>131</v>
      </c>
      <c r="N3967" s="3" t="str">
        <f>CONCATENATE("GSMLVR31P11I461U")</f>
        <v>GSMLVR31P11I461U</v>
      </c>
      <c r="O3967" s="3" t="s">
        <v>4081</v>
      </c>
      <c r="P3967" s="3" t="s">
        <v>36</v>
      </c>
      <c r="Q3967" s="3"/>
      <c r="R3967" s="4">
        <v>45996</v>
      </c>
      <c r="S3967" s="3" t="s">
        <v>37</v>
      </c>
      <c r="T3967" s="3" t="s">
        <v>38</v>
      </c>
      <c r="U3967" s="3" t="s">
        <v>39</v>
      </c>
      <c r="V3967" s="3">
        <v>362.33</v>
      </c>
      <c r="W3967" s="3">
        <v>153.99</v>
      </c>
      <c r="X3967" s="3">
        <v>145.84</v>
      </c>
      <c r="Y3967" s="3">
        <v>62.5</v>
      </c>
    </row>
    <row r="3968" spans="1:25" ht="72.75" x14ac:dyDescent="0.25">
      <c r="A3968" s="3" t="s">
        <v>26</v>
      </c>
      <c r="B3968" s="3" t="s">
        <v>27</v>
      </c>
      <c r="C3968" s="3" t="s">
        <v>28</v>
      </c>
      <c r="D3968" s="3" t="s">
        <v>29</v>
      </c>
      <c r="E3968" s="3" t="s">
        <v>80</v>
      </c>
      <c r="F3968" s="3" t="s">
        <v>31</v>
      </c>
      <c r="G3968" s="3" t="s">
        <v>80</v>
      </c>
      <c r="H3968" s="3" t="s">
        <v>45</v>
      </c>
      <c r="I3968" s="3">
        <v>2025</v>
      </c>
      <c r="J3968" s="3" t="str">
        <f>CONCATENATE("54820033089")</f>
        <v>54820033089</v>
      </c>
      <c r="K3968" s="3" t="s">
        <v>33</v>
      </c>
      <c r="L3968" s="3"/>
      <c r="M3968" s="3" t="s">
        <v>131</v>
      </c>
      <c r="N3968" s="3" t="str">
        <f>CONCATENATE("CNTFNN51D49G453N")</f>
        <v>CNTFNN51D49G453N</v>
      </c>
      <c r="O3968" s="3" t="s">
        <v>4082</v>
      </c>
      <c r="P3968" s="3" t="s">
        <v>36</v>
      </c>
      <c r="Q3968" s="3"/>
      <c r="R3968" s="4">
        <v>45996</v>
      </c>
      <c r="S3968" s="3" t="s">
        <v>37</v>
      </c>
      <c r="T3968" s="3" t="s">
        <v>38</v>
      </c>
      <c r="U3968" s="3" t="s">
        <v>39</v>
      </c>
      <c r="V3968" s="3">
        <v>64.02</v>
      </c>
      <c r="W3968" s="3">
        <v>27.21</v>
      </c>
      <c r="X3968" s="3">
        <v>25.77</v>
      </c>
      <c r="Y3968" s="3">
        <v>11.04</v>
      </c>
    </row>
    <row r="3969" spans="1:25" ht="60.75" x14ac:dyDescent="0.25">
      <c r="A3969" s="3" t="s">
        <v>26</v>
      </c>
      <c r="B3969" s="3" t="s">
        <v>27</v>
      </c>
      <c r="C3969" s="3" t="s">
        <v>28</v>
      </c>
      <c r="D3969" s="3" t="s">
        <v>50</v>
      </c>
      <c r="E3969" s="3" t="s">
        <v>173</v>
      </c>
      <c r="F3969" s="3" t="s">
        <v>52</v>
      </c>
      <c r="G3969" s="3" t="s">
        <v>173</v>
      </c>
      <c r="H3969" s="3" t="s">
        <v>45</v>
      </c>
      <c r="I3969" s="3">
        <v>2025</v>
      </c>
      <c r="J3969" s="3" t="str">
        <f>CONCATENATE("54820061403")</f>
        <v>54820061403</v>
      </c>
      <c r="K3969" s="3" t="s">
        <v>33</v>
      </c>
      <c r="L3969" s="3"/>
      <c r="M3969" s="3" t="s">
        <v>131</v>
      </c>
      <c r="N3969" s="3" t="str">
        <f>CONCATENATE("BRSGPP47B11E785I")</f>
        <v>BRSGPP47B11E785I</v>
      </c>
      <c r="O3969" s="3" t="s">
        <v>4083</v>
      </c>
      <c r="P3969" s="3" t="s">
        <v>36</v>
      </c>
      <c r="Q3969" s="3"/>
      <c r="R3969" s="4">
        <v>45996</v>
      </c>
      <c r="S3969" s="3" t="s">
        <v>37</v>
      </c>
      <c r="T3969" s="3" t="s">
        <v>38</v>
      </c>
      <c r="U3969" s="3" t="s">
        <v>39</v>
      </c>
      <c r="V3969" s="3">
        <v>105.47</v>
      </c>
      <c r="W3969" s="3">
        <v>44.82</v>
      </c>
      <c r="X3969" s="3">
        <v>42.45</v>
      </c>
      <c r="Y3969" s="3">
        <v>18.2</v>
      </c>
    </row>
    <row r="3970" spans="1:25" ht="72.75" x14ac:dyDescent="0.25">
      <c r="A3970" s="3" t="s">
        <v>26</v>
      </c>
      <c r="B3970" s="3" t="s">
        <v>27</v>
      </c>
      <c r="C3970" s="3" t="s">
        <v>28</v>
      </c>
      <c r="D3970" s="3" t="s">
        <v>40</v>
      </c>
      <c r="E3970" s="3" t="s">
        <v>54</v>
      </c>
      <c r="F3970" s="3" t="s">
        <v>42</v>
      </c>
      <c r="G3970" s="3" t="s">
        <v>54</v>
      </c>
      <c r="H3970" s="3" t="s">
        <v>45</v>
      </c>
      <c r="I3970" s="3">
        <v>2025</v>
      </c>
      <c r="J3970" s="3" t="str">
        <f>CONCATENATE("54820025416")</f>
        <v>54820025416</v>
      </c>
      <c r="K3970" s="3" t="s">
        <v>33</v>
      </c>
      <c r="L3970" s="3"/>
      <c r="M3970" s="3" t="s">
        <v>131</v>
      </c>
      <c r="N3970" s="3" t="str">
        <f>CONCATENATE("LLGRRT69D25G479H")</f>
        <v>LLGRRT69D25G479H</v>
      </c>
      <c r="O3970" s="3" t="s">
        <v>4084</v>
      </c>
      <c r="P3970" s="3" t="s">
        <v>36</v>
      </c>
      <c r="Q3970" s="3"/>
      <c r="R3970" s="4">
        <v>45996</v>
      </c>
      <c r="S3970" s="3" t="s">
        <v>37</v>
      </c>
      <c r="T3970" s="3" t="s">
        <v>38</v>
      </c>
      <c r="U3970" s="3" t="s">
        <v>39</v>
      </c>
      <c r="V3970" s="3">
        <v>263.89999999999998</v>
      </c>
      <c r="W3970" s="3">
        <v>112.16</v>
      </c>
      <c r="X3970" s="3">
        <v>106.22</v>
      </c>
      <c r="Y3970" s="3">
        <v>45.52</v>
      </c>
    </row>
    <row r="3971" spans="1:25" ht="60.75" x14ac:dyDescent="0.25">
      <c r="A3971" s="3" t="s">
        <v>26</v>
      </c>
      <c r="B3971" s="3" t="s">
        <v>27</v>
      </c>
      <c r="C3971" s="3" t="s">
        <v>28</v>
      </c>
      <c r="D3971" s="3" t="s">
        <v>104</v>
      </c>
      <c r="E3971" s="3" t="s">
        <v>268</v>
      </c>
      <c r="F3971" s="3" t="s">
        <v>104</v>
      </c>
      <c r="G3971" s="3" t="s">
        <v>268</v>
      </c>
      <c r="H3971" s="3" t="s">
        <v>32</v>
      </c>
      <c r="I3971" s="3">
        <v>2025</v>
      </c>
      <c r="J3971" s="3" t="str">
        <f>CONCATENATE("54820045828")</f>
        <v>54820045828</v>
      </c>
      <c r="K3971" s="3" t="s">
        <v>33</v>
      </c>
      <c r="L3971" s="3"/>
      <c r="M3971" s="3" t="s">
        <v>131</v>
      </c>
      <c r="N3971" s="3" t="str">
        <f>CONCATENATE("FRTSDR66D56B474E")</f>
        <v>FRTSDR66D56B474E</v>
      </c>
      <c r="O3971" s="3" t="s">
        <v>4085</v>
      </c>
      <c r="P3971" s="3" t="s">
        <v>36</v>
      </c>
      <c r="Q3971" s="3"/>
      <c r="R3971" s="4">
        <v>45996</v>
      </c>
      <c r="S3971" s="3" t="s">
        <v>37</v>
      </c>
      <c r="T3971" s="3" t="s">
        <v>38</v>
      </c>
      <c r="U3971" s="3" t="s">
        <v>39</v>
      </c>
      <c r="V3971" s="3">
        <v>168.05</v>
      </c>
      <c r="W3971" s="3">
        <v>71.42</v>
      </c>
      <c r="X3971" s="3">
        <v>67.64</v>
      </c>
      <c r="Y3971" s="3">
        <v>28.99</v>
      </c>
    </row>
    <row r="3972" spans="1:25" ht="60.75" x14ac:dyDescent="0.25">
      <c r="A3972" s="3" t="s">
        <v>26</v>
      </c>
      <c r="B3972" s="3" t="s">
        <v>27</v>
      </c>
      <c r="C3972" s="3" t="s">
        <v>28</v>
      </c>
      <c r="D3972" s="3" t="s">
        <v>29</v>
      </c>
      <c r="E3972" s="3" t="s">
        <v>186</v>
      </c>
      <c r="F3972" s="3" t="s">
        <v>31</v>
      </c>
      <c r="G3972" s="3" t="s">
        <v>186</v>
      </c>
      <c r="H3972" s="3" t="s">
        <v>45</v>
      </c>
      <c r="I3972" s="3">
        <v>2025</v>
      </c>
      <c r="J3972" s="3" t="str">
        <f>CONCATENATE("54820047782")</f>
        <v>54820047782</v>
      </c>
      <c r="K3972" s="3" t="s">
        <v>33</v>
      </c>
      <c r="L3972" s="3"/>
      <c r="M3972" s="3" t="s">
        <v>131</v>
      </c>
      <c r="N3972" s="3" t="str">
        <f>CONCATENATE("CCCNGL76P12I459W")</f>
        <v>CCCNGL76P12I459W</v>
      </c>
      <c r="O3972" s="3" t="s">
        <v>4086</v>
      </c>
      <c r="P3972" s="3" t="s">
        <v>36</v>
      </c>
      <c r="Q3972" s="3"/>
      <c r="R3972" s="4">
        <v>45996</v>
      </c>
      <c r="S3972" s="3" t="s">
        <v>37</v>
      </c>
      <c r="T3972" s="3" t="s">
        <v>38</v>
      </c>
      <c r="U3972" s="3" t="s">
        <v>39</v>
      </c>
      <c r="V3972" s="3">
        <v>48.87</v>
      </c>
      <c r="W3972" s="3">
        <v>20.77</v>
      </c>
      <c r="X3972" s="3">
        <v>19.670000000000002</v>
      </c>
      <c r="Y3972" s="3">
        <v>8.43</v>
      </c>
    </row>
    <row r="3973" spans="1:25" ht="60.75" x14ac:dyDescent="0.25">
      <c r="A3973" s="3" t="s">
        <v>26</v>
      </c>
      <c r="B3973" s="3" t="s">
        <v>27</v>
      </c>
      <c r="C3973" s="3" t="s">
        <v>28</v>
      </c>
      <c r="D3973" s="3" t="s">
        <v>29</v>
      </c>
      <c r="E3973" s="3" t="s">
        <v>186</v>
      </c>
      <c r="F3973" s="3" t="s">
        <v>31</v>
      </c>
      <c r="G3973" s="3" t="s">
        <v>186</v>
      </c>
      <c r="H3973" s="3" t="s">
        <v>45</v>
      </c>
      <c r="I3973" s="3">
        <v>2025</v>
      </c>
      <c r="J3973" s="3" t="str">
        <f>CONCATENATE("54820039011")</f>
        <v>54820039011</v>
      </c>
      <c r="K3973" s="3" t="s">
        <v>33</v>
      </c>
      <c r="L3973" s="3"/>
      <c r="M3973" s="3" t="s">
        <v>131</v>
      </c>
      <c r="N3973" s="3" t="str">
        <f>CONCATENATE("PMPGGS58B19G627K")</f>
        <v>PMPGGS58B19G627K</v>
      </c>
      <c r="O3973" s="3" t="s">
        <v>4087</v>
      </c>
      <c r="P3973" s="3" t="s">
        <v>36</v>
      </c>
      <c r="Q3973" s="3"/>
      <c r="R3973" s="4">
        <v>45996</v>
      </c>
      <c r="S3973" s="3" t="s">
        <v>37</v>
      </c>
      <c r="T3973" s="3" t="s">
        <v>38</v>
      </c>
      <c r="U3973" s="3" t="s">
        <v>39</v>
      </c>
      <c r="V3973" s="3">
        <v>448.67</v>
      </c>
      <c r="W3973" s="3">
        <v>190.68</v>
      </c>
      <c r="X3973" s="3">
        <v>180.59</v>
      </c>
      <c r="Y3973" s="3">
        <v>77.400000000000006</v>
      </c>
    </row>
    <row r="3974" spans="1:25" ht="60.75" x14ac:dyDescent="0.25">
      <c r="A3974" s="3" t="s">
        <v>26</v>
      </c>
      <c r="B3974" s="3" t="s">
        <v>27</v>
      </c>
      <c r="C3974" s="3" t="s">
        <v>28</v>
      </c>
      <c r="D3974" s="3" t="s">
        <v>50</v>
      </c>
      <c r="E3974" s="3" t="s">
        <v>173</v>
      </c>
      <c r="F3974" s="3" t="s">
        <v>52</v>
      </c>
      <c r="G3974" s="3" t="s">
        <v>173</v>
      </c>
      <c r="H3974" s="3" t="s">
        <v>45</v>
      </c>
      <c r="I3974" s="3">
        <v>2025</v>
      </c>
      <c r="J3974" s="3" t="str">
        <f>CONCATENATE("54820070990")</f>
        <v>54820070990</v>
      </c>
      <c r="K3974" s="3" t="s">
        <v>33</v>
      </c>
      <c r="L3974" s="3"/>
      <c r="M3974" s="3" t="s">
        <v>131</v>
      </c>
      <c r="N3974" s="3" t="str">
        <f>CONCATENATE("MRCRRT84C22I459G")</f>
        <v>MRCRRT84C22I459G</v>
      </c>
      <c r="O3974" s="3" t="s">
        <v>4088</v>
      </c>
      <c r="P3974" s="3" t="s">
        <v>36</v>
      </c>
      <c r="Q3974" s="3"/>
      <c r="R3974" s="4">
        <v>45996</v>
      </c>
      <c r="S3974" s="3" t="s">
        <v>37</v>
      </c>
      <c r="T3974" s="3" t="s">
        <v>38</v>
      </c>
      <c r="U3974" s="3" t="s">
        <v>39</v>
      </c>
      <c r="V3974" s="3">
        <v>93.55</v>
      </c>
      <c r="W3974" s="3">
        <v>39.76</v>
      </c>
      <c r="X3974" s="3">
        <v>37.65</v>
      </c>
      <c r="Y3974" s="3">
        <v>16.14</v>
      </c>
    </row>
    <row r="3975" spans="1:25" ht="60.75" x14ac:dyDescent="0.25">
      <c r="A3975" s="3" t="s">
        <v>26</v>
      </c>
      <c r="B3975" s="3" t="s">
        <v>27</v>
      </c>
      <c r="C3975" s="3" t="s">
        <v>28</v>
      </c>
      <c r="D3975" s="3" t="s">
        <v>29</v>
      </c>
      <c r="E3975" s="3" t="s">
        <v>47</v>
      </c>
      <c r="F3975" s="3" t="s">
        <v>31</v>
      </c>
      <c r="G3975" s="3" t="s">
        <v>47</v>
      </c>
      <c r="H3975" s="3" t="s">
        <v>48</v>
      </c>
      <c r="I3975" s="3">
        <v>2025</v>
      </c>
      <c r="J3975" s="3" t="str">
        <f>CONCATENATE("54820052857")</f>
        <v>54820052857</v>
      </c>
      <c r="K3975" s="3" t="s">
        <v>33</v>
      </c>
      <c r="L3975" s="3"/>
      <c r="M3975" s="3" t="s">
        <v>131</v>
      </c>
      <c r="N3975" s="3" t="str">
        <f>CONCATENATE("RCCSNT68L71F051N")</f>
        <v>RCCSNT68L71F051N</v>
      </c>
      <c r="O3975" s="3" t="s">
        <v>4089</v>
      </c>
      <c r="P3975" s="3" t="s">
        <v>36</v>
      </c>
      <c r="Q3975" s="3"/>
      <c r="R3975" s="4">
        <v>45996</v>
      </c>
      <c r="S3975" s="3" t="s">
        <v>37</v>
      </c>
      <c r="T3975" s="3" t="s">
        <v>38</v>
      </c>
      <c r="U3975" s="3" t="s">
        <v>39</v>
      </c>
      <c r="V3975" s="3">
        <v>656.27</v>
      </c>
      <c r="W3975" s="3">
        <v>278.91000000000003</v>
      </c>
      <c r="X3975" s="3">
        <v>264.14999999999998</v>
      </c>
      <c r="Y3975" s="3">
        <v>113.21</v>
      </c>
    </row>
    <row r="3976" spans="1:25" ht="60.75" x14ac:dyDescent="0.25">
      <c r="A3976" s="3" t="s">
        <v>26</v>
      </c>
      <c r="B3976" s="3" t="s">
        <v>27</v>
      </c>
      <c r="C3976" s="3" t="s">
        <v>28</v>
      </c>
      <c r="D3976" s="3" t="s">
        <v>50</v>
      </c>
      <c r="E3976" s="3" t="s">
        <v>51</v>
      </c>
      <c r="F3976" s="3" t="s">
        <v>52</v>
      </c>
      <c r="G3976" s="3" t="s">
        <v>51</v>
      </c>
      <c r="H3976" s="3" t="s">
        <v>48</v>
      </c>
      <c r="I3976" s="3">
        <v>2025</v>
      </c>
      <c r="J3976" s="3" t="str">
        <f>CONCATENATE("54820039862")</f>
        <v>54820039862</v>
      </c>
      <c r="K3976" s="3" t="s">
        <v>33</v>
      </c>
      <c r="L3976" s="3"/>
      <c r="M3976" s="3" t="s">
        <v>131</v>
      </c>
      <c r="N3976" s="3" t="str">
        <f>CONCATENATE("NBLLCN61H22I653Z")</f>
        <v>NBLLCN61H22I653Z</v>
      </c>
      <c r="O3976" s="3" t="s">
        <v>4090</v>
      </c>
      <c r="P3976" s="3" t="s">
        <v>36</v>
      </c>
      <c r="Q3976" s="3"/>
      <c r="R3976" s="4">
        <v>45996</v>
      </c>
      <c r="S3976" s="3" t="s">
        <v>37</v>
      </c>
      <c r="T3976" s="3" t="s">
        <v>38</v>
      </c>
      <c r="U3976" s="3" t="s">
        <v>39</v>
      </c>
      <c r="V3976" s="3">
        <v>56.16</v>
      </c>
      <c r="W3976" s="3">
        <v>23.87</v>
      </c>
      <c r="X3976" s="3">
        <v>22.6</v>
      </c>
      <c r="Y3976" s="3">
        <v>9.69</v>
      </c>
    </row>
    <row r="3977" spans="1:25" ht="60.75" x14ac:dyDescent="0.25">
      <c r="A3977" s="3" t="s">
        <v>26</v>
      </c>
      <c r="B3977" s="3" t="s">
        <v>27</v>
      </c>
      <c r="C3977" s="3" t="s">
        <v>28</v>
      </c>
      <c r="D3977" s="3" t="s">
        <v>40</v>
      </c>
      <c r="E3977" s="3" t="s">
        <v>287</v>
      </c>
      <c r="F3977" s="3" t="s">
        <v>42</v>
      </c>
      <c r="G3977" s="3" t="s">
        <v>287</v>
      </c>
      <c r="H3977" s="3" t="s">
        <v>32</v>
      </c>
      <c r="I3977" s="3">
        <v>2025</v>
      </c>
      <c r="J3977" s="3" t="str">
        <f>CONCATENATE("54820041595")</f>
        <v>54820041595</v>
      </c>
      <c r="K3977" s="3" t="s">
        <v>33</v>
      </c>
      <c r="L3977" s="3"/>
      <c r="M3977" s="3" t="s">
        <v>131</v>
      </c>
      <c r="N3977" s="3" t="str">
        <f>CONCATENATE("PLTSTN71A04I461U")</f>
        <v>PLTSTN71A04I461U</v>
      </c>
      <c r="O3977" s="3" t="s">
        <v>4091</v>
      </c>
      <c r="P3977" s="3" t="s">
        <v>36</v>
      </c>
      <c r="Q3977" s="3"/>
      <c r="R3977" s="4">
        <v>45996</v>
      </c>
      <c r="S3977" s="3" t="s">
        <v>37</v>
      </c>
      <c r="T3977" s="3" t="s">
        <v>38</v>
      </c>
      <c r="U3977" s="3" t="s">
        <v>39</v>
      </c>
      <c r="V3977" s="3">
        <v>734.16</v>
      </c>
      <c r="W3977" s="3">
        <v>312.02</v>
      </c>
      <c r="X3977" s="3">
        <v>295.5</v>
      </c>
      <c r="Y3977" s="3">
        <v>126.64</v>
      </c>
    </row>
    <row r="3978" spans="1:25" ht="60.75" x14ac:dyDescent="0.25">
      <c r="A3978" s="3" t="s">
        <v>26</v>
      </c>
      <c r="B3978" s="3" t="s">
        <v>27</v>
      </c>
      <c r="C3978" s="3" t="s">
        <v>28</v>
      </c>
      <c r="D3978" s="3" t="s">
        <v>29</v>
      </c>
      <c r="E3978" s="3" t="s">
        <v>101</v>
      </c>
      <c r="F3978" s="3" t="s">
        <v>31</v>
      </c>
      <c r="G3978" s="3" t="s">
        <v>101</v>
      </c>
      <c r="H3978" s="3" t="s">
        <v>32</v>
      </c>
      <c r="I3978" s="3">
        <v>2025</v>
      </c>
      <c r="J3978" s="3" t="str">
        <f>CONCATENATE("54820011721")</f>
        <v>54820011721</v>
      </c>
      <c r="K3978" s="3" t="s">
        <v>33</v>
      </c>
      <c r="L3978" s="3"/>
      <c r="M3978" s="3" t="s">
        <v>131</v>
      </c>
      <c r="N3978" s="3" t="str">
        <f>CONCATENATE("SLVGLN47T18A739R")</f>
        <v>SLVGLN47T18A739R</v>
      </c>
      <c r="O3978" s="3" t="s">
        <v>4092</v>
      </c>
      <c r="P3978" s="3" t="s">
        <v>36</v>
      </c>
      <c r="Q3978" s="3"/>
      <c r="R3978" s="4">
        <v>45996</v>
      </c>
      <c r="S3978" s="3" t="s">
        <v>37</v>
      </c>
      <c r="T3978" s="3" t="s">
        <v>38</v>
      </c>
      <c r="U3978" s="3" t="s">
        <v>39</v>
      </c>
      <c r="V3978" s="3">
        <v>128.27000000000001</v>
      </c>
      <c r="W3978" s="3">
        <v>54.51</v>
      </c>
      <c r="X3978" s="3">
        <v>51.63</v>
      </c>
      <c r="Y3978" s="3">
        <v>22.13</v>
      </c>
    </row>
    <row r="3979" spans="1:25" ht="60.75" x14ac:dyDescent="0.25">
      <c r="A3979" s="3" t="s">
        <v>26</v>
      </c>
      <c r="B3979" s="3" t="s">
        <v>27</v>
      </c>
      <c r="C3979" s="3" t="s">
        <v>28</v>
      </c>
      <c r="D3979" s="3" t="s">
        <v>29</v>
      </c>
      <c r="E3979" s="3" t="s">
        <v>186</v>
      </c>
      <c r="F3979" s="3" t="s">
        <v>31</v>
      </c>
      <c r="G3979" s="3" t="s">
        <v>186</v>
      </c>
      <c r="H3979" s="3" t="s">
        <v>45</v>
      </c>
      <c r="I3979" s="3">
        <v>2025</v>
      </c>
      <c r="J3979" s="3" t="str">
        <f>CONCATENATE("54820024856")</f>
        <v>54820024856</v>
      </c>
      <c r="K3979" s="3" t="s">
        <v>33</v>
      </c>
      <c r="L3979" s="3"/>
      <c r="M3979" s="3" t="s">
        <v>131</v>
      </c>
      <c r="N3979" s="3" t="str">
        <f>CONCATENATE("FSCGPP53E11F136F")</f>
        <v>FSCGPP53E11F136F</v>
      </c>
      <c r="O3979" s="3" t="s">
        <v>4093</v>
      </c>
      <c r="P3979" s="3" t="s">
        <v>36</v>
      </c>
      <c r="Q3979" s="3"/>
      <c r="R3979" s="4">
        <v>45996</v>
      </c>
      <c r="S3979" s="3" t="s">
        <v>37</v>
      </c>
      <c r="T3979" s="3" t="s">
        <v>38</v>
      </c>
      <c r="U3979" s="3" t="s">
        <v>39</v>
      </c>
      <c r="V3979" s="3">
        <v>150.25</v>
      </c>
      <c r="W3979" s="3">
        <v>63.86</v>
      </c>
      <c r="X3979" s="3">
        <v>60.48</v>
      </c>
      <c r="Y3979" s="3">
        <v>25.91</v>
      </c>
    </row>
    <row r="3980" spans="1:25" ht="60.75" x14ac:dyDescent="0.25">
      <c r="A3980" s="3" t="s">
        <v>26</v>
      </c>
      <c r="B3980" s="3" t="s">
        <v>27</v>
      </c>
      <c r="C3980" s="3" t="s">
        <v>28</v>
      </c>
      <c r="D3980" s="3" t="s">
        <v>29</v>
      </c>
      <c r="E3980" s="3" t="s">
        <v>80</v>
      </c>
      <c r="F3980" s="3" t="s">
        <v>31</v>
      </c>
      <c r="G3980" s="3" t="s">
        <v>80</v>
      </c>
      <c r="H3980" s="3" t="s">
        <v>45</v>
      </c>
      <c r="I3980" s="3">
        <v>2025</v>
      </c>
      <c r="J3980" s="3" t="str">
        <f>CONCATENATE("54820151030")</f>
        <v>54820151030</v>
      </c>
      <c r="K3980" s="3" t="s">
        <v>33</v>
      </c>
      <c r="L3980" s="3"/>
      <c r="M3980" s="3" t="s">
        <v>131</v>
      </c>
      <c r="N3980" s="3" t="str">
        <f>CONCATENATE("BLDMRA95M29L500A")</f>
        <v>BLDMRA95M29L500A</v>
      </c>
      <c r="O3980" s="3" t="s">
        <v>4094</v>
      </c>
      <c r="P3980" s="3" t="s">
        <v>36</v>
      </c>
      <c r="Q3980" s="3"/>
      <c r="R3980" s="4">
        <v>45996</v>
      </c>
      <c r="S3980" s="3" t="s">
        <v>37</v>
      </c>
      <c r="T3980" s="3" t="s">
        <v>38</v>
      </c>
      <c r="U3980" s="3" t="s">
        <v>39</v>
      </c>
      <c r="V3980" s="3">
        <v>207.44</v>
      </c>
      <c r="W3980" s="3">
        <v>88.16</v>
      </c>
      <c r="X3980" s="3">
        <v>83.49</v>
      </c>
      <c r="Y3980" s="3">
        <v>35.79</v>
      </c>
    </row>
    <row r="3981" spans="1:25" ht="72.75" x14ac:dyDescent="0.25">
      <c r="A3981" s="3" t="s">
        <v>26</v>
      </c>
      <c r="B3981" s="3" t="s">
        <v>27</v>
      </c>
      <c r="C3981" s="3" t="s">
        <v>28</v>
      </c>
      <c r="D3981" s="3" t="s">
        <v>50</v>
      </c>
      <c r="E3981" s="3" t="s">
        <v>60</v>
      </c>
      <c r="F3981" s="3" t="s">
        <v>52</v>
      </c>
      <c r="G3981" s="3" t="s">
        <v>60</v>
      </c>
      <c r="H3981" s="3" t="s">
        <v>45</v>
      </c>
      <c r="I3981" s="3">
        <v>2025</v>
      </c>
      <c r="J3981" s="3" t="str">
        <f>CONCATENATE("54820136395")</f>
        <v>54820136395</v>
      </c>
      <c r="K3981" s="3" t="s">
        <v>33</v>
      </c>
      <c r="L3981" s="3"/>
      <c r="M3981" s="3" t="s">
        <v>131</v>
      </c>
      <c r="N3981" s="3" t="str">
        <f>CONCATENATE("RCCNMR54R66G453G")</f>
        <v>RCCNMR54R66G453G</v>
      </c>
      <c r="O3981" s="3" t="s">
        <v>4095</v>
      </c>
      <c r="P3981" s="3" t="s">
        <v>36</v>
      </c>
      <c r="Q3981" s="3"/>
      <c r="R3981" s="4">
        <v>45996</v>
      </c>
      <c r="S3981" s="3" t="s">
        <v>37</v>
      </c>
      <c r="T3981" s="3" t="s">
        <v>38</v>
      </c>
      <c r="U3981" s="3" t="s">
        <v>39</v>
      </c>
      <c r="V3981" s="3">
        <v>131.78</v>
      </c>
      <c r="W3981" s="3">
        <v>56.01</v>
      </c>
      <c r="X3981" s="3">
        <v>53.04</v>
      </c>
      <c r="Y3981" s="3">
        <v>22.73</v>
      </c>
    </row>
    <row r="3982" spans="1:25" ht="60.75" x14ac:dyDescent="0.25">
      <c r="A3982" s="3" t="s">
        <v>26</v>
      </c>
      <c r="B3982" s="3" t="s">
        <v>27</v>
      </c>
      <c r="C3982" s="3" t="s">
        <v>28</v>
      </c>
      <c r="D3982" s="3" t="s">
        <v>40</v>
      </c>
      <c r="E3982" s="3" t="s">
        <v>41</v>
      </c>
      <c r="F3982" s="3" t="s">
        <v>42</v>
      </c>
      <c r="G3982" s="3" t="s">
        <v>41</v>
      </c>
      <c r="H3982" s="3" t="s">
        <v>32</v>
      </c>
      <c r="I3982" s="3">
        <v>2025</v>
      </c>
      <c r="J3982" s="3" t="str">
        <f>CONCATENATE("54820084231")</f>
        <v>54820084231</v>
      </c>
      <c r="K3982" s="3" t="s">
        <v>33</v>
      </c>
      <c r="L3982" s="3"/>
      <c r="M3982" s="3" t="s">
        <v>131</v>
      </c>
      <c r="N3982" s="3" t="str">
        <f>CONCATENATE("MCAMGS61R55I661H")</f>
        <v>MCAMGS61R55I661H</v>
      </c>
      <c r="O3982" s="3" t="s">
        <v>4096</v>
      </c>
      <c r="P3982" s="3" t="s">
        <v>36</v>
      </c>
      <c r="Q3982" s="3"/>
      <c r="R3982" s="4">
        <v>45996</v>
      </c>
      <c r="S3982" s="3" t="s">
        <v>37</v>
      </c>
      <c r="T3982" s="3" t="s">
        <v>38</v>
      </c>
      <c r="U3982" s="3" t="s">
        <v>39</v>
      </c>
      <c r="V3982" s="5">
        <v>1038.74</v>
      </c>
      <c r="W3982" s="3">
        <v>441.46</v>
      </c>
      <c r="X3982" s="3">
        <v>418.09</v>
      </c>
      <c r="Y3982" s="3">
        <v>179.19</v>
      </c>
    </row>
    <row r="3983" spans="1:25" ht="60.75" x14ac:dyDescent="0.25">
      <c r="A3983" s="3" t="s">
        <v>26</v>
      </c>
      <c r="B3983" s="3" t="s">
        <v>27</v>
      </c>
      <c r="C3983" s="3" t="s">
        <v>28</v>
      </c>
      <c r="D3983" s="3" t="s">
        <v>50</v>
      </c>
      <c r="E3983" s="3" t="s">
        <v>173</v>
      </c>
      <c r="F3983" s="3" t="s">
        <v>52</v>
      </c>
      <c r="G3983" s="3" t="s">
        <v>173</v>
      </c>
      <c r="H3983" s="3" t="s">
        <v>45</v>
      </c>
      <c r="I3983" s="3">
        <v>2025</v>
      </c>
      <c r="J3983" s="3" t="str">
        <f>CONCATENATE("54820107552")</f>
        <v>54820107552</v>
      </c>
      <c r="K3983" s="3" t="s">
        <v>33</v>
      </c>
      <c r="L3983" s="3"/>
      <c r="M3983" s="3" t="s">
        <v>131</v>
      </c>
      <c r="N3983" s="3" t="str">
        <f>CONCATENATE("BRRFRZ64E10E785F")</f>
        <v>BRRFRZ64E10E785F</v>
      </c>
      <c r="O3983" s="3" t="s">
        <v>4097</v>
      </c>
      <c r="P3983" s="3" t="s">
        <v>36</v>
      </c>
      <c r="Q3983" s="3"/>
      <c r="R3983" s="4">
        <v>45996</v>
      </c>
      <c r="S3983" s="3" t="s">
        <v>37</v>
      </c>
      <c r="T3983" s="3" t="s">
        <v>38</v>
      </c>
      <c r="U3983" s="3" t="s">
        <v>39</v>
      </c>
      <c r="V3983" s="3">
        <v>389.61</v>
      </c>
      <c r="W3983" s="3">
        <v>165.58</v>
      </c>
      <c r="X3983" s="3">
        <v>156.82</v>
      </c>
      <c r="Y3983" s="3">
        <v>67.209999999999994</v>
      </c>
    </row>
    <row r="3984" spans="1:25" ht="60.75" x14ac:dyDescent="0.25">
      <c r="A3984" s="3" t="s">
        <v>26</v>
      </c>
      <c r="B3984" s="3" t="s">
        <v>27</v>
      </c>
      <c r="C3984" s="3" t="s">
        <v>28</v>
      </c>
      <c r="D3984" s="3" t="s">
        <v>29</v>
      </c>
      <c r="E3984" s="3" t="s">
        <v>119</v>
      </c>
      <c r="F3984" s="3" t="s">
        <v>31</v>
      </c>
      <c r="G3984" s="3" t="s">
        <v>119</v>
      </c>
      <c r="H3984" s="3" t="s">
        <v>96</v>
      </c>
      <c r="I3984" s="3">
        <v>2025</v>
      </c>
      <c r="J3984" s="3" t="str">
        <f>CONCATENATE("54820120316")</f>
        <v>54820120316</v>
      </c>
      <c r="K3984" s="3" t="s">
        <v>33</v>
      </c>
      <c r="L3984" s="3"/>
      <c r="M3984" s="3" t="s">
        <v>131</v>
      </c>
      <c r="N3984" s="3" t="str">
        <f>CONCATENATE("CTLDVD47M31I774S")</f>
        <v>CTLDVD47M31I774S</v>
      </c>
      <c r="O3984" s="3" t="s">
        <v>4098</v>
      </c>
      <c r="P3984" s="3" t="s">
        <v>36</v>
      </c>
      <c r="Q3984" s="3"/>
      <c r="R3984" s="4">
        <v>45996</v>
      </c>
      <c r="S3984" s="3" t="s">
        <v>37</v>
      </c>
      <c r="T3984" s="3" t="s">
        <v>38</v>
      </c>
      <c r="U3984" s="3" t="s">
        <v>39</v>
      </c>
      <c r="V3984" s="3">
        <v>65.77</v>
      </c>
      <c r="W3984" s="3">
        <v>27.95</v>
      </c>
      <c r="X3984" s="3">
        <v>26.47</v>
      </c>
      <c r="Y3984" s="3">
        <v>11.35</v>
      </c>
    </row>
    <row r="3985" spans="1:25" ht="72.75" x14ac:dyDescent="0.25">
      <c r="A3985" s="3" t="s">
        <v>26</v>
      </c>
      <c r="B3985" s="3" t="s">
        <v>27</v>
      </c>
      <c r="C3985" s="3" t="s">
        <v>28</v>
      </c>
      <c r="D3985" s="3" t="s">
        <v>29</v>
      </c>
      <c r="E3985" s="3" t="s">
        <v>72</v>
      </c>
      <c r="F3985" s="3" t="s">
        <v>31</v>
      </c>
      <c r="G3985" s="3" t="s">
        <v>72</v>
      </c>
      <c r="H3985" s="3" t="s">
        <v>45</v>
      </c>
      <c r="I3985" s="3">
        <v>2025</v>
      </c>
      <c r="J3985" s="3" t="str">
        <f>CONCATENATE("54820075965")</f>
        <v>54820075965</v>
      </c>
      <c r="K3985" s="3" t="s">
        <v>33</v>
      </c>
      <c r="L3985" s="3"/>
      <c r="M3985" s="3" t="s">
        <v>131</v>
      </c>
      <c r="N3985" s="3" t="str">
        <f>CONCATENATE("BRTGMR46L24B352Q")</f>
        <v>BRTGMR46L24B352Q</v>
      </c>
      <c r="O3985" s="3" t="s">
        <v>4099</v>
      </c>
      <c r="P3985" s="3" t="s">
        <v>36</v>
      </c>
      <c r="Q3985" s="3"/>
      <c r="R3985" s="4">
        <v>45996</v>
      </c>
      <c r="S3985" s="3" t="s">
        <v>37</v>
      </c>
      <c r="T3985" s="3" t="s">
        <v>38</v>
      </c>
      <c r="U3985" s="3" t="s">
        <v>39</v>
      </c>
      <c r="V3985" s="3">
        <v>182.77</v>
      </c>
      <c r="W3985" s="3">
        <v>77.680000000000007</v>
      </c>
      <c r="X3985" s="3">
        <v>73.56</v>
      </c>
      <c r="Y3985" s="3">
        <v>31.53</v>
      </c>
    </row>
    <row r="3986" spans="1:25" ht="60.75" x14ac:dyDescent="0.25">
      <c r="A3986" s="3" t="s">
        <v>26</v>
      </c>
      <c r="B3986" s="3" t="s">
        <v>27</v>
      </c>
      <c r="C3986" s="3" t="s">
        <v>28</v>
      </c>
      <c r="D3986" s="3" t="s">
        <v>29</v>
      </c>
      <c r="E3986" s="3" t="s">
        <v>136</v>
      </c>
      <c r="F3986" s="3" t="s">
        <v>31</v>
      </c>
      <c r="G3986" s="3" t="s">
        <v>136</v>
      </c>
      <c r="H3986" s="3" t="s">
        <v>48</v>
      </c>
      <c r="I3986" s="3">
        <v>2025</v>
      </c>
      <c r="J3986" s="3" t="str">
        <f>CONCATENATE("54820069646")</f>
        <v>54820069646</v>
      </c>
      <c r="K3986" s="3" t="s">
        <v>33</v>
      </c>
      <c r="L3986" s="3"/>
      <c r="M3986" s="3" t="s">
        <v>131</v>
      </c>
      <c r="N3986" s="3" t="str">
        <f>CONCATENATE("SRCFNC46T03D451K")</f>
        <v>SRCFNC46T03D451K</v>
      </c>
      <c r="O3986" s="3" t="s">
        <v>4100</v>
      </c>
      <c r="P3986" s="3" t="s">
        <v>36</v>
      </c>
      <c r="Q3986" s="3"/>
      <c r="R3986" s="4">
        <v>45996</v>
      </c>
      <c r="S3986" s="3" t="s">
        <v>37</v>
      </c>
      <c r="T3986" s="3" t="s">
        <v>38</v>
      </c>
      <c r="U3986" s="3" t="s">
        <v>39</v>
      </c>
      <c r="V3986" s="3">
        <v>161.15</v>
      </c>
      <c r="W3986" s="3">
        <v>68.489999999999995</v>
      </c>
      <c r="X3986" s="3">
        <v>64.86</v>
      </c>
      <c r="Y3986" s="3">
        <v>27.8</v>
      </c>
    </row>
    <row r="3987" spans="1:25" ht="72.75" x14ac:dyDescent="0.25">
      <c r="A3987" s="3" t="s">
        <v>26</v>
      </c>
      <c r="B3987" s="3" t="s">
        <v>27</v>
      </c>
      <c r="C3987" s="3" t="s">
        <v>28</v>
      </c>
      <c r="D3987" s="3" t="s">
        <v>29</v>
      </c>
      <c r="E3987" s="3" t="s">
        <v>56</v>
      </c>
      <c r="F3987" s="3" t="s">
        <v>31</v>
      </c>
      <c r="G3987" s="3" t="s">
        <v>56</v>
      </c>
      <c r="H3987" s="3" t="s">
        <v>32</v>
      </c>
      <c r="I3987" s="3">
        <v>2025</v>
      </c>
      <c r="J3987" s="3" t="str">
        <f>CONCATENATE("54820099551")</f>
        <v>54820099551</v>
      </c>
      <c r="K3987" s="3" t="s">
        <v>33</v>
      </c>
      <c r="L3987" s="3"/>
      <c r="M3987" s="3" t="s">
        <v>131</v>
      </c>
      <c r="N3987" s="3" t="str">
        <f>CONCATENATE("MRCDNL92M14B474V")</f>
        <v>MRCDNL92M14B474V</v>
      </c>
      <c r="O3987" s="3" t="s">
        <v>4101</v>
      </c>
      <c r="P3987" s="3" t="s">
        <v>36</v>
      </c>
      <c r="Q3987" s="3"/>
      <c r="R3987" s="4">
        <v>45996</v>
      </c>
      <c r="S3987" s="3" t="s">
        <v>37</v>
      </c>
      <c r="T3987" s="3" t="s">
        <v>38</v>
      </c>
      <c r="U3987" s="3" t="s">
        <v>39</v>
      </c>
      <c r="V3987" s="3">
        <v>138.41</v>
      </c>
      <c r="W3987" s="3">
        <v>58.82</v>
      </c>
      <c r="X3987" s="3">
        <v>55.71</v>
      </c>
      <c r="Y3987" s="3">
        <v>23.88</v>
      </c>
    </row>
    <row r="3988" spans="1:25" ht="60.75" x14ac:dyDescent="0.25">
      <c r="A3988" s="3" t="s">
        <v>26</v>
      </c>
      <c r="B3988" s="3" t="s">
        <v>27</v>
      </c>
      <c r="C3988" s="3" t="s">
        <v>28</v>
      </c>
      <c r="D3988" s="3" t="s">
        <v>50</v>
      </c>
      <c r="E3988" s="3" t="s">
        <v>252</v>
      </c>
      <c r="F3988" s="3" t="s">
        <v>52</v>
      </c>
      <c r="G3988" s="3" t="s">
        <v>252</v>
      </c>
      <c r="H3988" s="3" t="s">
        <v>45</v>
      </c>
      <c r="I3988" s="3">
        <v>2025</v>
      </c>
      <c r="J3988" s="3" t="str">
        <f>CONCATENATE("54820090055")</f>
        <v>54820090055</v>
      </c>
      <c r="K3988" s="3" t="s">
        <v>33</v>
      </c>
      <c r="L3988" s="3"/>
      <c r="M3988" s="3" t="s">
        <v>131</v>
      </c>
      <c r="N3988" s="3" t="str">
        <f>CONCATENATE("SPENCL88C09D749H")</f>
        <v>SPENCL88C09D749H</v>
      </c>
      <c r="O3988" s="3" t="s">
        <v>4102</v>
      </c>
      <c r="P3988" s="3" t="s">
        <v>36</v>
      </c>
      <c r="Q3988" s="3"/>
      <c r="R3988" s="4">
        <v>45996</v>
      </c>
      <c r="S3988" s="3" t="s">
        <v>37</v>
      </c>
      <c r="T3988" s="3" t="s">
        <v>38</v>
      </c>
      <c r="U3988" s="3" t="s">
        <v>39</v>
      </c>
      <c r="V3988" s="3">
        <v>171.84</v>
      </c>
      <c r="W3988" s="3">
        <v>73.03</v>
      </c>
      <c r="X3988" s="3">
        <v>69.17</v>
      </c>
      <c r="Y3988" s="3">
        <v>29.64</v>
      </c>
    </row>
    <row r="3989" spans="1:25" ht="60.75" x14ac:dyDescent="0.25">
      <c r="A3989" s="3" t="s">
        <v>26</v>
      </c>
      <c r="B3989" s="3" t="s">
        <v>27</v>
      </c>
      <c r="C3989" s="3" t="s">
        <v>28</v>
      </c>
      <c r="D3989" s="3" t="s">
        <v>29</v>
      </c>
      <c r="E3989" s="3" t="s">
        <v>136</v>
      </c>
      <c r="F3989" s="3" t="s">
        <v>31</v>
      </c>
      <c r="G3989" s="3" t="s">
        <v>136</v>
      </c>
      <c r="H3989" s="3" t="s">
        <v>48</v>
      </c>
      <c r="I3989" s="3">
        <v>2025</v>
      </c>
      <c r="J3989" s="3" t="str">
        <f>CONCATENATE("54820078340")</f>
        <v>54820078340</v>
      </c>
      <c r="K3989" s="3" t="s">
        <v>33</v>
      </c>
      <c r="L3989" s="3"/>
      <c r="M3989" s="3" t="s">
        <v>131</v>
      </c>
      <c r="N3989" s="3" t="str">
        <f>CONCATENATE("MRCVDO52C10I461X")</f>
        <v>MRCVDO52C10I461X</v>
      </c>
      <c r="O3989" s="3" t="s">
        <v>4103</v>
      </c>
      <c r="P3989" s="3" t="s">
        <v>36</v>
      </c>
      <c r="Q3989" s="3"/>
      <c r="R3989" s="4">
        <v>45996</v>
      </c>
      <c r="S3989" s="3" t="s">
        <v>37</v>
      </c>
      <c r="T3989" s="3" t="s">
        <v>38</v>
      </c>
      <c r="U3989" s="3" t="s">
        <v>39</v>
      </c>
      <c r="V3989" s="3">
        <v>343.53</v>
      </c>
      <c r="W3989" s="3">
        <v>146</v>
      </c>
      <c r="X3989" s="3">
        <v>138.27000000000001</v>
      </c>
      <c r="Y3989" s="3">
        <v>59.26</v>
      </c>
    </row>
    <row r="3990" spans="1:25" ht="60.75" x14ac:dyDescent="0.25">
      <c r="A3990" s="3" t="s">
        <v>26</v>
      </c>
      <c r="B3990" s="3" t="s">
        <v>27</v>
      </c>
      <c r="C3990" s="3" t="s">
        <v>28</v>
      </c>
      <c r="D3990" s="3" t="s">
        <v>50</v>
      </c>
      <c r="E3990" s="3" t="s">
        <v>60</v>
      </c>
      <c r="F3990" s="3" t="s">
        <v>52</v>
      </c>
      <c r="G3990" s="3" t="s">
        <v>60</v>
      </c>
      <c r="H3990" s="3" t="s">
        <v>45</v>
      </c>
      <c r="I3990" s="3">
        <v>2025</v>
      </c>
      <c r="J3990" s="3" t="str">
        <f>CONCATENATE("54820076682")</f>
        <v>54820076682</v>
      </c>
      <c r="K3990" s="3" t="s">
        <v>33</v>
      </c>
      <c r="L3990" s="3"/>
      <c r="M3990" s="3" t="s">
        <v>131</v>
      </c>
      <c r="N3990" s="3" t="str">
        <f>CONCATENATE("FRNMRA61R30I654F")</f>
        <v>FRNMRA61R30I654F</v>
      </c>
      <c r="O3990" s="3" t="s">
        <v>4104</v>
      </c>
      <c r="P3990" s="3" t="s">
        <v>36</v>
      </c>
      <c r="Q3990" s="3"/>
      <c r="R3990" s="4">
        <v>45996</v>
      </c>
      <c r="S3990" s="3" t="s">
        <v>37</v>
      </c>
      <c r="T3990" s="3" t="s">
        <v>38</v>
      </c>
      <c r="U3990" s="3" t="s">
        <v>39</v>
      </c>
      <c r="V3990" s="3">
        <v>51.21</v>
      </c>
      <c r="W3990" s="3">
        <v>21.76</v>
      </c>
      <c r="X3990" s="3">
        <v>20.61</v>
      </c>
      <c r="Y3990" s="3">
        <v>8.84</v>
      </c>
    </row>
    <row r="3991" spans="1:25" ht="72.75" x14ac:dyDescent="0.25">
      <c r="A3991" s="3" t="s">
        <v>26</v>
      </c>
      <c r="B3991" s="3" t="s">
        <v>27</v>
      </c>
      <c r="C3991" s="3" t="s">
        <v>28</v>
      </c>
      <c r="D3991" s="3" t="s">
        <v>29</v>
      </c>
      <c r="E3991" s="3" t="s">
        <v>136</v>
      </c>
      <c r="F3991" s="3" t="s">
        <v>31</v>
      </c>
      <c r="G3991" s="3" t="s">
        <v>136</v>
      </c>
      <c r="H3991" s="3" t="s">
        <v>48</v>
      </c>
      <c r="I3991" s="3">
        <v>2025</v>
      </c>
      <c r="J3991" s="3" t="str">
        <f>CONCATENATE("54820067376")</f>
        <v>54820067376</v>
      </c>
      <c r="K3991" s="3" t="s">
        <v>33</v>
      </c>
      <c r="L3991" s="3"/>
      <c r="M3991" s="3" t="s">
        <v>131</v>
      </c>
      <c r="N3991" s="3" t="str">
        <f>CONCATENATE("GRFMSM65P16D965H")</f>
        <v>GRFMSM65P16D965H</v>
      </c>
      <c r="O3991" s="3" t="s">
        <v>1047</v>
      </c>
      <c r="P3991" s="3" t="s">
        <v>36</v>
      </c>
      <c r="Q3991" s="3"/>
      <c r="R3991" s="4">
        <v>45996</v>
      </c>
      <c r="S3991" s="3" t="s">
        <v>37</v>
      </c>
      <c r="T3991" s="3" t="s">
        <v>38</v>
      </c>
      <c r="U3991" s="3" t="s">
        <v>39</v>
      </c>
      <c r="V3991" s="3">
        <v>206.09</v>
      </c>
      <c r="W3991" s="3">
        <v>87.59</v>
      </c>
      <c r="X3991" s="3">
        <v>82.95</v>
      </c>
      <c r="Y3991" s="3">
        <v>35.549999999999997</v>
      </c>
    </row>
    <row r="3992" spans="1:25" ht="60.75" x14ac:dyDescent="0.25">
      <c r="A3992" s="3" t="s">
        <v>26</v>
      </c>
      <c r="B3992" s="3" t="s">
        <v>27</v>
      </c>
      <c r="C3992" s="3" t="s">
        <v>28</v>
      </c>
      <c r="D3992" s="3" t="s">
        <v>50</v>
      </c>
      <c r="E3992" s="3" t="s">
        <v>60</v>
      </c>
      <c r="F3992" s="3" t="s">
        <v>52</v>
      </c>
      <c r="G3992" s="3" t="s">
        <v>60</v>
      </c>
      <c r="H3992" s="3" t="s">
        <v>45</v>
      </c>
      <c r="I3992" s="3">
        <v>2025</v>
      </c>
      <c r="J3992" s="3" t="str">
        <f>CONCATENATE("54820074455")</f>
        <v>54820074455</v>
      </c>
      <c r="K3992" s="3" t="s">
        <v>33</v>
      </c>
      <c r="L3992" s="3"/>
      <c r="M3992" s="3" t="s">
        <v>131</v>
      </c>
      <c r="N3992" s="3" t="str">
        <f>CONCATENATE("PRZMRA50P07B352K")</f>
        <v>PRZMRA50P07B352K</v>
      </c>
      <c r="O3992" s="3" t="s">
        <v>4105</v>
      </c>
      <c r="P3992" s="3" t="s">
        <v>36</v>
      </c>
      <c r="Q3992" s="3"/>
      <c r="R3992" s="4">
        <v>45996</v>
      </c>
      <c r="S3992" s="3" t="s">
        <v>37</v>
      </c>
      <c r="T3992" s="3" t="s">
        <v>38</v>
      </c>
      <c r="U3992" s="3" t="s">
        <v>39</v>
      </c>
      <c r="V3992" s="3">
        <v>901.57</v>
      </c>
      <c r="W3992" s="3">
        <v>383.17</v>
      </c>
      <c r="X3992" s="3">
        <v>362.88</v>
      </c>
      <c r="Y3992" s="3">
        <v>155.52000000000001</v>
      </c>
    </row>
    <row r="3993" spans="1:25" ht="60.75" x14ac:dyDescent="0.25">
      <c r="A3993" s="3" t="s">
        <v>26</v>
      </c>
      <c r="B3993" s="3" t="s">
        <v>27</v>
      </c>
      <c r="C3993" s="3" t="s">
        <v>28</v>
      </c>
      <c r="D3993" s="3" t="s">
        <v>29</v>
      </c>
      <c r="E3993" s="3" t="s">
        <v>1398</v>
      </c>
      <c r="F3993" s="3" t="s">
        <v>31</v>
      </c>
      <c r="G3993" s="3" t="s">
        <v>1398</v>
      </c>
      <c r="H3993" s="3" t="s">
        <v>32</v>
      </c>
      <c r="I3993" s="3">
        <v>2025</v>
      </c>
      <c r="J3993" s="3" t="str">
        <f>CONCATENATE("54820040126")</f>
        <v>54820040126</v>
      </c>
      <c r="K3993" s="3" t="s">
        <v>33</v>
      </c>
      <c r="L3993" s="3"/>
      <c r="M3993" s="3" t="s">
        <v>131</v>
      </c>
      <c r="N3993" s="3" t="str">
        <f>CONCATENATE("PRSMTN93C44I156L")</f>
        <v>PRSMTN93C44I156L</v>
      </c>
      <c r="O3993" s="3" t="s">
        <v>4106</v>
      </c>
      <c r="P3993" s="3" t="s">
        <v>36</v>
      </c>
      <c r="Q3993" s="3"/>
      <c r="R3993" s="4">
        <v>45996</v>
      </c>
      <c r="S3993" s="3" t="s">
        <v>37</v>
      </c>
      <c r="T3993" s="3" t="s">
        <v>38</v>
      </c>
      <c r="U3993" s="3" t="s">
        <v>39</v>
      </c>
      <c r="V3993" s="3">
        <v>157.11000000000001</v>
      </c>
      <c r="W3993" s="3">
        <v>66.77</v>
      </c>
      <c r="X3993" s="3">
        <v>63.24</v>
      </c>
      <c r="Y3993" s="3">
        <v>27.1</v>
      </c>
    </row>
    <row r="3994" spans="1:25" ht="60.75" x14ac:dyDescent="0.25">
      <c r="A3994" s="3" t="s">
        <v>26</v>
      </c>
      <c r="B3994" s="3" t="s">
        <v>27</v>
      </c>
      <c r="C3994" s="3" t="s">
        <v>28</v>
      </c>
      <c r="D3994" s="3" t="s">
        <v>29</v>
      </c>
      <c r="E3994" s="3" t="s">
        <v>119</v>
      </c>
      <c r="F3994" s="3" t="s">
        <v>31</v>
      </c>
      <c r="G3994" s="3" t="s">
        <v>119</v>
      </c>
      <c r="H3994" s="3" t="s">
        <v>96</v>
      </c>
      <c r="I3994" s="3">
        <v>2025</v>
      </c>
      <c r="J3994" s="3" t="str">
        <f>CONCATENATE("54820023080")</f>
        <v>54820023080</v>
      </c>
      <c r="K3994" s="3" t="s">
        <v>33</v>
      </c>
      <c r="L3994" s="3"/>
      <c r="M3994" s="3" t="s">
        <v>131</v>
      </c>
      <c r="N3994" s="3" t="str">
        <f>CONCATENATE("SLQFNC53L25D691O")</f>
        <v>SLQFNC53L25D691O</v>
      </c>
      <c r="O3994" s="3" t="s">
        <v>4107</v>
      </c>
      <c r="P3994" s="3" t="s">
        <v>36</v>
      </c>
      <c r="Q3994" s="3"/>
      <c r="R3994" s="4">
        <v>45996</v>
      </c>
      <c r="S3994" s="3" t="s">
        <v>37</v>
      </c>
      <c r="T3994" s="3" t="s">
        <v>38</v>
      </c>
      <c r="U3994" s="3" t="s">
        <v>39</v>
      </c>
      <c r="V3994" s="3">
        <v>106.59</v>
      </c>
      <c r="W3994" s="3">
        <v>45.3</v>
      </c>
      <c r="X3994" s="3">
        <v>42.9</v>
      </c>
      <c r="Y3994" s="3">
        <v>18.39</v>
      </c>
    </row>
    <row r="3995" spans="1:25" ht="60.75" x14ac:dyDescent="0.25">
      <c r="A3995" s="3" t="s">
        <v>26</v>
      </c>
      <c r="B3995" s="3" t="s">
        <v>27</v>
      </c>
      <c r="C3995" s="3" t="s">
        <v>28</v>
      </c>
      <c r="D3995" s="3" t="s">
        <v>29</v>
      </c>
      <c r="E3995" s="3" t="s">
        <v>68</v>
      </c>
      <c r="F3995" s="3" t="s">
        <v>31</v>
      </c>
      <c r="G3995" s="3" t="s">
        <v>68</v>
      </c>
      <c r="H3995" s="3" t="s">
        <v>32</v>
      </c>
      <c r="I3995" s="3">
        <v>2025</v>
      </c>
      <c r="J3995" s="3" t="str">
        <f>CONCATENATE("54820027560")</f>
        <v>54820027560</v>
      </c>
      <c r="K3995" s="3" t="s">
        <v>33</v>
      </c>
      <c r="L3995" s="3"/>
      <c r="M3995" s="3" t="s">
        <v>131</v>
      </c>
      <c r="N3995" s="3" t="str">
        <f>CONCATENATE("CNCPTR50B08I436G")</f>
        <v>CNCPTR50B08I436G</v>
      </c>
      <c r="O3995" s="3" t="s">
        <v>4108</v>
      </c>
      <c r="P3995" s="3" t="s">
        <v>36</v>
      </c>
      <c r="Q3995" s="3"/>
      <c r="R3995" s="4">
        <v>45996</v>
      </c>
      <c r="S3995" s="3" t="s">
        <v>37</v>
      </c>
      <c r="T3995" s="3" t="s">
        <v>38</v>
      </c>
      <c r="U3995" s="3" t="s">
        <v>39</v>
      </c>
      <c r="V3995" s="3">
        <v>108.86</v>
      </c>
      <c r="W3995" s="3">
        <v>46.27</v>
      </c>
      <c r="X3995" s="3">
        <v>43.82</v>
      </c>
      <c r="Y3995" s="3">
        <v>18.77</v>
      </c>
    </row>
    <row r="3996" spans="1:25" ht="60.75" x14ac:dyDescent="0.25">
      <c r="A3996" s="3" t="s">
        <v>26</v>
      </c>
      <c r="B3996" s="3" t="s">
        <v>27</v>
      </c>
      <c r="C3996" s="3" t="s">
        <v>28</v>
      </c>
      <c r="D3996" s="3" t="s">
        <v>29</v>
      </c>
      <c r="E3996" s="3" t="s">
        <v>72</v>
      </c>
      <c r="F3996" s="3" t="s">
        <v>31</v>
      </c>
      <c r="G3996" s="3" t="s">
        <v>72</v>
      </c>
      <c r="H3996" s="3" t="s">
        <v>45</v>
      </c>
      <c r="I3996" s="3">
        <v>2025</v>
      </c>
      <c r="J3996" s="3" t="str">
        <f>CONCATENATE("54820074521")</f>
        <v>54820074521</v>
      </c>
      <c r="K3996" s="3" t="s">
        <v>33</v>
      </c>
      <c r="L3996" s="3"/>
      <c r="M3996" s="3" t="s">
        <v>131</v>
      </c>
      <c r="N3996" s="3" t="str">
        <f>CONCATENATE("TGNLRD64B11D808T")</f>
        <v>TGNLRD64B11D808T</v>
      </c>
      <c r="O3996" s="3" t="s">
        <v>4109</v>
      </c>
      <c r="P3996" s="3" t="s">
        <v>36</v>
      </c>
      <c r="Q3996" s="3"/>
      <c r="R3996" s="4">
        <v>45996</v>
      </c>
      <c r="S3996" s="3" t="s">
        <v>37</v>
      </c>
      <c r="T3996" s="3" t="s">
        <v>38</v>
      </c>
      <c r="U3996" s="3" t="s">
        <v>39</v>
      </c>
      <c r="V3996" s="3">
        <v>663.29</v>
      </c>
      <c r="W3996" s="3">
        <v>281.89999999999998</v>
      </c>
      <c r="X3996" s="3">
        <v>266.97000000000003</v>
      </c>
      <c r="Y3996" s="3">
        <v>114.42</v>
      </c>
    </row>
    <row r="3997" spans="1:25" ht="36.75" x14ac:dyDescent="0.25">
      <c r="A3997" s="3" t="s">
        <v>26</v>
      </c>
      <c r="B3997" s="3" t="s">
        <v>27</v>
      </c>
      <c r="C3997" s="3" t="s">
        <v>28</v>
      </c>
      <c r="D3997" s="3" t="s">
        <v>29</v>
      </c>
      <c r="E3997" s="3" t="s">
        <v>136</v>
      </c>
      <c r="F3997" s="3" t="s">
        <v>31</v>
      </c>
      <c r="G3997" s="3" t="s">
        <v>136</v>
      </c>
      <c r="H3997" s="3" t="s">
        <v>48</v>
      </c>
      <c r="I3997" s="3">
        <v>2025</v>
      </c>
      <c r="J3997" s="3" t="str">
        <f>CONCATENATE("54820184908")</f>
        <v>54820184908</v>
      </c>
      <c r="K3997" s="3" t="s">
        <v>33</v>
      </c>
      <c r="L3997" s="3"/>
      <c r="M3997" s="3" t="s">
        <v>131</v>
      </c>
      <c r="N3997" s="3" t="str">
        <f>CONCATENATE("02328670415")</f>
        <v>02328670415</v>
      </c>
      <c r="O3997" s="3" t="s">
        <v>4110</v>
      </c>
      <c r="P3997" s="3" t="s">
        <v>36</v>
      </c>
      <c r="Q3997" s="3"/>
      <c r="R3997" s="4">
        <v>45996</v>
      </c>
      <c r="S3997" s="3" t="s">
        <v>37</v>
      </c>
      <c r="T3997" s="3" t="s">
        <v>38</v>
      </c>
      <c r="U3997" s="3" t="s">
        <v>39</v>
      </c>
      <c r="V3997" s="3">
        <v>836.52</v>
      </c>
      <c r="W3997" s="3">
        <v>355.52</v>
      </c>
      <c r="X3997" s="3">
        <v>336.7</v>
      </c>
      <c r="Y3997" s="3">
        <v>144.30000000000001</v>
      </c>
    </row>
    <row r="3998" spans="1:25" ht="36.75" x14ac:dyDescent="0.25">
      <c r="A3998" s="3" t="s">
        <v>26</v>
      </c>
      <c r="B3998" s="3" t="s">
        <v>27</v>
      </c>
      <c r="C3998" s="3" t="s">
        <v>28</v>
      </c>
      <c r="D3998" s="3" t="s">
        <v>29</v>
      </c>
      <c r="E3998" s="3" t="s">
        <v>47</v>
      </c>
      <c r="F3998" s="3" t="s">
        <v>31</v>
      </c>
      <c r="G3998" s="3" t="s">
        <v>47</v>
      </c>
      <c r="H3998" s="3" t="s">
        <v>48</v>
      </c>
      <c r="I3998" s="3">
        <v>2025</v>
      </c>
      <c r="J3998" s="3" t="str">
        <f>CONCATENATE("54820198726")</f>
        <v>54820198726</v>
      </c>
      <c r="K3998" s="3" t="s">
        <v>33</v>
      </c>
      <c r="L3998" s="3"/>
      <c r="M3998" s="3" t="s">
        <v>131</v>
      </c>
      <c r="N3998" s="3" t="str">
        <f>CONCATENATE("02903480420")</f>
        <v>02903480420</v>
      </c>
      <c r="O3998" s="3" t="s">
        <v>4111</v>
      </c>
      <c r="P3998" s="3" t="s">
        <v>36</v>
      </c>
      <c r="Q3998" s="3"/>
      <c r="R3998" s="4">
        <v>45996</v>
      </c>
      <c r="S3998" s="3" t="s">
        <v>37</v>
      </c>
      <c r="T3998" s="3" t="s">
        <v>38</v>
      </c>
      <c r="U3998" s="3" t="s">
        <v>39</v>
      </c>
      <c r="V3998" s="3">
        <v>78.47</v>
      </c>
      <c r="W3998" s="3">
        <v>33.35</v>
      </c>
      <c r="X3998" s="3">
        <v>31.58</v>
      </c>
      <c r="Y3998" s="3">
        <v>13.54</v>
      </c>
    </row>
    <row r="3999" spans="1:25" ht="72.75" x14ac:dyDescent="0.25">
      <c r="A3999" s="3" t="s">
        <v>26</v>
      </c>
      <c r="B3999" s="3" t="s">
        <v>27</v>
      </c>
      <c r="C3999" s="3" t="s">
        <v>28</v>
      </c>
      <c r="D3999" s="3" t="s">
        <v>50</v>
      </c>
      <c r="E3999" s="3" t="s">
        <v>252</v>
      </c>
      <c r="F3999" s="3" t="s">
        <v>52</v>
      </c>
      <c r="G3999" s="3" t="s">
        <v>252</v>
      </c>
      <c r="H3999" s="3" t="s">
        <v>45</v>
      </c>
      <c r="I3999" s="3">
        <v>2025</v>
      </c>
      <c r="J3999" s="3" t="str">
        <f>CONCATENATE("54820258488")</f>
        <v>54820258488</v>
      </c>
      <c r="K3999" s="3" t="s">
        <v>33</v>
      </c>
      <c r="L3999" s="3"/>
      <c r="M3999" s="3" t="s">
        <v>131</v>
      </c>
      <c r="N3999" s="3" t="str">
        <f>CONCATENATE("GTRCRS78A24D786U")</f>
        <v>GTRCRS78A24D786U</v>
      </c>
      <c r="O3999" s="3" t="s">
        <v>4112</v>
      </c>
      <c r="P3999" s="3" t="s">
        <v>36</v>
      </c>
      <c r="Q3999" s="3"/>
      <c r="R3999" s="4">
        <v>45996</v>
      </c>
      <c r="S3999" s="3" t="s">
        <v>37</v>
      </c>
      <c r="T3999" s="3" t="s">
        <v>38</v>
      </c>
      <c r="U3999" s="3" t="s">
        <v>39</v>
      </c>
      <c r="V3999" s="3">
        <v>166.57</v>
      </c>
      <c r="W3999" s="3">
        <v>70.790000000000006</v>
      </c>
      <c r="X3999" s="3">
        <v>67.040000000000006</v>
      </c>
      <c r="Y3999" s="3">
        <v>28.74</v>
      </c>
    </row>
    <row r="4000" spans="1:25" ht="36.75" x14ac:dyDescent="0.25">
      <c r="A4000" s="3" t="s">
        <v>26</v>
      </c>
      <c r="B4000" s="3" t="s">
        <v>27</v>
      </c>
      <c r="C4000" s="3" t="s">
        <v>28</v>
      </c>
      <c r="D4000" s="3" t="s">
        <v>50</v>
      </c>
      <c r="E4000" s="3" t="s">
        <v>513</v>
      </c>
      <c r="F4000" s="3" t="s">
        <v>52</v>
      </c>
      <c r="G4000" s="3" t="s">
        <v>513</v>
      </c>
      <c r="H4000" s="3" t="s">
        <v>96</v>
      </c>
      <c r="I4000" s="3">
        <v>2025</v>
      </c>
      <c r="J4000" s="3" t="str">
        <f>CONCATENATE("54820265400")</f>
        <v>54820265400</v>
      </c>
      <c r="K4000" s="3" t="s">
        <v>33</v>
      </c>
      <c r="L4000" s="3"/>
      <c r="M4000" s="3" t="s">
        <v>131</v>
      </c>
      <c r="N4000" s="3" t="str">
        <f>CONCATENATE("01517310445")</f>
        <v>01517310445</v>
      </c>
      <c r="O4000" s="3" t="s">
        <v>4113</v>
      </c>
      <c r="P4000" s="3" t="s">
        <v>36</v>
      </c>
      <c r="Q4000" s="3"/>
      <c r="R4000" s="4">
        <v>45996</v>
      </c>
      <c r="S4000" s="3" t="s">
        <v>37</v>
      </c>
      <c r="T4000" s="3" t="s">
        <v>38</v>
      </c>
      <c r="U4000" s="3" t="s">
        <v>39</v>
      </c>
      <c r="V4000" s="3">
        <v>914.08</v>
      </c>
      <c r="W4000" s="3">
        <v>388.48</v>
      </c>
      <c r="X4000" s="3">
        <v>367.92</v>
      </c>
      <c r="Y4000" s="3">
        <v>157.68</v>
      </c>
    </row>
    <row r="4001" spans="1:25" ht="60.75" x14ac:dyDescent="0.25">
      <c r="A4001" s="3" t="s">
        <v>26</v>
      </c>
      <c r="B4001" s="3" t="s">
        <v>27</v>
      </c>
      <c r="C4001" s="3" t="s">
        <v>28</v>
      </c>
      <c r="D4001" s="3" t="s">
        <v>29</v>
      </c>
      <c r="E4001" s="3" t="s">
        <v>136</v>
      </c>
      <c r="F4001" s="3" t="s">
        <v>31</v>
      </c>
      <c r="G4001" s="3" t="s">
        <v>136</v>
      </c>
      <c r="H4001" s="3" t="s">
        <v>48</v>
      </c>
      <c r="I4001" s="3">
        <v>2025</v>
      </c>
      <c r="J4001" s="3" t="str">
        <f>CONCATENATE("54820234034")</f>
        <v>54820234034</v>
      </c>
      <c r="K4001" s="3" t="s">
        <v>33</v>
      </c>
      <c r="L4001" s="3"/>
      <c r="M4001" s="3" t="s">
        <v>131</v>
      </c>
      <c r="N4001" s="3" t="str">
        <f>CONCATENATE("TSSMRT50B04I461Y")</f>
        <v>TSSMRT50B04I461Y</v>
      </c>
      <c r="O4001" s="3" t="s">
        <v>4114</v>
      </c>
      <c r="P4001" s="3" t="s">
        <v>36</v>
      </c>
      <c r="Q4001" s="3"/>
      <c r="R4001" s="4">
        <v>45996</v>
      </c>
      <c r="S4001" s="3" t="s">
        <v>37</v>
      </c>
      <c r="T4001" s="3" t="s">
        <v>38</v>
      </c>
      <c r="U4001" s="3" t="s">
        <v>39</v>
      </c>
      <c r="V4001" s="3">
        <v>232.3</v>
      </c>
      <c r="W4001" s="3">
        <v>98.73</v>
      </c>
      <c r="X4001" s="3">
        <v>93.5</v>
      </c>
      <c r="Y4001" s="3">
        <v>40.07</v>
      </c>
    </row>
    <row r="4002" spans="1:25" ht="60.75" x14ac:dyDescent="0.25">
      <c r="A4002" s="3" t="s">
        <v>26</v>
      </c>
      <c r="B4002" s="3" t="s">
        <v>27</v>
      </c>
      <c r="C4002" s="3" t="s">
        <v>28</v>
      </c>
      <c r="D4002" s="3" t="s">
        <v>29</v>
      </c>
      <c r="E4002" s="3" t="s">
        <v>228</v>
      </c>
      <c r="F4002" s="3" t="s">
        <v>31</v>
      </c>
      <c r="G4002" s="3" t="s">
        <v>228</v>
      </c>
      <c r="H4002" s="3" t="s">
        <v>45</v>
      </c>
      <c r="I4002" s="3">
        <v>2025</v>
      </c>
      <c r="J4002" s="3" t="str">
        <f>CONCATENATE("54820039557")</f>
        <v>54820039557</v>
      </c>
      <c r="K4002" s="3" t="s">
        <v>33</v>
      </c>
      <c r="L4002" s="3"/>
      <c r="M4002" s="3" t="s">
        <v>131</v>
      </c>
      <c r="N4002" s="3" t="str">
        <f>CONCATENATE("MSCLSE57R45D749C")</f>
        <v>MSCLSE57R45D749C</v>
      </c>
      <c r="O4002" s="3" t="s">
        <v>4115</v>
      </c>
      <c r="P4002" s="3" t="s">
        <v>36</v>
      </c>
      <c r="Q4002" s="3"/>
      <c r="R4002" s="4">
        <v>45996</v>
      </c>
      <c r="S4002" s="3" t="s">
        <v>37</v>
      </c>
      <c r="T4002" s="3" t="s">
        <v>38</v>
      </c>
      <c r="U4002" s="3" t="s">
        <v>39</v>
      </c>
      <c r="V4002" s="3">
        <v>86.89</v>
      </c>
      <c r="W4002" s="3">
        <v>36.93</v>
      </c>
      <c r="X4002" s="3">
        <v>34.97</v>
      </c>
      <c r="Y4002" s="3">
        <v>14.99</v>
      </c>
    </row>
    <row r="4003" spans="1:25" ht="60.75" x14ac:dyDescent="0.25">
      <c r="A4003" s="3" t="s">
        <v>26</v>
      </c>
      <c r="B4003" s="3" t="s">
        <v>27</v>
      </c>
      <c r="C4003" s="3" t="s">
        <v>28</v>
      </c>
      <c r="D4003" s="3" t="s">
        <v>29</v>
      </c>
      <c r="E4003" s="3" t="s">
        <v>182</v>
      </c>
      <c r="F4003" s="3" t="s">
        <v>31</v>
      </c>
      <c r="G4003" s="3" t="s">
        <v>182</v>
      </c>
      <c r="H4003" s="3" t="s">
        <v>45</v>
      </c>
      <c r="I4003" s="3">
        <v>2025</v>
      </c>
      <c r="J4003" s="3" t="str">
        <f>CONCATENATE("54820161625")</f>
        <v>54820161625</v>
      </c>
      <c r="K4003" s="3" t="s">
        <v>33</v>
      </c>
      <c r="L4003" s="3"/>
      <c r="M4003" s="3" t="s">
        <v>131</v>
      </c>
      <c r="N4003" s="3" t="str">
        <f>CONCATENATE("TRCMRA58M43L500B")</f>
        <v>TRCMRA58M43L500B</v>
      </c>
      <c r="O4003" s="3" t="s">
        <v>4116</v>
      </c>
      <c r="P4003" s="3" t="s">
        <v>36</v>
      </c>
      <c r="Q4003" s="3"/>
      <c r="R4003" s="4">
        <v>45996</v>
      </c>
      <c r="S4003" s="3" t="s">
        <v>37</v>
      </c>
      <c r="T4003" s="3" t="s">
        <v>38</v>
      </c>
      <c r="U4003" s="3" t="s">
        <v>39</v>
      </c>
      <c r="V4003" s="3">
        <v>153.75</v>
      </c>
      <c r="W4003" s="3">
        <v>65.34</v>
      </c>
      <c r="X4003" s="3">
        <v>61.88</v>
      </c>
      <c r="Y4003" s="3">
        <v>26.53</v>
      </c>
    </row>
    <row r="4004" spans="1:25" ht="60.75" x14ac:dyDescent="0.25">
      <c r="A4004" s="3" t="s">
        <v>26</v>
      </c>
      <c r="B4004" s="3" t="s">
        <v>27</v>
      </c>
      <c r="C4004" s="3" t="s">
        <v>28</v>
      </c>
      <c r="D4004" s="3" t="s">
        <v>29</v>
      </c>
      <c r="E4004" s="3" t="s">
        <v>233</v>
      </c>
      <c r="F4004" s="3" t="s">
        <v>31</v>
      </c>
      <c r="G4004" s="3" t="s">
        <v>233</v>
      </c>
      <c r="H4004" s="3" t="s">
        <v>96</v>
      </c>
      <c r="I4004" s="3">
        <v>2025</v>
      </c>
      <c r="J4004" s="3" t="str">
        <f>CONCATENATE("54820066469")</f>
        <v>54820066469</v>
      </c>
      <c r="K4004" s="3" t="s">
        <v>33</v>
      </c>
      <c r="L4004" s="3"/>
      <c r="M4004" s="3" t="s">
        <v>131</v>
      </c>
      <c r="N4004" s="3" t="str">
        <f>CONCATENATE("PZZVCN64L07A044O")</f>
        <v>PZZVCN64L07A044O</v>
      </c>
      <c r="O4004" s="3" t="s">
        <v>4117</v>
      </c>
      <c r="P4004" s="3" t="s">
        <v>36</v>
      </c>
      <c r="Q4004" s="3"/>
      <c r="R4004" s="4">
        <v>45996</v>
      </c>
      <c r="S4004" s="3" t="s">
        <v>37</v>
      </c>
      <c r="T4004" s="3" t="s">
        <v>38</v>
      </c>
      <c r="U4004" s="3" t="s">
        <v>39</v>
      </c>
      <c r="V4004" s="3">
        <v>121.11</v>
      </c>
      <c r="W4004" s="3">
        <v>51.47</v>
      </c>
      <c r="X4004" s="3">
        <v>48.75</v>
      </c>
      <c r="Y4004" s="3">
        <v>20.89</v>
      </c>
    </row>
    <row r="4005" spans="1:25" ht="60.75" x14ac:dyDescent="0.25">
      <c r="A4005" s="3" t="s">
        <v>26</v>
      </c>
      <c r="B4005" s="3" t="s">
        <v>27</v>
      </c>
      <c r="C4005" s="3" t="s">
        <v>28</v>
      </c>
      <c r="D4005" s="3" t="s">
        <v>50</v>
      </c>
      <c r="E4005" s="3" t="s">
        <v>51</v>
      </c>
      <c r="F4005" s="3" t="s">
        <v>52</v>
      </c>
      <c r="G4005" s="3" t="s">
        <v>51</v>
      </c>
      <c r="H4005" s="3" t="s">
        <v>48</v>
      </c>
      <c r="I4005" s="3">
        <v>2025</v>
      </c>
      <c r="J4005" s="3" t="str">
        <f>CONCATENATE("54820182381")</f>
        <v>54820182381</v>
      </c>
      <c r="K4005" s="3" t="s">
        <v>33</v>
      </c>
      <c r="L4005" s="3"/>
      <c r="M4005" s="3" t="s">
        <v>131</v>
      </c>
      <c r="N4005" s="3" t="str">
        <f>CONCATENATE("GDULRD66L09G453Z")</f>
        <v>GDULRD66L09G453Z</v>
      </c>
      <c r="O4005" s="3" t="s">
        <v>4118</v>
      </c>
      <c r="P4005" s="3" t="s">
        <v>36</v>
      </c>
      <c r="Q4005" s="3"/>
      <c r="R4005" s="4">
        <v>45996</v>
      </c>
      <c r="S4005" s="3" t="s">
        <v>37</v>
      </c>
      <c r="T4005" s="3" t="s">
        <v>38</v>
      </c>
      <c r="U4005" s="3" t="s">
        <v>39</v>
      </c>
      <c r="V4005" s="3">
        <v>291.88</v>
      </c>
      <c r="W4005" s="3">
        <v>124.05</v>
      </c>
      <c r="X4005" s="3">
        <v>117.48</v>
      </c>
      <c r="Y4005" s="3">
        <v>50.35</v>
      </c>
    </row>
    <row r="4006" spans="1:25" ht="60.75" x14ac:dyDescent="0.25">
      <c r="A4006" s="3" t="s">
        <v>26</v>
      </c>
      <c r="B4006" s="3" t="s">
        <v>27</v>
      </c>
      <c r="C4006" s="3" t="s">
        <v>28</v>
      </c>
      <c r="D4006" s="3" t="s">
        <v>50</v>
      </c>
      <c r="E4006" s="3" t="s">
        <v>147</v>
      </c>
      <c r="F4006" s="3" t="s">
        <v>52</v>
      </c>
      <c r="G4006" s="3" t="s">
        <v>147</v>
      </c>
      <c r="H4006" s="3" t="s">
        <v>45</v>
      </c>
      <c r="I4006" s="3">
        <v>2025</v>
      </c>
      <c r="J4006" s="3" t="str">
        <f>CONCATENATE("54820101316")</f>
        <v>54820101316</v>
      </c>
      <c r="K4006" s="3" t="s">
        <v>33</v>
      </c>
      <c r="L4006" s="3"/>
      <c r="M4006" s="3" t="s">
        <v>131</v>
      </c>
      <c r="N4006" s="3" t="str">
        <f>CONCATENATE("VLLLSU69L57L500N")</f>
        <v>VLLLSU69L57L500N</v>
      </c>
      <c r="O4006" s="3" t="s">
        <v>4119</v>
      </c>
      <c r="P4006" s="3" t="s">
        <v>36</v>
      </c>
      <c r="Q4006" s="3"/>
      <c r="R4006" s="4">
        <v>45996</v>
      </c>
      <c r="S4006" s="3" t="s">
        <v>37</v>
      </c>
      <c r="T4006" s="3" t="s">
        <v>38</v>
      </c>
      <c r="U4006" s="3" t="s">
        <v>39</v>
      </c>
      <c r="V4006" s="3">
        <v>52.7</v>
      </c>
      <c r="W4006" s="3">
        <v>22.4</v>
      </c>
      <c r="X4006" s="3">
        <v>21.21</v>
      </c>
      <c r="Y4006" s="3">
        <v>9.09</v>
      </c>
    </row>
    <row r="4007" spans="1:25" ht="36.75" x14ac:dyDescent="0.25">
      <c r="A4007" s="3" t="s">
        <v>26</v>
      </c>
      <c r="B4007" s="3" t="s">
        <v>27</v>
      </c>
      <c r="C4007" s="3" t="s">
        <v>28</v>
      </c>
      <c r="D4007" s="3" t="s">
        <v>40</v>
      </c>
      <c r="E4007" s="3" t="s">
        <v>287</v>
      </c>
      <c r="F4007" s="3" t="s">
        <v>42</v>
      </c>
      <c r="G4007" s="3" t="s">
        <v>287</v>
      </c>
      <c r="H4007" s="3" t="s">
        <v>32</v>
      </c>
      <c r="I4007" s="3">
        <v>2025</v>
      </c>
      <c r="J4007" s="3" t="str">
        <f>CONCATENATE("54820020383")</f>
        <v>54820020383</v>
      </c>
      <c r="K4007" s="3" t="s">
        <v>33</v>
      </c>
      <c r="L4007" s="3"/>
      <c r="M4007" s="3" t="s">
        <v>131</v>
      </c>
      <c r="N4007" s="3" t="str">
        <f>CONCATENATE("02989570425")</f>
        <v>02989570425</v>
      </c>
      <c r="O4007" s="3" t="s">
        <v>4120</v>
      </c>
      <c r="P4007" s="3" t="s">
        <v>36</v>
      </c>
      <c r="Q4007" s="3"/>
      <c r="R4007" s="4">
        <v>45996</v>
      </c>
      <c r="S4007" s="3" t="s">
        <v>37</v>
      </c>
      <c r="T4007" s="3" t="s">
        <v>38</v>
      </c>
      <c r="U4007" s="3" t="s">
        <v>39</v>
      </c>
      <c r="V4007" s="3">
        <v>260.81</v>
      </c>
      <c r="W4007" s="3">
        <v>110.84</v>
      </c>
      <c r="X4007" s="3">
        <v>104.98</v>
      </c>
      <c r="Y4007" s="3">
        <v>44.99</v>
      </c>
    </row>
    <row r="4008" spans="1:25" ht="60.75" x14ac:dyDescent="0.25">
      <c r="A4008" s="3" t="s">
        <v>26</v>
      </c>
      <c r="B4008" s="3" t="s">
        <v>27</v>
      </c>
      <c r="C4008" s="3" t="s">
        <v>28</v>
      </c>
      <c r="D4008" s="3" t="s">
        <v>29</v>
      </c>
      <c r="E4008" s="3" t="s">
        <v>119</v>
      </c>
      <c r="F4008" s="3" t="s">
        <v>31</v>
      </c>
      <c r="G4008" s="3" t="s">
        <v>119</v>
      </c>
      <c r="H4008" s="3" t="s">
        <v>96</v>
      </c>
      <c r="I4008" s="3">
        <v>2025</v>
      </c>
      <c r="J4008" s="3" t="str">
        <f>CONCATENATE("54820107875")</f>
        <v>54820107875</v>
      </c>
      <c r="K4008" s="3" t="s">
        <v>33</v>
      </c>
      <c r="L4008" s="3"/>
      <c r="M4008" s="3" t="s">
        <v>131</v>
      </c>
      <c r="N4008" s="3" t="str">
        <f>CONCATENATE("BSCMRA66P17A454E")</f>
        <v>BSCMRA66P17A454E</v>
      </c>
      <c r="O4008" s="3" t="s">
        <v>4121</v>
      </c>
      <c r="P4008" s="3" t="s">
        <v>36</v>
      </c>
      <c r="Q4008" s="3"/>
      <c r="R4008" s="4">
        <v>45996</v>
      </c>
      <c r="S4008" s="3" t="s">
        <v>37</v>
      </c>
      <c r="T4008" s="3" t="s">
        <v>38</v>
      </c>
      <c r="U4008" s="3" t="s">
        <v>39</v>
      </c>
      <c r="V4008" s="5">
        <v>1005.29</v>
      </c>
      <c r="W4008" s="3">
        <v>427.25</v>
      </c>
      <c r="X4008" s="3">
        <v>404.63</v>
      </c>
      <c r="Y4008" s="3">
        <v>173.41</v>
      </c>
    </row>
    <row r="4009" spans="1:25" ht="60.75" x14ac:dyDescent="0.25">
      <c r="A4009" s="3" t="s">
        <v>26</v>
      </c>
      <c r="B4009" s="3" t="s">
        <v>27</v>
      </c>
      <c r="C4009" s="3" t="s">
        <v>28</v>
      </c>
      <c r="D4009" s="3" t="s">
        <v>50</v>
      </c>
      <c r="E4009" s="3" t="s">
        <v>107</v>
      </c>
      <c r="F4009" s="3" t="s">
        <v>52</v>
      </c>
      <c r="G4009" s="3" t="s">
        <v>107</v>
      </c>
      <c r="H4009" s="3" t="s">
        <v>48</v>
      </c>
      <c r="I4009" s="3">
        <v>2025</v>
      </c>
      <c r="J4009" s="3" t="str">
        <f>CONCATENATE("54820140678")</f>
        <v>54820140678</v>
      </c>
      <c r="K4009" s="3" t="s">
        <v>33</v>
      </c>
      <c r="L4009" s="3"/>
      <c r="M4009" s="3" t="s">
        <v>131</v>
      </c>
      <c r="N4009" s="3" t="str">
        <f>CONCATENATE("SMNMRS54B49I653D")</f>
        <v>SMNMRS54B49I653D</v>
      </c>
      <c r="O4009" s="3" t="s">
        <v>4122</v>
      </c>
      <c r="P4009" s="3" t="s">
        <v>36</v>
      </c>
      <c r="Q4009" s="3"/>
      <c r="R4009" s="4">
        <v>45996</v>
      </c>
      <c r="S4009" s="3" t="s">
        <v>37</v>
      </c>
      <c r="T4009" s="3" t="s">
        <v>38</v>
      </c>
      <c r="U4009" s="3" t="s">
        <v>39</v>
      </c>
      <c r="V4009" s="3">
        <v>163.51</v>
      </c>
      <c r="W4009" s="3">
        <v>69.489999999999995</v>
      </c>
      <c r="X4009" s="3">
        <v>65.81</v>
      </c>
      <c r="Y4009" s="3">
        <v>28.21</v>
      </c>
    </row>
    <row r="4010" spans="1:25" ht="36.75" x14ac:dyDescent="0.25">
      <c r="A4010" s="3" t="s">
        <v>26</v>
      </c>
      <c r="B4010" s="3" t="s">
        <v>27</v>
      </c>
      <c r="C4010" s="3" t="s">
        <v>28</v>
      </c>
      <c r="D4010" s="3" t="s">
        <v>50</v>
      </c>
      <c r="E4010" s="3" t="s">
        <v>51</v>
      </c>
      <c r="F4010" s="3" t="s">
        <v>52</v>
      </c>
      <c r="G4010" s="3" t="s">
        <v>51</v>
      </c>
      <c r="H4010" s="3" t="s">
        <v>48</v>
      </c>
      <c r="I4010" s="3">
        <v>2025</v>
      </c>
      <c r="J4010" s="3" t="str">
        <f>CONCATENATE("54820132329")</f>
        <v>54820132329</v>
      </c>
      <c r="K4010" s="3" t="s">
        <v>33</v>
      </c>
      <c r="L4010" s="3"/>
      <c r="M4010" s="3" t="s">
        <v>131</v>
      </c>
      <c r="N4010" s="3" t="str">
        <f>CONCATENATE("01490770425")</f>
        <v>01490770425</v>
      </c>
      <c r="O4010" s="3" t="s">
        <v>4123</v>
      </c>
      <c r="P4010" s="3" t="s">
        <v>36</v>
      </c>
      <c r="Q4010" s="3"/>
      <c r="R4010" s="4">
        <v>45996</v>
      </c>
      <c r="S4010" s="3" t="s">
        <v>37</v>
      </c>
      <c r="T4010" s="3" t="s">
        <v>38</v>
      </c>
      <c r="U4010" s="3" t="s">
        <v>39</v>
      </c>
      <c r="V4010" s="3">
        <v>321.58</v>
      </c>
      <c r="W4010" s="3">
        <v>136.66999999999999</v>
      </c>
      <c r="X4010" s="3">
        <v>129.44</v>
      </c>
      <c r="Y4010" s="3">
        <v>55.47</v>
      </c>
    </row>
    <row r="4011" spans="1:25" ht="72.75" x14ac:dyDescent="0.25">
      <c r="A4011" s="3" t="s">
        <v>26</v>
      </c>
      <c r="B4011" s="3" t="s">
        <v>27</v>
      </c>
      <c r="C4011" s="3" t="s">
        <v>28</v>
      </c>
      <c r="D4011" s="3" t="s">
        <v>29</v>
      </c>
      <c r="E4011" s="3" t="s">
        <v>186</v>
      </c>
      <c r="F4011" s="3" t="s">
        <v>31</v>
      </c>
      <c r="G4011" s="3" t="s">
        <v>186</v>
      </c>
      <c r="H4011" s="3" t="s">
        <v>45</v>
      </c>
      <c r="I4011" s="3">
        <v>2025</v>
      </c>
      <c r="J4011" s="3" t="str">
        <f>CONCATENATE("54820030622")</f>
        <v>54820030622</v>
      </c>
      <c r="K4011" s="3" t="s">
        <v>33</v>
      </c>
      <c r="L4011" s="3"/>
      <c r="M4011" s="3" t="s">
        <v>131</v>
      </c>
      <c r="N4011" s="3" t="str">
        <f>CONCATENATE("MRNDRN52S26A740P")</f>
        <v>MRNDRN52S26A740P</v>
      </c>
      <c r="O4011" s="3" t="s">
        <v>4124</v>
      </c>
      <c r="P4011" s="3" t="s">
        <v>36</v>
      </c>
      <c r="Q4011" s="3"/>
      <c r="R4011" s="4">
        <v>45996</v>
      </c>
      <c r="S4011" s="3" t="s">
        <v>37</v>
      </c>
      <c r="T4011" s="3" t="s">
        <v>38</v>
      </c>
      <c r="U4011" s="3" t="s">
        <v>39</v>
      </c>
      <c r="V4011" s="3">
        <v>646.61</v>
      </c>
      <c r="W4011" s="3">
        <v>274.81</v>
      </c>
      <c r="X4011" s="3">
        <v>260.26</v>
      </c>
      <c r="Y4011" s="3">
        <v>111.54</v>
      </c>
    </row>
    <row r="4012" spans="1:25" ht="60.75" x14ac:dyDescent="0.25">
      <c r="A4012" s="3" t="s">
        <v>26</v>
      </c>
      <c r="B4012" s="3" t="s">
        <v>27</v>
      </c>
      <c r="C4012" s="3" t="s">
        <v>28</v>
      </c>
      <c r="D4012" s="3" t="s">
        <v>29</v>
      </c>
      <c r="E4012" s="3" t="s">
        <v>1975</v>
      </c>
      <c r="F4012" s="3" t="s">
        <v>31</v>
      </c>
      <c r="G4012" s="3" t="s">
        <v>1975</v>
      </c>
      <c r="H4012" s="3" t="s">
        <v>32</v>
      </c>
      <c r="I4012" s="3">
        <v>2025</v>
      </c>
      <c r="J4012" s="3" t="str">
        <f>CONCATENATE("54820174818")</f>
        <v>54820174818</v>
      </c>
      <c r="K4012" s="3" t="s">
        <v>33</v>
      </c>
      <c r="L4012" s="3"/>
      <c r="M4012" s="3" t="s">
        <v>131</v>
      </c>
      <c r="N4012" s="3" t="str">
        <f>CONCATENATE("SGLLBR63S12I156K")</f>
        <v>SGLLBR63S12I156K</v>
      </c>
      <c r="O4012" s="3" t="s">
        <v>4125</v>
      </c>
      <c r="P4012" s="3" t="s">
        <v>36</v>
      </c>
      <c r="Q4012" s="3"/>
      <c r="R4012" s="4">
        <v>45996</v>
      </c>
      <c r="S4012" s="3" t="s">
        <v>37</v>
      </c>
      <c r="T4012" s="3" t="s">
        <v>38</v>
      </c>
      <c r="U4012" s="3" t="s">
        <v>39</v>
      </c>
      <c r="V4012" s="3">
        <v>79.56</v>
      </c>
      <c r="W4012" s="3">
        <v>33.81</v>
      </c>
      <c r="X4012" s="3">
        <v>32.020000000000003</v>
      </c>
      <c r="Y4012" s="3">
        <v>13.73</v>
      </c>
    </row>
    <row r="4013" spans="1:25" ht="60.75" x14ac:dyDescent="0.25">
      <c r="A4013" s="3" t="s">
        <v>26</v>
      </c>
      <c r="B4013" s="3" t="s">
        <v>27</v>
      </c>
      <c r="C4013" s="3" t="s">
        <v>28</v>
      </c>
      <c r="D4013" s="3" t="s">
        <v>91</v>
      </c>
      <c r="E4013" s="3" t="s">
        <v>92</v>
      </c>
      <c r="F4013" s="3" t="s">
        <v>93</v>
      </c>
      <c r="G4013" s="3" t="s">
        <v>92</v>
      </c>
      <c r="H4013" s="3" t="s">
        <v>48</v>
      </c>
      <c r="I4013" s="3">
        <v>2025</v>
      </c>
      <c r="J4013" s="3" t="str">
        <f>CONCATENATE("54820007547")</f>
        <v>54820007547</v>
      </c>
      <c r="K4013" s="3" t="s">
        <v>33</v>
      </c>
      <c r="L4013" s="3"/>
      <c r="M4013" s="3" t="s">
        <v>131</v>
      </c>
      <c r="N4013" s="3" t="str">
        <f>CONCATENATE("MLNLCN43C02D451N")</f>
        <v>MLNLCN43C02D451N</v>
      </c>
      <c r="O4013" s="3" t="s">
        <v>4126</v>
      </c>
      <c r="P4013" s="3" t="s">
        <v>36</v>
      </c>
      <c r="Q4013" s="3"/>
      <c r="R4013" s="4">
        <v>45996</v>
      </c>
      <c r="S4013" s="3" t="s">
        <v>37</v>
      </c>
      <c r="T4013" s="3" t="s">
        <v>38</v>
      </c>
      <c r="U4013" s="3" t="s">
        <v>39</v>
      </c>
      <c r="V4013" s="3">
        <v>481.5</v>
      </c>
      <c r="W4013" s="3">
        <v>204.64</v>
      </c>
      <c r="X4013" s="3">
        <v>193.8</v>
      </c>
      <c r="Y4013" s="3">
        <v>83.06</v>
      </c>
    </row>
    <row r="4014" spans="1:25" ht="72.75" x14ac:dyDescent="0.25">
      <c r="A4014" s="3" t="s">
        <v>26</v>
      </c>
      <c r="B4014" s="3" t="s">
        <v>27</v>
      </c>
      <c r="C4014" s="3" t="s">
        <v>28</v>
      </c>
      <c r="D4014" s="3" t="s">
        <v>50</v>
      </c>
      <c r="E4014" s="3" t="s">
        <v>60</v>
      </c>
      <c r="F4014" s="3" t="s">
        <v>52</v>
      </c>
      <c r="G4014" s="3" t="s">
        <v>60</v>
      </c>
      <c r="H4014" s="3" t="s">
        <v>45</v>
      </c>
      <c r="I4014" s="3">
        <v>2025</v>
      </c>
      <c r="J4014" s="3" t="str">
        <f>CONCATENATE("54820178520")</f>
        <v>54820178520</v>
      </c>
      <c r="K4014" s="3" t="s">
        <v>33</v>
      </c>
      <c r="L4014" s="3"/>
      <c r="M4014" s="3" t="s">
        <v>131</v>
      </c>
      <c r="N4014" s="3" t="str">
        <f>CONCATENATE("DMNRFL63L46D791U")</f>
        <v>DMNRFL63L46D791U</v>
      </c>
      <c r="O4014" s="3" t="s">
        <v>4127</v>
      </c>
      <c r="P4014" s="3" t="s">
        <v>36</v>
      </c>
      <c r="Q4014" s="3"/>
      <c r="R4014" s="4">
        <v>45996</v>
      </c>
      <c r="S4014" s="3" t="s">
        <v>37</v>
      </c>
      <c r="T4014" s="3" t="s">
        <v>38</v>
      </c>
      <c r="U4014" s="3" t="s">
        <v>39</v>
      </c>
      <c r="V4014" s="3">
        <v>64.31</v>
      </c>
      <c r="W4014" s="3">
        <v>27.33</v>
      </c>
      <c r="X4014" s="3">
        <v>25.88</v>
      </c>
      <c r="Y4014" s="3">
        <v>11.1</v>
      </c>
    </row>
    <row r="4015" spans="1:25" ht="60.75" x14ac:dyDescent="0.25">
      <c r="A4015" s="3" t="s">
        <v>26</v>
      </c>
      <c r="B4015" s="3" t="s">
        <v>27</v>
      </c>
      <c r="C4015" s="3" t="s">
        <v>28</v>
      </c>
      <c r="D4015" s="3" t="s">
        <v>104</v>
      </c>
      <c r="E4015" s="3" t="s">
        <v>691</v>
      </c>
      <c r="F4015" s="3" t="s">
        <v>104</v>
      </c>
      <c r="G4015" s="3" t="s">
        <v>691</v>
      </c>
      <c r="H4015" s="3" t="s">
        <v>48</v>
      </c>
      <c r="I4015" s="3">
        <v>2025</v>
      </c>
      <c r="J4015" s="3" t="str">
        <f>CONCATENATE("54820029277")</f>
        <v>54820029277</v>
      </c>
      <c r="K4015" s="3" t="s">
        <v>33</v>
      </c>
      <c r="L4015" s="3"/>
      <c r="M4015" s="3" t="s">
        <v>131</v>
      </c>
      <c r="N4015" s="3" t="str">
        <f>CONCATENATE("BLDMRA49R25I932M")</f>
        <v>BLDMRA49R25I932M</v>
      </c>
      <c r="O4015" s="3" t="s">
        <v>4128</v>
      </c>
      <c r="P4015" s="3" t="s">
        <v>36</v>
      </c>
      <c r="Q4015" s="3"/>
      <c r="R4015" s="4">
        <v>45996</v>
      </c>
      <c r="S4015" s="3" t="s">
        <v>37</v>
      </c>
      <c r="T4015" s="3" t="s">
        <v>38</v>
      </c>
      <c r="U4015" s="3" t="s">
        <v>39</v>
      </c>
      <c r="V4015" s="3">
        <v>255.27</v>
      </c>
      <c r="W4015" s="3">
        <v>108.49</v>
      </c>
      <c r="X4015" s="3">
        <v>102.75</v>
      </c>
      <c r="Y4015" s="3">
        <v>44.03</v>
      </c>
    </row>
    <row r="4016" spans="1:25" ht="60.75" x14ac:dyDescent="0.25">
      <c r="A4016" s="3" t="s">
        <v>26</v>
      </c>
      <c r="B4016" s="3" t="s">
        <v>27</v>
      </c>
      <c r="C4016" s="3" t="s">
        <v>28</v>
      </c>
      <c r="D4016" s="3" t="s">
        <v>50</v>
      </c>
      <c r="E4016" s="3" t="s">
        <v>173</v>
      </c>
      <c r="F4016" s="3" t="s">
        <v>52</v>
      </c>
      <c r="G4016" s="3" t="s">
        <v>173</v>
      </c>
      <c r="H4016" s="3" t="s">
        <v>45</v>
      </c>
      <c r="I4016" s="3">
        <v>2025</v>
      </c>
      <c r="J4016" s="3" t="str">
        <f>CONCATENATE("54820042197")</f>
        <v>54820042197</v>
      </c>
      <c r="K4016" s="3" t="s">
        <v>33</v>
      </c>
      <c r="L4016" s="3"/>
      <c r="M4016" s="3" t="s">
        <v>131</v>
      </c>
      <c r="N4016" s="3" t="str">
        <f>CONCATENATE("PCCRTI62S42E785Z")</f>
        <v>PCCRTI62S42E785Z</v>
      </c>
      <c r="O4016" s="3" t="s">
        <v>4129</v>
      </c>
      <c r="P4016" s="3" t="s">
        <v>36</v>
      </c>
      <c r="Q4016" s="3"/>
      <c r="R4016" s="4">
        <v>45996</v>
      </c>
      <c r="S4016" s="3" t="s">
        <v>37</v>
      </c>
      <c r="T4016" s="3" t="s">
        <v>38</v>
      </c>
      <c r="U4016" s="3" t="s">
        <v>39</v>
      </c>
      <c r="V4016" s="3">
        <v>67.5</v>
      </c>
      <c r="W4016" s="3">
        <v>28.69</v>
      </c>
      <c r="X4016" s="3">
        <v>27.17</v>
      </c>
      <c r="Y4016" s="3">
        <v>11.64</v>
      </c>
    </row>
    <row r="4017" spans="1:25" ht="60.75" x14ac:dyDescent="0.25">
      <c r="A4017" s="3" t="s">
        <v>26</v>
      </c>
      <c r="B4017" s="3" t="s">
        <v>27</v>
      </c>
      <c r="C4017" s="3" t="s">
        <v>28</v>
      </c>
      <c r="D4017" s="3" t="s">
        <v>29</v>
      </c>
      <c r="E4017" s="3" t="s">
        <v>136</v>
      </c>
      <c r="F4017" s="3" t="s">
        <v>31</v>
      </c>
      <c r="G4017" s="3" t="s">
        <v>136</v>
      </c>
      <c r="H4017" s="3" t="s">
        <v>48</v>
      </c>
      <c r="I4017" s="3">
        <v>2025</v>
      </c>
      <c r="J4017" s="3" t="str">
        <f>CONCATENATE("54820219845")</f>
        <v>54820219845</v>
      </c>
      <c r="K4017" s="3" t="s">
        <v>33</v>
      </c>
      <c r="L4017" s="3"/>
      <c r="M4017" s="3" t="s">
        <v>131</v>
      </c>
      <c r="N4017" s="3" t="str">
        <f>CONCATENATE("TPPVTR37C04I461F")</f>
        <v>TPPVTR37C04I461F</v>
      </c>
      <c r="O4017" s="3" t="s">
        <v>4130</v>
      </c>
      <c r="P4017" s="3" t="s">
        <v>36</v>
      </c>
      <c r="Q4017" s="3"/>
      <c r="R4017" s="4">
        <v>45996</v>
      </c>
      <c r="S4017" s="3" t="s">
        <v>37</v>
      </c>
      <c r="T4017" s="3" t="s">
        <v>38</v>
      </c>
      <c r="U4017" s="3" t="s">
        <v>39</v>
      </c>
      <c r="V4017" s="3">
        <v>137.24</v>
      </c>
      <c r="W4017" s="3">
        <v>58.33</v>
      </c>
      <c r="X4017" s="3">
        <v>55.24</v>
      </c>
      <c r="Y4017" s="3">
        <v>23.67</v>
      </c>
    </row>
    <row r="4018" spans="1:25" ht="60.75" x14ac:dyDescent="0.25">
      <c r="A4018" s="3" t="s">
        <v>26</v>
      </c>
      <c r="B4018" s="3" t="s">
        <v>27</v>
      </c>
      <c r="C4018" s="3" t="s">
        <v>28</v>
      </c>
      <c r="D4018" s="3" t="s">
        <v>29</v>
      </c>
      <c r="E4018" s="3" t="s">
        <v>228</v>
      </c>
      <c r="F4018" s="3" t="s">
        <v>31</v>
      </c>
      <c r="G4018" s="3" t="s">
        <v>228</v>
      </c>
      <c r="H4018" s="3" t="s">
        <v>45</v>
      </c>
      <c r="I4018" s="3">
        <v>2025</v>
      </c>
      <c r="J4018" s="3" t="str">
        <f>CONCATENATE("54820200217")</f>
        <v>54820200217</v>
      </c>
      <c r="K4018" s="3" t="s">
        <v>33</v>
      </c>
      <c r="L4018" s="3"/>
      <c r="M4018" s="3" t="s">
        <v>131</v>
      </c>
      <c r="N4018" s="3" t="str">
        <f>CONCATENATE("CCCLCU96T14D749O")</f>
        <v>CCCLCU96T14D749O</v>
      </c>
      <c r="O4018" s="3" t="s">
        <v>4131</v>
      </c>
      <c r="P4018" s="3" t="s">
        <v>36</v>
      </c>
      <c r="Q4018" s="3"/>
      <c r="R4018" s="4">
        <v>45996</v>
      </c>
      <c r="S4018" s="3" t="s">
        <v>37</v>
      </c>
      <c r="T4018" s="3" t="s">
        <v>38</v>
      </c>
      <c r="U4018" s="3" t="s">
        <v>39</v>
      </c>
      <c r="V4018" s="3">
        <v>781.06</v>
      </c>
      <c r="W4018" s="3">
        <v>331.95</v>
      </c>
      <c r="X4018" s="3">
        <v>314.38</v>
      </c>
      <c r="Y4018" s="3">
        <v>134.72999999999999</v>
      </c>
    </row>
    <row r="4019" spans="1:25" ht="60.75" x14ac:dyDescent="0.25">
      <c r="A4019" s="3" t="s">
        <v>26</v>
      </c>
      <c r="B4019" s="3" t="s">
        <v>27</v>
      </c>
      <c r="C4019" s="3" t="s">
        <v>28</v>
      </c>
      <c r="D4019" s="3" t="s">
        <v>50</v>
      </c>
      <c r="E4019" s="3" t="s">
        <v>60</v>
      </c>
      <c r="F4019" s="3" t="s">
        <v>52</v>
      </c>
      <c r="G4019" s="3" t="s">
        <v>60</v>
      </c>
      <c r="H4019" s="3" t="s">
        <v>45</v>
      </c>
      <c r="I4019" s="3">
        <v>2025</v>
      </c>
      <c r="J4019" s="3" t="str">
        <f>CONCATENATE("54820262746")</f>
        <v>54820262746</v>
      </c>
      <c r="K4019" s="3" t="s">
        <v>33</v>
      </c>
      <c r="L4019" s="3"/>
      <c r="M4019" s="3" t="s">
        <v>131</v>
      </c>
      <c r="N4019" s="3" t="str">
        <f>CONCATENATE("CMBMRT77M60B352T")</f>
        <v>CMBMRT77M60B352T</v>
      </c>
      <c r="O4019" s="3" t="s">
        <v>71</v>
      </c>
      <c r="P4019" s="3" t="s">
        <v>36</v>
      </c>
      <c r="Q4019" s="3"/>
      <c r="R4019" s="4">
        <v>45996</v>
      </c>
      <c r="S4019" s="3" t="s">
        <v>37</v>
      </c>
      <c r="T4019" s="3" t="s">
        <v>38</v>
      </c>
      <c r="U4019" s="3" t="s">
        <v>39</v>
      </c>
      <c r="V4019" s="5">
        <v>1029.26</v>
      </c>
      <c r="W4019" s="3">
        <v>437.44</v>
      </c>
      <c r="X4019" s="3">
        <v>414.28</v>
      </c>
      <c r="Y4019" s="3">
        <v>177.54</v>
      </c>
    </row>
    <row r="4020" spans="1:25" ht="60.75" x14ac:dyDescent="0.25">
      <c r="A4020" s="3" t="s">
        <v>26</v>
      </c>
      <c r="B4020" s="3" t="s">
        <v>27</v>
      </c>
      <c r="C4020" s="3" t="s">
        <v>28</v>
      </c>
      <c r="D4020" s="3" t="s">
        <v>29</v>
      </c>
      <c r="E4020" s="3" t="s">
        <v>101</v>
      </c>
      <c r="F4020" s="3" t="s">
        <v>31</v>
      </c>
      <c r="G4020" s="3" t="s">
        <v>101</v>
      </c>
      <c r="H4020" s="3" t="s">
        <v>32</v>
      </c>
      <c r="I4020" s="3">
        <v>2025</v>
      </c>
      <c r="J4020" s="3" t="str">
        <f>CONCATENATE("54820271937")</f>
        <v>54820271937</v>
      </c>
      <c r="K4020" s="3" t="s">
        <v>33</v>
      </c>
      <c r="L4020" s="3"/>
      <c r="M4020" s="3" t="s">
        <v>131</v>
      </c>
      <c r="N4020" s="3" t="str">
        <f>CONCATENATE("RNZMRA68E67B474P")</f>
        <v>RNZMRA68E67B474P</v>
      </c>
      <c r="O4020" s="3" t="s">
        <v>4132</v>
      </c>
      <c r="P4020" s="3" t="s">
        <v>36</v>
      </c>
      <c r="Q4020" s="3"/>
      <c r="R4020" s="4">
        <v>45996</v>
      </c>
      <c r="S4020" s="3" t="s">
        <v>37</v>
      </c>
      <c r="T4020" s="3" t="s">
        <v>38</v>
      </c>
      <c r="U4020" s="3" t="s">
        <v>39</v>
      </c>
      <c r="V4020" s="3">
        <v>132.5</v>
      </c>
      <c r="W4020" s="3">
        <v>56.31</v>
      </c>
      <c r="X4020" s="3">
        <v>53.33</v>
      </c>
      <c r="Y4020" s="3">
        <v>22.86</v>
      </c>
    </row>
    <row r="4021" spans="1:25" ht="60.75" x14ac:dyDescent="0.25">
      <c r="A4021" s="3" t="s">
        <v>26</v>
      </c>
      <c r="B4021" s="3" t="s">
        <v>27</v>
      </c>
      <c r="C4021" s="3" t="s">
        <v>28</v>
      </c>
      <c r="D4021" s="3" t="s">
        <v>29</v>
      </c>
      <c r="E4021" s="3" t="s">
        <v>56</v>
      </c>
      <c r="F4021" s="3" t="s">
        <v>31</v>
      </c>
      <c r="G4021" s="3" t="s">
        <v>56</v>
      </c>
      <c r="H4021" s="3" t="s">
        <v>32</v>
      </c>
      <c r="I4021" s="3">
        <v>2025</v>
      </c>
      <c r="J4021" s="3" t="str">
        <f>CONCATENATE("54820179106")</f>
        <v>54820179106</v>
      </c>
      <c r="K4021" s="3" t="s">
        <v>33</v>
      </c>
      <c r="L4021" s="3"/>
      <c r="M4021" s="3" t="s">
        <v>131</v>
      </c>
      <c r="N4021" s="3" t="str">
        <f>CONCATENATE("LBNLRT75S26B474K")</f>
        <v>LBNLRT75S26B474K</v>
      </c>
      <c r="O4021" s="3" t="s">
        <v>4133</v>
      </c>
      <c r="P4021" s="3" t="s">
        <v>36</v>
      </c>
      <c r="Q4021" s="3"/>
      <c r="R4021" s="4">
        <v>45996</v>
      </c>
      <c r="S4021" s="3" t="s">
        <v>37</v>
      </c>
      <c r="T4021" s="3" t="s">
        <v>38</v>
      </c>
      <c r="U4021" s="3" t="s">
        <v>39</v>
      </c>
      <c r="V4021" s="3">
        <v>596.41</v>
      </c>
      <c r="W4021" s="3">
        <v>253.47</v>
      </c>
      <c r="X4021" s="3">
        <v>240.06</v>
      </c>
      <c r="Y4021" s="3">
        <v>102.88</v>
      </c>
    </row>
    <row r="4022" spans="1:25" ht="60.75" x14ac:dyDescent="0.25">
      <c r="A4022" s="3" t="s">
        <v>26</v>
      </c>
      <c r="B4022" s="3" t="s">
        <v>27</v>
      </c>
      <c r="C4022" s="3" t="s">
        <v>28</v>
      </c>
      <c r="D4022" s="3" t="s">
        <v>50</v>
      </c>
      <c r="E4022" s="3" t="s">
        <v>147</v>
      </c>
      <c r="F4022" s="3" t="s">
        <v>52</v>
      </c>
      <c r="G4022" s="3" t="s">
        <v>147</v>
      </c>
      <c r="H4022" s="3" t="s">
        <v>45</v>
      </c>
      <c r="I4022" s="3">
        <v>2025</v>
      </c>
      <c r="J4022" s="3" t="str">
        <f>CONCATENATE("54820148903")</f>
        <v>54820148903</v>
      </c>
      <c r="K4022" s="3" t="s">
        <v>33</v>
      </c>
      <c r="L4022" s="3"/>
      <c r="M4022" s="3" t="s">
        <v>131</v>
      </c>
      <c r="N4022" s="3" t="str">
        <f>CONCATENATE("FDDSFN80R29L500M")</f>
        <v>FDDSFN80R29L500M</v>
      </c>
      <c r="O4022" s="3" t="s">
        <v>4134</v>
      </c>
      <c r="P4022" s="3" t="s">
        <v>36</v>
      </c>
      <c r="Q4022" s="3"/>
      <c r="R4022" s="4">
        <v>45996</v>
      </c>
      <c r="S4022" s="3" t="s">
        <v>37</v>
      </c>
      <c r="T4022" s="3" t="s">
        <v>38</v>
      </c>
      <c r="U4022" s="3" t="s">
        <v>39</v>
      </c>
      <c r="V4022" s="3">
        <v>406.63</v>
      </c>
      <c r="W4022" s="3">
        <v>172.82</v>
      </c>
      <c r="X4022" s="3">
        <v>163.66999999999999</v>
      </c>
      <c r="Y4022" s="3">
        <v>70.14</v>
      </c>
    </row>
    <row r="4023" spans="1:25" ht="60.75" x14ac:dyDescent="0.25">
      <c r="A4023" s="3" t="s">
        <v>26</v>
      </c>
      <c r="B4023" s="3" t="s">
        <v>27</v>
      </c>
      <c r="C4023" s="3" t="s">
        <v>28</v>
      </c>
      <c r="D4023" s="3" t="s">
        <v>40</v>
      </c>
      <c r="E4023" s="3" t="s">
        <v>44</v>
      </c>
      <c r="F4023" s="3" t="s">
        <v>42</v>
      </c>
      <c r="G4023" s="3" t="s">
        <v>44</v>
      </c>
      <c r="H4023" s="3" t="s">
        <v>32</v>
      </c>
      <c r="I4023" s="3">
        <v>2025</v>
      </c>
      <c r="J4023" s="3" t="str">
        <f>CONCATENATE("54820051404")</f>
        <v>54820051404</v>
      </c>
      <c r="K4023" s="3" t="s">
        <v>33</v>
      </c>
      <c r="L4023" s="3"/>
      <c r="M4023" s="3" t="s">
        <v>131</v>
      </c>
      <c r="N4023" s="3" t="str">
        <f>CONCATENATE("BRTPLG85P17G674I")</f>
        <v>BRTPLG85P17G674I</v>
      </c>
      <c r="O4023" s="3" t="s">
        <v>4135</v>
      </c>
      <c r="P4023" s="3" t="s">
        <v>36</v>
      </c>
      <c r="Q4023" s="3"/>
      <c r="R4023" s="4">
        <v>45996</v>
      </c>
      <c r="S4023" s="3" t="s">
        <v>37</v>
      </c>
      <c r="T4023" s="3" t="s">
        <v>38</v>
      </c>
      <c r="U4023" s="3" t="s">
        <v>39</v>
      </c>
      <c r="V4023" s="3">
        <v>642.53</v>
      </c>
      <c r="W4023" s="3">
        <v>273.08</v>
      </c>
      <c r="X4023" s="3">
        <v>258.62</v>
      </c>
      <c r="Y4023" s="3">
        <v>110.83</v>
      </c>
    </row>
    <row r="4024" spans="1:25" ht="60.75" x14ac:dyDescent="0.25">
      <c r="A4024" s="3" t="s">
        <v>26</v>
      </c>
      <c r="B4024" s="3" t="s">
        <v>27</v>
      </c>
      <c r="C4024" s="3" t="s">
        <v>28</v>
      </c>
      <c r="D4024" s="3" t="s">
        <v>50</v>
      </c>
      <c r="E4024" s="3" t="s">
        <v>60</v>
      </c>
      <c r="F4024" s="3" t="s">
        <v>52</v>
      </c>
      <c r="G4024" s="3" t="s">
        <v>60</v>
      </c>
      <c r="H4024" s="3" t="s">
        <v>45</v>
      </c>
      <c r="I4024" s="3">
        <v>2025</v>
      </c>
      <c r="J4024" s="3" t="str">
        <f>CONCATENATE("54820086111")</f>
        <v>54820086111</v>
      </c>
      <c r="K4024" s="3" t="s">
        <v>33</v>
      </c>
      <c r="L4024" s="3"/>
      <c r="M4024" s="3" t="s">
        <v>131</v>
      </c>
      <c r="N4024" s="3" t="str">
        <f>CONCATENATE("GLLNNA52H69A552P")</f>
        <v>GLLNNA52H69A552P</v>
      </c>
      <c r="O4024" s="3" t="s">
        <v>4136</v>
      </c>
      <c r="P4024" s="3" t="s">
        <v>36</v>
      </c>
      <c r="Q4024" s="3"/>
      <c r="R4024" s="4">
        <v>45996</v>
      </c>
      <c r="S4024" s="3" t="s">
        <v>37</v>
      </c>
      <c r="T4024" s="3" t="s">
        <v>38</v>
      </c>
      <c r="U4024" s="3" t="s">
        <v>39</v>
      </c>
      <c r="V4024" s="3">
        <v>145.66</v>
      </c>
      <c r="W4024" s="3">
        <v>61.91</v>
      </c>
      <c r="X4024" s="3">
        <v>58.63</v>
      </c>
      <c r="Y4024" s="3">
        <v>25.12</v>
      </c>
    </row>
    <row r="4025" spans="1:25" ht="60.75" x14ac:dyDescent="0.25">
      <c r="A4025" s="3" t="s">
        <v>26</v>
      </c>
      <c r="B4025" s="3" t="s">
        <v>27</v>
      </c>
      <c r="C4025" s="3" t="s">
        <v>28</v>
      </c>
      <c r="D4025" s="3" t="s">
        <v>29</v>
      </c>
      <c r="E4025" s="3" t="s">
        <v>136</v>
      </c>
      <c r="F4025" s="3" t="s">
        <v>31</v>
      </c>
      <c r="G4025" s="3" t="s">
        <v>136</v>
      </c>
      <c r="H4025" s="3" t="s">
        <v>48</v>
      </c>
      <c r="I4025" s="3">
        <v>2025</v>
      </c>
      <c r="J4025" s="3" t="str">
        <f>CONCATENATE("54820139498")</f>
        <v>54820139498</v>
      </c>
      <c r="K4025" s="3" t="s">
        <v>33</v>
      </c>
      <c r="L4025" s="3"/>
      <c r="M4025" s="3" t="s">
        <v>131</v>
      </c>
      <c r="N4025" s="3" t="str">
        <f>CONCATENATE("PLDLCU73M03I461V")</f>
        <v>PLDLCU73M03I461V</v>
      </c>
      <c r="O4025" s="3" t="s">
        <v>4137</v>
      </c>
      <c r="P4025" s="3" t="s">
        <v>36</v>
      </c>
      <c r="Q4025" s="3"/>
      <c r="R4025" s="4">
        <v>45996</v>
      </c>
      <c r="S4025" s="3" t="s">
        <v>37</v>
      </c>
      <c r="T4025" s="3" t="s">
        <v>38</v>
      </c>
      <c r="U4025" s="3" t="s">
        <v>39</v>
      </c>
      <c r="V4025" s="3">
        <v>155.75</v>
      </c>
      <c r="W4025" s="3">
        <v>66.19</v>
      </c>
      <c r="X4025" s="3">
        <v>62.69</v>
      </c>
      <c r="Y4025" s="3">
        <v>26.87</v>
      </c>
    </row>
    <row r="4026" spans="1:25" ht="60.75" x14ac:dyDescent="0.25">
      <c r="A4026" s="3" t="s">
        <v>26</v>
      </c>
      <c r="B4026" s="3" t="s">
        <v>27</v>
      </c>
      <c r="C4026" s="3" t="s">
        <v>28</v>
      </c>
      <c r="D4026" s="3" t="s">
        <v>50</v>
      </c>
      <c r="E4026" s="3" t="s">
        <v>173</v>
      </c>
      <c r="F4026" s="3" t="s">
        <v>52</v>
      </c>
      <c r="G4026" s="3" t="s">
        <v>173</v>
      </c>
      <c r="H4026" s="3" t="s">
        <v>45</v>
      </c>
      <c r="I4026" s="3">
        <v>2025</v>
      </c>
      <c r="J4026" s="3" t="str">
        <f>CONCATENATE("54820132964")</f>
        <v>54820132964</v>
      </c>
      <c r="K4026" s="3" t="s">
        <v>33</v>
      </c>
      <c r="L4026" s="3"/>
      <c r="M4026" s="3" t="s">
        <v>131</v>
      </c>
      <c r="N4026" s="3" t="str">
        <f>CONCATENATE("TNOTZN72S43L219R")</f>
        <v>TNOTZN72S43L219R</v>
      </c>
      <c r="O4026" s="3" t="s">
        <v>4138</v>
      </c>
      <c r="P4026" s="3" t="s">
        <v>36</v>
      </c>
      <c r="Q4026" s="3"/>
      <c r="R4026" s="4">
        <v>45996</v>
      </c>
      <c r="S4026" s="3" t="s">
        <v>37</v>
      </c>
      <c r="T4026" s="3" t="s">
        <v>38</v>
      </c>
      <c r="U4026" s="3" t="s">
        <v>39</v>
      </c>
      <c r="V4026" s="3">
        <v>74.599999999999994</v>
      </c>
      <c r="W4026" s="3">
        <v>31.71</v>
      </c>
      <c r="X4026" s="3">
        <v>30.03</v>
      </c>
      <c r="Y4026" s="3">
        <v>12.86</v>
      </c>
    </row>
    <row r="4027" spans="1:25" ht="60.75" x14ac:dyDescent="0.25">
      <c r="A4027" s="3" t="s">
        <v>26</v>
      </c>
      <c r="B4027" s="3" t="s">
        <v>27</v>
      </c>
      <c r="C4027" s="3" t="s">
        <v>28</v>
      </c>
      <c r="D4027" s="3" t="s">
        <v>29</v>
      </c>
      <c r="E4027" s="3" t="s">
        <v>47</v>
      </c>
      <c r="F4027" s="3" t="s">
        <v>31</v>
      </c>
      <c r="G4027" s="3" t="s">
        <v>47</v>
      </c>
      <c r="H4027" s="3" t="s">
        <v>48</v>
      </c>
      <c r="I4027" s="3">
        <v>2025</v>
      </c>
      <c r="J4027" s="3" t="str">
        <f>CONCATENATE("54820219035")</f>
        <v>54820219035</v>
      </c>
      <c r="K4027" s="3" t="s">
        <v>33</v>
      </c>
      <c r="L4027" s="3"/>
      <c r="M4027" s="3" t="s">
        <v>131</v>
      </c>
      <c r="N4027" s="3" t="str">
        <f>CONCATENATE("ZPPGTT48R13D429S")</f>
        <v>ZPPGTT48R13D429S</v>
      </c>
      <c r="O4027" s="3" t="s">
        <v>4139</v>
      </c>
      <c r="P4027" s="3" t="s">
        <v>36</v>
      </c>
      <c r="Q4027" s="3"/>
      <c r="R4027" s="4">
        <v>45996</v>
      </c>
      <c r="S4027" s="3" t="s">
        <v>37</v>
      </c>
      <c r="T4027" s="3" t="s">
        <v>38</v>
      </c>
      <c r="U4027" s="3" t="s">
        <v>39</v>
      </c>
      <c r="V4027" s="3">
        <v>71.290000000000006</v>
      </c>
      <c r="W4027" s="3">
        <v>30.3</v>
      </c>
      <c r="X4027" s="3">
        <v>28.69</v>
      </c>
      <c r="Y4027" s="3">
        <v>12.3</v>
      </c>
    </row>
    <row r="4028" spans="1:25" ht="60.75" x14ac:dyDescent="0.25">
      <c r="A4028" s="3" t="s">
        <v>26</v>
      </c>
      <c r="B4028" s="3" t="s">
        <v>27</v>
      </c>
      <c r="C4028" s="3" t="s">
        <v>28</v>
      </c>
      <c r="D4028" s="3" t="s">
        <v>50</v>
      </c>
      <c r="E4028" s="3" t="s">
        <v>252</v>
      </c>
      <c r="F4028" s="3" t="s">
        <v>52</v>
      </c>
      <c r="G4028" s="3" t="s">
        <v>252</v>
      </c>
      <c r="H4028" s="3" t="s">
        <v>45</v>
      </c>
      <c r="I4028" s="3">
        <v>2025</v>
      </c>
      <c r="J4028" s="3" t="str">
        <f>CONCATENATE("54820209622")</f>
        <v>54820209622</v>
      </c>
      <c r="K4028" s="3" t="s">
        <v>33</v>
      </c>
      <c r="L4028" s="3"/>
      <c r="M4028" s="3" t="s">
        <v>131</v>
      </c>
      <c r="N4028" s="3" t="str">
        <f>CONCATENATE("TNTLGN58L31F497S")</f>
        <v>TNTLGN58L31F497S</v>
      </c>
      <c r="O4028" s="3" t="s">
        <v>4140</v>
      </c>
      <c r="P4028" s="3" t="s">
        <v>36</v>
      </c>
      <c r="Q4028" s="3"/>
      <c r="R4028" s="4">
        <v>45996</v>
      </c>
      <c r="S4028" s="3" t="s">
        <v>37</v>
      </c>
      <c r="T4028" s="3" t="s">
        <v>38</v>
      </c>
      <c r="U4028" s="3" t="s">
        <v>39</v>
      </c>
      <c r="V4028" s="3">
        <v>48.01</v>
      </c>
      <c r="W4028" s="3">
        <v>20.399999999999999</v>
      </c>
      <c r="X4028" s="3">
        <v>19.32</v>
      </c>
      <c r="Y4028" s="3">
        <v>8.2899999999999991</v>
      </c>
    </row>
    <row r="4029" spans="1:25" ht="60.75" x14ac:dyDescent="0.25">
      <c r="A4029" s="3" t="s">
        <v>26</v>
      </c>
      <c r="B4029" s="3" t="s">
        <v>27</v>
      </c>
      <c r="C4029" s="3" t="s">
        <v>28</v>
      </c>
      <c r="D4029" s="3" t="s">
        <v>104</v>
      </c>
      <c r="E4029" s="3" t="s">
        <v>141</v>
      </c>
      <c r="F4029" s="3" t="s">
        <v>104</v>
      </c>
      <c r="G4029" s="3" t="s">
        <v>141</v>
      </c>
      <c r="H4029" s="3" t="s">
        <v>96</v>
      </c>
      <c r="I4029" s="3">
        <v>2025</v>
      </c>
      <c r="J4029" s="3" t="str">
        <f>CONCATENATE("54820285655")</f>
        <v>54820285655</v>
      </c>
      <c r="K4029" s="3" t="s">
        <v>33</v>
      </c>
      <c r="L4029" s="3"/>
      <c r="M4029" s="3" t="s">
        <v>131</v>
      </c>
      <c r="N4029" s="3" t="str">
        <f>CONCATENATE("MLNMRC90P02A462Q")</f>
        <v>MLNMRC90P02A462Q</v>
      </c>
      <c r="O4029" s="3" t="s">
        <v>4141</v>
      </c>
      <c r="P4029" s="3" t="s">
        <v>36</v>
      </c>
      <c r="Q4029" s="3"/>
      <c r="R4029" s="4">
        <v>45996</v>
      </c>
      <c r="S4029" s="3" t="s">
        <v>37</v>
      </c>
      <c r="T4029" s="3" t="s">
        <v>38</v>
      </c>
      <c r="U4029" s="3" t="s">
        <v>39</v>
      </c>
      <c r="V4029" s="3">
        <v>261.24</v>
      </c>
      <c r="W4029" s="3">
        <v>111.03</v>
      </c>
      <c r="X4029" s="3">
        <v>105.15</v>
      </c>
      <c r="Y4029" s="3">
        <v>45.06</v>
      </c>
    </row>
    <row r="4030" spans="1:25" ht="60.75" x14ac:dyDescent="0.25">
      <c r="A4030" s="3" t="s">
        <v>26</v>
      </c>
      <c r="B4030" s="3" t="s">
        <v>27</v>
      </c>
      <c r="C4030" s="3" t="s">
        <v>28</v>
      </c>
      <c r="D4030" s="3" t="s">
        <v>40</v>
      </c>
      <c r="E4030" s="3" t="s">
        <v>287</v>
      </c>
      <c r="F4030" s="3" t="s">
        <v>42</v>
      </c>
      <c r="G4030" s="3" t="s">
        <v>287</v>
      </c>
      <c r="H4030" s="3" t="s">
        <v>32</v>
      </c>
      <c r="I4030" s="3">
        <v>2025</v>
      </c>
      <c r="J4030" s="3" t="str">
        <f>CONCATENATE("54820015516")</f>
        <v>54820015516</v>
      </c>
      <c r="K4030" s="3" t="s">
        <v>33</v>
      </c>
      <c r="L4030" s="3"/>
      <c r="M4030" s="3" t="s">
        <v>131</v>
      </c>
      <c r="N4030" s="3" t="str">
        <f>CONCATENATE("CTTFBA75M16D451M")</f>
        <v>CTTFBA75M16D451M</v>
      </c>
      <c r="O4030" s="3" t="s">
        <v>4142</v>
      </c>
      <c r="P4030" s="3" t="s">
        <v>36</v>
      </c>
      <c r="Q4030" s="3"/>
      <c r="R4030" s="4">
        <v>45996</v>
      </c>
      <c r="S4030" s="3" t="s">
        <v>37</v>
      </c>
      <c r="T4030" s="3" t="s">
        <v>38</v>
      </c>
      <c r="U4030" s="3" t="s">
        <v>39</v>
      </c>
      <c r="V4030" s="5">
        <v>1208.6099999999999</v>
      </c>
      <c r="W4030" s="3">
        <v>513.66</v>
      </c>
      <c r="X4030" s="3">
        <v>486.47</v>
      </c>
      <c r="Y4030" s="3">
        <v>208.48</v>
      </c>
    </row>
    <row r="4031" spans="1:25" ht="60.75" x14ac:dyDescent="0.25">
      <c r="A4031" s="3" t="s">
        <v>26</v>
      </c>
      <c r="B4031" s="3" t="s">
        <v>27</v>
      </c>
      <c r="C4031" s="3" t="s">
        <v>28</v>
      </c>
      <c r="D4031" s="3" t="s">
        <v>50</v>
      </c>
      <c r="E4031" s="3" t="s">
        <v>252</v>
      </c>
      <c r="F4031" s="3" t="s">
        <v>52</v>
      </c>
      <c r="G4031" s="3" t="s">
        <v>252</v>
      </c>
      <c r="H4031" s="3" t="s">
        <v>45</v>
      </c>
      <c r="I4031" s="3">
        <v>2025</v>
      </c>
      <c r="J4031" s="3" t="str">
        <f>CONCATENATE("54820121272")</f>
        <v>54820121272</v>
      </c>
      <c r="K4031" s="3" t="s">
        <v>33</v>
      </c>
      <c r="L4031" s="3"/>
      <c r="M4031" s="3" t="s">
        <v>131</v>
      </c>
      <c r="N4031" s="3" t="str">
        <f>CONCATENATE("GSTMRC54R08D749C")</f>
        <v>GSTMRC54R08D749C</v>
      </c>
      <c r="O4031" s="3" t="s">
        <v>3104</v>
      </c>
      <c r="P4031" s="3" t="s">
        <v>36</v>
      </c>
      <c r="Q4031" s="3"/>
      <c r="R4031" s="4">
        <v>45996</v>
      </c>
      <c r="S4031" s="3" t="s">
        <v>37</v>
      </c>
      <c r="T4031" s="3" t="s">
        <v>38</v>
      </c>
      <c r="U4031" s="3" t="s">
        <v>39</v>
      </c>
      <c r="V4031" s="3">
        <v>146.91</v>
      </c>
      <c r="W4031" s="3">
        <v>62.44</v>
      </c>
      <c r="X4031" s="3">
        <v>59.13</v>
      </c>
      <c r="Y4031" s="3">
        <v>25.34</v>
      </c>
    </row>
    <row r="4032" spans="1:25" ht="60.75" x14ac:dyDescent="0.25">
      <c r="A4032" s="3" t="s">
        <v>26</v>
      </c>
      <c r="B4032" s="3" t="s">
        <v>27</v>
      </c>
      <c r="C4032" s="3" t="s">
        <v>28</v>
      </c>
      <c r="D4032" s="3" t="s">
        <v>29</v>
      </c>
      <c r="E4032" s="3" t="s">
        <v>228</v>
      </c>
      <c r="F4032" s="3" t="s">
        <v>31</v>
      </c>
      <c r="G4032" s="3" t="s">
        <v>228</v>
      </c>
      <c r="H4032" s="3" t="s">
        <v>45</v>
      </c>
      <c r="I4032" s="3">
        <v>2025</v>
      </c>
      <c r="J4032" s="3" t="str">
        <f>CONCATENATE("54820134606")</f>
        <v>54820134606</v>
      </c>
      <c r="K4032" s="3" t="s">
        <v>33</v>
      </c>
      <c r="L4032" s="3"/>
      <c r="M4032" s="3" t="s">
        <v>131</v>
      </c>
      <c r="N4032" s="3" t="str">
        <f>CONCATENATE("MNTGFR46P08D749H")</f>
        <v>MNTGFR46P08D749H</v>
      </c>
      <c r="O4032" s="3" t="s">
        <v>4143</v>
      </c>
      <c r="P4032" s="3" t="s">
        <v>36</v>
      </c>
      <c r="Q4032" s="3"/>
      <c r="R4032" s="4">
        <v>45996</v>
      </c>
      <c r="S4032" s="3" t="s">
        <v>37</v>
      </c>
      <c r="T4032" s="3" t="s">
        <v>38</v>
      </c>
      <c r="U4032" s="3" t="s">
        <v>39</v>
      </c>
      <c r="V4032" s="3">
        <v>57.88</v>
      </c>
      <c r="W4032" s="3">
        <v>24.6</v>
      </c>
      <c r="X4032" s="3">
        <v>23.3</v>
      </c>
      <c r="Y4032" s="3">
        <v>9.98</v>
      </c>
    </row>
    <row r="4033" spans="1:25" ht="60.75" x14ac:dyDescent="0.25">
      <c r="A4033" s="3" t="s">
        <v>26</v>
      </c>
      <c r="B4033" s="3" t="s">
        <v>27</v>
      </c>
      <c r="C4033" s="3" t="s">
        <v>28</v>
      </c>
      <c r="D4033" s="3" t="s">
        <v>40</v>
      </c>
      <c r="E4033" s="3" t="s">
        <v>287</v>
      </c>
      <c r="F4033" s="3" t="s">
        <v>42</v>
      </c>
      <c r="G4033" s="3" t="s">
        <v>287</v>
      </c>
      <c r="H4033" s="3" t="s">
        <v>32</v>
      </c>
      <c r="I4033" s="3">
        <v>2025</v>
      </c>
      <c r="J4033" s="3" t="str">
        <f>CONCATENATE("54820016597")</f>
        <v>54820016597</v>
      </c>
      <c r="K4033" s="3" t="s">
        <v>33</v>
      </c>
      <c r="L4033" s="3"/>
      <c r="M4033" s="3" t="s">
        <v>131</v>
      </c>
      <c r="N4033" s="3" t="str">
        <f>CONCATENATE("SSLFTN52D01C527S")</f>
        <v>SSLFTN52D01C527S</v>
      </c>
      <c r="O4033" s="3" t="s">
        <v>4144</v>
      </c>
      <c r="P4033" s="3" t="s">
        <v>36</v>
      </c>
      <c r="Q4033" s="3"/>
      <c r="R4033" s="4">
        <v>45996</v>
      </c>
      <c r="S4033" s="3" t="s">
        <v>37</v>
      </c>
      <c r="T4033" s="3" t="s">
        <v>38</v>
      </c>
      <c r="U4033" s="3" t="s">
        <v>39</v>
      </c>
      <c r="V4033" s="3">
        <v>716</v>
      </c>
      <c r="W4033" s="3">
        <v>304.3</v>
      </c>
      <c r="X4033" s="3">
        <v>288.19</v>
      </c>
      <c r="Y4033" s="3">
        <v>123.51</v>
      </c>
    </row>
    <row r="4034" spans="1:25" ht="72.75" x14ac:dyDescent="0.25">
      <c r="A4034" s="3" t="s">
        <v>26</v>
      </c>
      <c r="B4034" s="3" t="s">
        <v>27</v>
      </c>
      <c r="C4034" s="3" t="s">
        <v>28</v>
      </c>
      <c r="D4034" s="3" t="s">
        <v>40</v>
      </c>
      <c r="E4034" s="3" t="s">
        <v>287</v>
      </c>
      <c r="F4034" s="3" t="s">
        <v>42</v>
      </c>
      <c r="G4034" s="3" t="s">
        <v>287</v>
      </c>
      <c r="H4034" s="3" t="s">
        <v>32</v>
      </c>
      <c r="I4034" s="3">
        <v>2025</v>
      </c>
      <c r="J4034" s="3" t="str">
        <f>CONCATENATE("54820016613")</f>
        <v>54820016613</v>
      </c>
      <c r="K4034" s="3" t="s">
        <v>33</v>
      </c>
      <c r="L4034" s="3"/>
      <c r="M4034" s="3" t="s">
        <v>131</v>
      </c>
      <c r="N4034" s="3" t="str">
        <f>CONCATENATE("PGNMDA64A20B474T")</f>
        <v>PGNMDA64A20B474T</v>
      </c>
      <c r="O4034" s="3" t="s">
        <v>4145</v>
      </c>
      <c r="P4034" s="3" t="s">
        <v>36</v>
      </c>
      <c r="Q4034" s="3"/>
      <c r="R4034" s="4">
        <v>45996</v>
      </c>
      <c r="S4034" s="3" t="s">
        <v>37</v>
      </c>
      <c r="T4034" s="3" t="s">
        <v>38</v>
      </c>
      <c r="U4034" s="3" t="s">
        <v>39</v>
      </c>
      <c r="V4034" s="3">
        <v>252.28</v>
      </c>
      <c r="W4034" s="3">
        <v>107.22</v>
      </c>
      <c r="X4034" s="3">
        <v>101.54</v>
      </c>
      <c r="Y4034" s="3">
        <v>43.52</v>
      </c>
    </row>
    <row r="4035" spans="1:25" ht="72.75" x14ac:dyDescent="0.25">
      <c r="A4035" s="3" t="s">
        <v>26</v>
      </c>
      <c r="B4035" s="3" t="s">
        <v>27</v>
      </c>
      <c r="C4035" s="3" t="s">
        <v>28</v>
      </c>
      <c r="D4035" s="3" t="s">
        <v>50</v>
      </c>
      <c r="E4035" s="3" t="s">
        <v>252</v>
      </c>
      <c r="F4035" s="3" t="s">
        <v>52</v>
      </c>
      <c r="G4035" s="3" t="s">
        <v>252</v>
      </c>
      <c r="H4035" s="3" t="s">
        <v>45</v>
      </c>
      <c r="I4035" s="3">
        <v>2025</v>
      </c>
      <c r="J4035" s="3" t="str">
        <f>CONCATENATE("54820176862")</f>
        <v>54820176862</v>
      </c>
      <c r="K4035" s="3" t="s">
        <v>33</v>
      </c>
      <c r="L4035" s="3"/>
      <c r="M4035" s="3" t="s">
        <v>131</v>
      </c>
      <c r="N4035" s="3" t="str">
        <f>CONCATENATE("FRRFNC54A20D749B")</f>
        <v>FRRFNC54A20D749B</v>
      </c>
      <c r="O4035" s="3" t="s">
        <v>4146</v>
      </c>
      <c r="P4035" s="3" t="s">
        <v>36</v>
      </c>
      <c r="Q4035" s="3"/>
      <c r="R4035" s="4">
        <v>45996</v>
      </c>
      <c r="S4035" s="3" t="s">
        <v>37</v>
      </c>
      <c r="T4035" s="3" t="s">
        <v>38</v>
      </c>
      <c r="U4035" s="3" t="s">
        <v>39</v>
      </c>
      <c r="V4035" s="3">
        <v>51.74</v>
      </c>
      <c r="W4035" s="3">
        <v>21.99</v>
      </c>
      <c r="X4035" s="3">
        <v>20.83</v>
      </c>
      <c r="Y4035" s="3">
        <v>8.92</v>
      </c>
    </row>
    <row r="4036" spans="1:25" ht="36.75" x14ac:dyDescent="0.25">
      <c r="A4036" s="3" t="s">
        <v>26</v>
      </c>
      <c r="B4036" s="3" t="s">
        <v>27</v>
      </c>
      <c r="C4036" s="3" t="s">
        <v>28</v>
      </c>
      <c r="D4036" s="3" t="s">
        <v>29</v>
      </c>
      <c r="E4036" s="3" t="s">
        <v>228</v>
      </c>
      <c r="F4036" s="3" t="s">
        <v>31</v>
      </c>
      <c r="G4036" s="3" t="s">
        <v>228</v>
      </c>
      <c r="H4036" s="3" t="s">
        <v>45</v>
      </c>
      <c r="I4036" s="3">
        <v>2025</v>
      </c>
      <c r="J4036" s="3" t="str">
        <f>CONCATENATE("54820105325")</f>
        <v>54820105325</v>
      </c>
      <c r="K4036" s="3" t="s">
        <v>33</v>
      </c>
      <c r="L4036" s="3"/>
      <c r="M4036" s="3" t="s">
        <v>131</v>
      </c>
      <c r="N4036" s="3" t="str">
        <f>CONCATENATE("00724050414")</f>
        <v>00724050414</v>
      </c>
      <c r="O4036" s="3" t="s">
        <v>4147</v>
      </c>
      <c r="P4036" s="3" t="s">
        <v>36</v>
      </c>
      <c r="Q4036" s="3"/>
      <c r="R4036" s="4">
        <v>45996</v>
      </c>
      <c r="S4036" s="3" t="s">
        <v>37</v>
      </c>
      <c r="T4036" s="3" t="s">
        <v>38</v>
      </c>
      <c r="U4036" s="3" t="s">
        <v>39</v>
      </c>
      <c r="V4036" s="5">
        <v>1059.2</v>
      </c>
      <c r="W4036" s="3">
        <v>450.16</v>
      </c>
      <c r="X4036" s="3">
        <v>426.33</v>
      </c>
      <c r="Y4036" s="3">
        <v>182.71</v>
      </c>
    </row>
    <row r="4037" spans="1:25" ht="72.75" x14ac:dyDescent="0.25">
      <c r="A4037" s="3" t="s">
        <v>26</v>
      </c>
      <c r="B4037" s="3" t="s">
        <v>27</v>
      </c>
      <c r="C4037" s="3" t="s">
        <v>28</v>
      </c>
      <c r="D4037" s="3" t="s">
        <v>50</v>
      </c>
      <c r="E4037" s="3" t="s">
        <v>448</v>
      </c>
      <c r="F4037" s="3" t="s">
        <v>52</v>
      </c>
      <c r="G4037" s="3" t="s">
        <v>448</v>
      </c>
      <c r="H4037" s="3" t="s">
        <v>45</v>
      </c>
      <c r="I4037" s="3">
        <v>2025</v>
      </c>
      <c r="J4037" s="3" t="str">
        <f>CONCATENATE("54820172978")</f>
        <v>54820172978</v>
      </c>
      <c r="K4037" s="3" t="s">
        <v>33</v>
      </c>
      <c r="L4037" s="3"/>
      <c r="M4037" s="3" t="s">
        <v>131</v>
      </c>
      <c r="N4037" s="3" t="str">
        <f>CONCATENATE("RSTSNT36D54H809W")</f>
        <v>RSTSNT36D54H809W</v>
      </c>
      <c r="O4037" s="3" t="s">
        <v>4148</v>
      </c>
      <c r="P4037" s="3" t="s">
        <v>36</v>
      </c>
      <c r="Q4037" s="3"/>
      <c r="R4037" s="4">
        <v>45996</v>
      </c>
      <c r="S4037" s="3" t="s">
        <v>37</v>
      </c>
      <c r="T4037" s="3" t="s">
        <v>38</v>
      </c>
      <c r="U4037" s="3" t="s">
        <v>39</v>
      </c>
      <c r="V4037" s="3">
        <v>89.93</v>
      </c>
      <c r="W4037" s="3">
        <v>38.22</v>
      </c>
      <c r="X4037" s="3">
        <v>36.200000000000003</v>
      </c>
      <c r="Y4037" s="3">
        <v>15.51</v>
      </c>
    </row>
    <row r="4038" spans="1:25" ht="60.75" x14ac:dyDescent="0.25">
      <c r="A4038" s="3" t="s">
        <v>26</v>
      </c>
      <c r="B4038" s="3" t="s">
        <v>27</v>
      </c>
      <c r="C4038" s="3" t="s">
        <v>28</v>
      </c>
      <c r="D4038" s="3" t="s">
        <v>29</v>
      </c>
      <c r="E4038" s="3" t="s">
        <v>119</v>
      </c>
      <c r="F4038" s="3" t="s">
        <v>31</v>
      </c>
      <c r="G4038" s="3" t="s">
        <v>119</v>
      </c>
      <c r="H4038" s="3" t="s">
        <v>96</v>
      </c>
      <c r="I4038" s="3">
        <v>2025</v>
      </c>
      <c r="J4038" s="3" t="str">
        <f>CONCATENATE("54820118880")</f>
        <v>54820118880</v>
      </c>
      <c r="K4038" s="3" t="s">
        <v>33</v>
      </c>
      <c r="L4038" s="3"/>
      <c r="M4038" s="3" t="s">
        <v>131</v>
      </c>
      <c r="N4038" s="3" t="str">
        <f>CONCATENATE("MSSRTI47D60I774C")</f>
        <v>MSSRTI47D60I774C</v>
      </c>
      <c r="O4038" s="3" t="s">
        <v>4149</v>
      </c>
      <c r="P4038" s="3" t="s">
        <v>36</v>
      </c>
      <c r="Q4038" s="3"/>
      <c r="R4038" s="4">
        <v>45996</v>
      </c>
      <c r="S4038" s="3" t="s">
        <v>37</v>
      </c>
      <c r="T4038" s="3" t="s">
        <v>38</v>
      </c>
      <c r="U4038" s="3" t="s">
        <v>39</v>
      </c>
      <c r="V4038" s="3">
        <v>50.51</v>
      </c>
      <c r="W4038" s="3">
        <v>21.47</v>
      </c>
      <c r="X4038" s="3">
        <v>20.329999999999998</v>
      </c>
      <c r="Y4038" s="3">
        <v>8.7100000000000009</v>
      </c>
    </row>
    <row r="4039" spans="1:25" ht="60.75" x14ac:dyDescent="0.25">
      <c r="A4039" s="3" t="s">
        <v>26</v>
      </c>
      <c r="B4039" s="3" t="s">
        <v>27</v>
      </c>
      <c r="C4039" s="3" t="s">
        <v>28</v>
      </c>
      <c r="D4039" s="3" t="s">
        <v>29</v>
      </c>
      <c r="E4039" s="3" t="s">
        <v>186</v>
      </c>
      <c r="F4039" s="3" t="s">
        <v>31</v>
      </c>
      <c r="G4039" s="3" t="s">
        <v>186</v>
      </c>
      <c r="H4039" s="3" t="s">
        <v>45</v>
      </c>
      <c r="I4039" s="3">
        <v>2025</v>
      </c>
      <c r="J4039" s="3" t="str">
        <f>CONCATENATE("54820024641")</f>
        <v>54820024641</v>
      </c>
      <c r="K4039" s="3" t="s">
        <v>33</v>
      </c>
      <c r="L4039" s="3"/>
      <c r="M4039" s="3" t="s">
        <v>131</v>
      </c>
      <c r="N4039" s="3" t="str">
        <f>CONCATENATE("MRTDNC61E07F467X")</f>
        <v>MRTDNC61E07F467X</v>
      </c>
      <c r="O4039" s="3" t="s">
        <v>4150</v>
      </c>
      <c r="P4039" s="3" t="s">
        <v>36</v>
      </c>
      <c r="Q4039" s="3"/>
      <c r="R4039" s="4">
        <v>45996</v>
      </c>
      <c r="S4039" s="3" t="s">
        <v>37</v>
      </c>
      <c r="T4039" s="3" t="s">
        <v>38</v>
      </c>
      <c r="U4039" s="3" t="s">
        <v>39</v>
      </c>
      <c r="V4039" s="3">
        <v>208.38</v>
      </c>
      <c r="W4039" s="3">
        <v>88.56</v>
      </c>
      <c r="X4039" s="3">
        <v>83.87</v>
      </c>
      <c r="Y4039" s="3">
        <v>35.950000000000003</v>
      </c>
    </row>
    <row r="4040" spans="1:25" ht="60.75" x14ac:dyDescent="0.25">
      <c r="A4040" s="3" t="s">
        <v>26</v>
      </c>
      <c r="B4040" s="3" t="s">
        <v>27</v>
      </c>
      <c r="C4040" s="3" t="s">
        <v>28</v>
      </c>
      <c r="D4040" s="3" t="s">
        <v>29</v>
      </c>
      <c r="E4040" s="3" t="s">
        <v>80</v>
      </c>
      <c r="F4040" s="3" t="s">
        <v>31</v>
      </c>
      <c r="G4040" s="3" t="s">
        <v>80</v>
      </c>
      <c r="H4040" s="3" t="s">
        <v>45</v>
      </c>
      <c r="I4040" s="3">
        <v>2025</v>
      </c>
      <c r="J4040" s="3" t="str">
        <f>CONCATENATE("54820069935")</f>
        <v>54820069935</v>
      </c>
      <c r="K4040" s="3" t="s">
        <v>33</v>
      </c>
      <c r="L4040" s="3"/>
      <c r="M4040" s="3" t="s">
        <v>131</v>
      </c>
      <c r="N4040" s="3" t="str">
        <f>CONCATENATE("TTTFNC51S53G453J")</f>
        <v>TTTFNC51S53G453J</v>
      </c>
      <c r="O4040" s="3" t="s">
        <v>4151</v>
      </c>
      <c r="P4040" s="3" t="s">
        <v>36</v>
      </c>
      <c r="Q4040" s="3"/>
      <c r="R4040" s="4">
        <v>45996</v>
      </c>
      <c r="S4040" s="3" t="s">
        <v>37</v>
      </c>
      <c r="T4040" s="3" t="s">
        <v>38</v>
      </c>
      <c r="U4040" s="3" t="s">
        <v>39</v>
      </c>
      <c r="V4040" s="3">
        <v>83.05</v>
      </c>
      <c r="W4040" s="3">
        <v>35.299999999999997</v>
      </c>
      <c r="X4040" s="3">
        <v>33.43</v>
      </c>
      <c r="Y4040" s="3">
        <v>14.32</v>
      </c>
    </row>
    <row r="4041" spans="1:25" ht="60.75" x14ac:dyDescent="0.25">
      <c r="A4041" s="3" t="s">
        <v>26</v>
      </c>
      <c r="B4041" s="3" t="s">
        <v>27</v>
      </c>
      <c r="C4041" s="3" t="s">
        <v>28</v>
      </c>
      <c r="D4041" s="3" t="s">
        <v>29</v>
      </c>
      <c r="E4041" s="3" t="s">
        <v>136</v>
      </c>
      <c r="F4041" s="3" t="s">
        <v>31</v>
      </c>
      <c r="G4041" s="3" t="s">
        <v>136</v>
      </c>
      <c r="H4041" s="3" t="s">
        <v>48</v>
      </c>
      <c r="I4041" s="3">
        <v>2025</v>
      </c>
      <c r="J4041" s="3" t="str">
        <f>CONCATENATE("54820232467")</f>
        <v>54820232467</v>
      </c>
      <c r="K4041" s="3" t="s">
        <v>33</v>
      </c>
      <c r="L4041" s="3"/>
      <c r="M4041" s="3" t="s">
        <v>131</v>
      </c>
      <c r="N4041" s="3" t="str">
        <f>CONCATENATE("MRLPLA40P61H501S")</f>
        <v>MRLPLA40P61H501S</v>
      </c>
      <c r="O4041" s="3" t="s">
        <v>4152</v>
      </c>
      <c r="P4041" s="3" t="s">
        <v>36</v>
      </c>
      <c r="Q4041" s="3"/>
      <c r="R4041" s="4">
        <v>45996</v>
      </c>
      <c r="S4041" s="3" t="s">
        <v>37</v>
      </c>
      <c r="T4041" s="3" t="s">
        <v>38</v>
      </c>
      <c r="U4041" s="3" t="s">
        <v>39</v>
      </c>
      <c r="V4041" s="3">
        <v>531.45000000000005</v>
      </c>
      <c r="W4041" s="3">
        <v>225.87</v>
      </c>
      <c r="X4041" s="3">
        <v>213.91</v>
      </c>
      <c r="Y4041" s="3">
        <v>91.67</v>
      </c>
    </row>
    <row r="4042" spans="1:25" ht="60.75" x14ac:dyDescent="0.25">
      <c r="A4042" s="3" t="s">
        <v>26</v>
      </c>
      <c r="B4042" s="3" t="s">
        <v>27</v>
      </c>
      <c r="C4042" s="3" t="s">
        <v>28</v>
      </c>
      <c r="D4042" s="3" t="s">
        <v>50</v>
      </c>
      <c r="E4042" s="3" t="s">
        <v>51</v>
      </c>
      <c r="F4042" s="3" t="s">
        <v>52</v>
      </c>
      <c r="G4042" s="3" t="s">
        <v>51</v>
      </c>
      <c r="H4042" s="3" t="s">
        <v>48</v>
      </c>
      <c r="I4042" s="3">
        <v>2025</v>
      </c>
      <c r="J4042" s="3" t="str">
        <f>CONCATENATE("54820136148")</f>
        <v>54820136148</v>
      </c>
      <c r="K4042" s="3" t="s">
        <v>33</v>
      </c>
      <c r="L4042" s="3"/>
      <c r="M4042" s="3" t="s">
        <v>131</v>
      </c>
      <c r="N4042" s="3" t="str">
        <f>CONCATENATE("CSRBRN94P20E388S")</f>
        <v>CSRBRN94P20E388S</v>
      </c>
      <c r="O4042" s="3" t="s">
        <v>4153</v>
      </c>
      <c r="P4042" s="3" t="s">
        <v>36</v>
      </c>
      <c r="Q4042" s="3"/>
      <c r="R4042" s="4">
        <v>45996</v>
      </c>
      <c r="S4042" s="3" t="s">
        <v>37</v>
      </c>
      <c r="T4042" s="3" t="s">
        <v>38</v>
      </c>
      <c r="U4042" s="3" t="s">
        <v>39</v>
      </c>
      <c r="V4042" s="3">
        <v>135.03</v>
      </c>
      <c r="W4042" s="3">
        <v>57.39</v>
      </c>
      <c r="X4042" s="3">
        <v>54.35</v>
      </c>
      <c r="Y4042" s="3">
        <v>23.29</v>
      </c>
    </row>
    <row r="4043" spans="1:25" ht="60.75" x14ac:dyDescent="0.25">
      <c r="A4043" s="3" t="s">
        <v>26</v>
      </c>
      <c r="B4043" s="3" t="s">
        <v>27</v>
      </c>
      <c r="C4043" s="3" t="s">
        <v>28</v>
      </c>
      <c r="D4043" s="3" t="s">
        <v>104</v>
      </c>
      <c r="E4043" s="3" t="s">
        <v>141</v>
      </c>
      <c r="F4043" s="3" t="s">
        <v>104</v>
      </c>
      <c r="G4043" s="3" t="s">
        <v>141</v>
      </c>
      <c r="H4043" s="3" t="s">
        <v>96</v>
      </c>
      <c r="I4043" s="3">
        <v>2025</v>
      </c>
      <c r="J4043" s="3" t="str">
        <f>CONCATENATE("54820277173")</f>
        <v>54820277173</v>
      </c>
      <c r="K4043" s="3" t="s">
        <v>33</v>
      </c>
      <c r="L4043" s="3"/>
      <c r="M4043" s="3" t="s">
        <v>131</v>
      </c>
      <c r="N4043" s="3" t="str">
        <f>CONCATENATE("TRVVTR58H21C935Q")</f>
        <v>TRVVTR58H21C935Q</v>
      </c>
      <c r="O4043" s="3" t="s">
        <v>4154</v>
      </c>
      <c r="P4043" s="3" t="s">
        <v>36</v>
      </c>
      <c r="Q4043" s="3"/>
      <c r="R4043" s="4">
        <v>45996</v>
      </c>
      <c r="S4043" s="3" t="s">
        <v>37</v>
      </c>
      <c r="T4043" s="3" t="s">
        <v>38</v>
      </c>
      <c r="U4043" s="3" t="s">
        <v>39</v>
      </c>
      <c r="V4043" s="3">
        <v>113.84</v>
      </c>
      <c r="W4043" s="3">
        <v>48.38</v>
      </c>
      <c r="X4043" s="3">
        <v>45.82</v>
      </c>
      <c r="Y4043" s="3">
        <v>19.64</v>
      </c>
    </row>
    <row r="4044" spans="1:25" ht="60.75" x14ac:dyDescent="0.25">
      <c r="A4044" s="3" t="s">
        <v>26</v>
      </c>
      <c r="B4044" s="3" t="s">
        <v>27</v>
      </c>
      <c r="C4044" s="3" t="s">
        <v>28</v>
      </c>
      <c r="D4044" s="3" t="s">
        <v>50</v>
      </c>
      <c r="E4044" s="3" t="s">
        <v>173</v>
      </c>
      <c r="F4044" s="3" t="s">
        <v>52</v>
      </c>
      <c r="G4044" s="3" t="s">
        <v>173</v>
      </c>
      <c r="H4044" s="3" t="s">
        <v>45</v>
      </c>
      <c r="I4044" s="3">
        <v>2025</v>
      </c>
      <c r="J4044" s="3" t="str">
        <f>CONCATENATE("54820036504")</f>
        <v>54820036504</v>
      </c>
      <c r="K4044" s="3" t="s">
        <v>33</v>
      </c>
      <c r="L4044" s="3"/>
      <c r="M4044" s="3" t="s">
        <v>131</v>
      </c>
      <c r="N4044" s="3" t="str">
        <f>CONCATENATE("SRRCST00L12L500C")</f>
        <v>SRRCST00L12L500C</v>
      </c>
      <c r="O4044" s="3" t="s">
        <v>4155</v>
      </c>
      <c r="P4044" s="3" t="s">
        <v>36</v>
      </c>
      <c r="Q4044" s="3"/>
      <c r="R4044" s="4">
        <v>45996</v>
      </c>
      <c r="S4044" s="3" t="s">
        <v>37</v>
      </c>
      <c r="T4044" s="3" t="s">
        <v>38</v>
      </c>
      <c r="U4044" s="3" t="s">
        <v>39</v>
      </c>
      <c r="V4044" s="3">
        <v>58.42</v>
      </c>
      <c r="W4044" s="3">
        <v>24.83</v>
      </c>
      <c r="X4044" s="3">
        <v>23.51</v>
      </c>
      <c r="Y4044" s="3">
        <v>10.08</v>
      </c>
    </row>
    <row r="4045" spans="1:25" ht="60.75" x14ac:dyDescent="0.25">
      <c r="A4045" s="3" t="s">
        <v>26</v>
      </c>
      <c r="B4045" s="3" t="s">
        <v>27</v>
      </c>
      <c r="C4045" s="3" t="s">
        <v>28</v>
      </c>
      <c r="D4045" s="3" t="s">
        <v>29</v>
      </c>
      <c r="E4045" s="3" t="s">
        <v>182</v>
      </c>
      <c r="F4045" s="3" t="s">
        <v>31</v>
      </c>
      <c r="G4045" s="3" t="s">
        <v>182</v>
      </c>
      <c r="H4045" s="3" t="s">
        <v>45</v>
      </c>
      <c r="I4045" s="3">
        <v>2025</v>
      </c>
      <c r="J4045" s="3" t="str">
        <f>CONCATENATE("54820139902")</f>
        <v>54820139902</v>
      </c>
      <c r="K4045" s="3" t="s">
        <v>33</v>
      </c>
      <c r="L4045" s="3"/>
      <c r="M4045" s="3" t="s">
        <v>131</v>
      </c>
      <c r="N4045" s="3" t="str">
        <f>CONCATENATE("GDURNI56D15L500O")</f>
        <v>GDURNI56D15L500O</v>
      </c>
      <c r="O4045" s="3" t="s">
        <v>4156</v>
      </c>
      <c r="P4045" s="3" t="s">
        <v>36</v>
      </c>
      <c r="Q4045" s="3"/>
      <c r="R4045" s="4">
        <v>45996</v>
      </c>
      <c r="S4045" s="3" t="s">
        <v>37</v>
      </c>
      <c r="T4045" s="3" t="s">
        <v>38</v>
      </c>
      <c r="U4045" s="3" t="s">
        <v>39</v>
      </c>
      <c r="V4045" s="3">
        <v>190</v>
      </c>
      <c r="W4045" s="3">
        <v>80.75</v>
      </c>
      <c r="X4045" s="3">
        <v>76.48</v>
      </c>
      <c r="Y4045" s="3">
        <v>32.770000000000003</v>
      </c>
    </row>
    <row r="4046" spans="1:25" ht="60.75" x14ac:dyDescent="0.25">
      <c r="A4046" s="3" t="s">
        <v>26</v>
      </c>
      <c r="B4046" s="3" t="s">
        <v>27</v>
      </c>
      <c r="C4046" s="3" t="s">
        <v>28</v>
      </c>
      <c r="D4046" s="3" t="s">
        <v>91</v>
      </c>
      <c r="E4046" s="3" t="s">
        <v>522</v>
      </c>
      <c r="F4046" s="3" t="s">
        <v>93</v>
      </c>
      <c r="G4046" s="3" t="s">
        <v>522</v>
      </c>
      <c r="H4046" s="3" t="s">
        <v>32</v>
      </c>
      <c r="I4046" s="3">
        <v>2025</v>
      </c>
      <c r="J4046" s="3" t="str">
        <f>CONCATENATE("54820068812")</f>
        <v>54820068812</v>
      </c>
      <c r="K4046" s="3" t="s">
        <v>33</v>
      </c>
      <c r="L4046" s="3"/>
      <c r="M4046" s="3" t="s">
        <v>131</v>
      </c>
      <c r="N4046" s="3" t="str">
        <f>CONCATENATE("ZCCCLL70R30H501S")</f>
        <v>ZCCCLL70R30H501S</v>
      </c>
      <c r="O4046" s="3" t="s">
        <v>4157</v>
      </c>
      <c r="P4046" s="3" t="s">
        <v>36</v>
      </c>
      <c r="Q4046" s="3"/>
      <c r="R4046" s="4">
        <v>45996</v>
      </c>
      <c r="S4046" s="3" t="s">
        <v>37</v>
      </c>
      <c r="T4046" s="3" t="s">
        <v>38</v>
      </c>
      <c r="U4046" s="3" t="s">
        <v>39</v>
      </c>
      <c r="V4046" s="3">
        <v>141.38</v>
      </c>
      <c r="W4046" s="3">
        <v>60.09</v>
      </c>
      <c r="X4046" s="3">
        <v>56.91</v>
      </c>
      <c r="Y4046" s="3">
        <v>24.38</v>
      </c>
    </row>
    <row r="4047" spans="1:25" ht="60.75" x14ac:dyDescent="0.25">
      <c r="A4047" s="3" t="s">
        <v>26</v>
      </c>
      <c r="B4047" s="3" t="s">
        <v>27</v>
      </c>
      <c r="C4047" s="3" t="s">
        <v>28</v>
      </c>
      <c r="D4047" s="3" t="s">
        <v>91</v>
      </c>
      <c r="E4047" s="3" t="s">
        <v>95</v>
      </c>
      <c r="F4047" s="3" t="s">
        <v>93</v>
      </c>
      <c r="G4047" s="3" t="s">
        <v>95</v>
      </c>
      <c r="H4047" s="3" t="s">
        <v>96</v>
      </c>
      <c r="I4047" s="3">
        <v>2025</v>
      </c>
      <c r="J4047" s="3" t="str">
        <f>CONCATENATE("54820146030")</f>
        <v>54820146030</v>
      </c>
      <c r="K4047" s="3" t="s">
        <v>33</v>
      </c>
      <c r="L4047" s="3"/>
      <c r="M4047" s="3" t="s">
        <v>131</v>
      </c>
      <c r="N4047" s="3" t="str">
        <f>CONCATENATE("CPPMLN40R55D691K")</f>
        <v>CPPMLN40R55D691K</v>
      </c>
      <c r="O4047" s="3" t="s">
        <v>4158</v>
      </c>
      <c r="P4047" s="3" t="s">
        <v>36</v>
      </c>
      <c r="Q4047" s="3"/>
      <c r="R4047" s="4">
        <v>45996</v>
      </c>
      <c r="S4047" s="3" t="s">
        <v>37</v>
      </c>
      <c r="T4047" s="3" t="s">
        <v>38</v>
      </c>
      <c r="U4047" s="3" t="s">
        <v>39</v>
      </c>
      <c r="V4047" s="3">
        <v>266.17</v>
      </c>
      <c r="W4047" s="3">
        <v>113.12</v>
      </c>
      <c r="X4047" s="3">
        <v>107.13</v>
      </c>
      <c r="Y4047" s="3">
        <v>45.92</v>
      </c>
    </row>
    <row r="4048" spans="1:25" ht="60.75" x14ac:dyDescent="0.25">
      <c r="A4048" s="3" t="s">
        <v>26</v>
      </c>
      <c r="B4048" s="3" t="s">
        <v>27</v>
      </c>
      <c r="C4048" s="3" t="s">
        <v>28</v>
      </c>
      <c r="D4048" s="3" t="s">
        <v>50</v>
      </c>
      <c r="E4048" s="3" t="s">
        <v>147</v>
      </c>
      <c r="F4048" s="3" t="s">
        <v>52</v>
      </c>
      <c r="G4048" s="3" t="s">
        <v>147</v>
      </c>
      <c r="H4048" s="3" t="s">
        <v>45</v>
      </c>
      <c r="I4048" s="3">
        <v>2025</v>
      </c>
      <c r="J4048" s="3" t="str">
        <f>CONCATENATE("54820121926")</f>
        <v>54820121926</v>
      </c>
      <c r="K4048" s="3" t="s">
        <v>33</v>
      </c>
      <c r="L4048" s="3"/>
      <c r="M4048" s="3" t="s">
        <v>131</v>
      </c>
      <c r="N4048" s="3" t="str">
        <f>CONCATENATE("GBRPRI57H02B352L")</f>
        <v>GBRPRI57H02B352L</v>
      </c>
      <c r="O4048" s="3" t="s">
        <v>4159</v>
      </c>
      <c r="P4048" s="3" t="s">
        <v>36</v>
      </c>
      <c r="Q4048" s="3"/>
      <c r="R4048" s="4">
        <v>45996</v>
      </c>
      <c r="S4048" s="3" t="s">
        <v>37</v>
      </c>
      <c r="T4048" s="3" t="s">
        <v>38</v>
      </c>
      <c r="U4048" s="3" t="s">
        <v>39</v>
      </c>
      <c r="V4048" s="3">
        <v>204.64</v>
      </c>
      <c r="W4048" s="3">
        <v>86.97</v>
      </c>
      <c r="X4048" s="3">
        <v>82.37</v>
      </c>
      <c r="Y4048" s="3">
        <v>35.299999999999997</v>
      </c>
    </row>
    <row r="4049" spans="1:25" ht="60.75" x14ac:dyDescent="0.25">
      <c r="A4049" s="3" t="s">
        <v>26</v>
      </c>
      <c r="B4049" s="3" t="s">
        <v>27</v>
      </c>
      <c r="C4049" s="3" t="s">
        <v>28</v>
      </c>
      <c r="D4049" s="3" t="s">
        <v>50</v>
      </c>
      <c r="E4049" s="3" t="s">
        <v>367</v>
      </c>
      <c r="F4049" s="3" t="s">
        <v>52</v>
      </c>
      <c r="G4049" s="3" t="s">
        <v>367</v>
      </c>
      <c r="H4049" s="3" t="s">
        <v>32</v>
      </c>
      <c r="I4049" s="3">
        <v>2025</v>
      </c>
      <c r="J4049" s="3" t="str">
        <f>CONCATENATE("54820163696")</f>
        <v>54820163696</v>
      </c>
      <c r="K4049" s="3" t="s">
        <v>33</v>
      </c>
      <c r="L4049" s="3"/>
      <c r="M4049" s="3" t="s">
        <v>131</v>
      </c>
      <c r="N4049" s="3" t="str">
        <f>CONCATENATE("SNTGPP88C19D653R")</f>
        <v>SNTGPP88C19D653R</v>
      </c>
      <c r="O4049" s="3" t="s">
        <v>4160</v>
      </c>
      <c r="P4049" s="3" t="s">
        <v>36</v>
      </c>
      <c r="Q4049" s="3"/>
      <c r="R4049" s="4">
        <v>45996</v>
      </c>
      <c r="S4049" s="3" t="s">
        <v>37</v>
      </c>
      <c r="T4049" s="3" t="s">
        <v>38</v>
      </c>
      <c r="U4049" s="3" t="s">
        <v>39</v>
      </c>
      <c r="V4049" s="3">
        <v>204.77</v>
      </c>
      <c r="W4049" s="3">
        <v>87.03</v>
      </c>
      <c r="X4049" s="3">
        <v>82.42</v>
      </c>
      <c r="Y4049" s="3">
        <v>35.32</v>
      </c>
    </row>
    <row r="4050" spans="1:25" ht="60.75" x14ac:dyDescent="0.25">
      <c r="A4050" s="3" t="s">
        <v>26</v>
      </c>
      <c r="B4050" s="3" t="s">
        <v>27</v>
      </c>
      <c r="C4050" s="3" t="s">
        <v>28</v>
      </c>
      <c r="D4050" s="3" t="s">
        <v>50</v>
      </c>
      <c r="E4050" s="3" t="s">
        <v>60</v>
      </c>
      <c r="F4050" s="3" t="s">
        <v>52</v>
      </c>
      <c r="G4050" s="3" t="s">
        <v>60</v>
      </c>
      <c r="H4050" s="3" t="s">
        <v>32</v>
      </c>
      <c r="I4050" s="3">
        <v>2025</v>
      </c>
      <c r="J4050" s="3" t="str">
        <f>CONCATENATE("54820166707")</f>
        <v>54820166707</v>
      </c>
      <c r="K4050" s="3" t="s">
        <v>33</v>
      </c>
      <c r="L4050" s="3"/>
      <c r="M4050" s="3" t="s">
        <v>131</v>
      </c>
      <c r="N4050" s="3" t="str">
        <f>CONCATENATE("SCNBRN53P23D808V")</f>
        <v>SCNBRN53P23D808V</v>
      </c>
      <c r="O4050" s="3" t="s">
        <v>4161</v>
      </c>
      <c r="P4050" s="3" t="s">
        <v>36</v>
      </c>
      <c r="Q4050" s="3"/>
      <c r="R4050" s="4">
        <v>45996</v>
      </c>
      <c r="S4050" s="3" t="s">
        <v>37</v>
      </c>
      <c r="T4050" s="3" t="s">
        <v>38</v>
      </c>
      <c r="U4050" s="3" t="s">
        <v>39</v>
      </c>
      <c r="V4050" s="3">
        <v>627.97</v>
      </c>
      <c r="W4050" s="3">
        <v>266.89</v>
      </c>
      <c r="X4050" s="3">
        <v>252.76</v>
      </c>
      <c r="Y4050" s="3">
        <v>108.32</v>
      </c>
    </row>
    <row r="4051" spans="1:25" ht="60.75" x14ac:dyDescent="0.25">
      <c r="A4051" s="3" t="s">
        <v>26</v>
      </c>
      <c r="B4051" s="3" t="s">
        <v>27</v>
      </c>
      <c r="C4051" s="3" t="s">
        <v>28</v>
      </c>
      <c r="D4051" s="3" t="s">
        <v>50</v>
      </c>
      <c r="E4051" s="3" t="s">
        <v>252</v>
      </c>
      <c r="F4051" s="3" t="s">
        <v>52</v>
      </c>
      <c r="G4051" s="3" t="s">
        <v>252</v>
      </c>
      <c r="H4051" s="3" t="s">
        <v>45</v>
      </c>
      <c r="I4051" s="3">
        <v>2025</v>
      </c>
      <c r="J4051" s="3" t="str">
        <f>CONCATENATE("54820167838")</f>
        <v>54820167838</v>
      </c>
      <c r="K4051" s="3" t="s">
        <v>33</v>
      </c>
      <c r="L4051" s="3"/>
      <c r="M4051" s="3" t="s">
        <v>131</v>
      </c>
      <c r="N4051" s="3" t="str">
        <f>CONCATENATE("RSSLTT56A66F581T")</f>
        <v>RSSLTT56A66F581T</v>
      </c>
      <c r="O4051" s="3" t="s">
        <v>4162</v>
      </c>
      <c r="P4051" s="3" t="s">
        <v>36</v>
      </c>
      <c r="Q4051" s="3"/>
      <c r="R4051" s="4">
        <v>45996</v>
      </c>
      <c r="S4051" s="3" t="s">
        <v>37</v>
      </c>
      <c r="T4051" s="3" t="s">
        <v>38</v>
      </c>
      <c r="U4051" s="3" t="s">
        <v>39</v>
      </c>
      <c r="V4051" s="3">
        <v>71.19</v>
      </c>
      <c r="W4051" s="3">
        <v>30.26</v>
      </c>
      <c r="X4051" s="3">
        <v>28.65</v>
      </c>
      <c r="Y4051" s="3">
        <v>12.28</v>
      </c>
    </row>
    <row r="4052" spans="1:25" ht="72.75" x14ac:dyDescent="0.25">
      <c r="A4052" s="3" t="s">
        <v>26</v>
      </c>
      <c r="B4052" s="3" t="s">
        <v>27</v>
      </c>
      <c r="C4052" s="3" t="s">
        <v>28</v>
      </c>
      <c r="D4052" s="3" t="s">
        <v>40</v>
      </c>
      <c r="E4052" s="3" t="s">
        <v>54</v>
      </c>
      <c r="F4052" s="3" t="s">
        <v>42</v>
      </c>
      <c r="G4052" s="3" t="s">
        <v>54</v>
      </c>
      <c r="H4052" s="3" t="s">
        <v>45</v>
      </c>
      <c r="I4052" s="3">
        <v>2025</v>
      </c>
      <c r="J4052" s="3" t="str">
        <f>CONCATENATE("54820133327")</f>
        <v>54820133327</v>
      </c>
      <c r="K4052" s="3" t="s">
        <v>33</v>
      </c>
      <c r="L4052" s="3"/>
      <c r="M4052" s="3" t="s">
        <v>131</v>
      </c>
      <c r="N4052" s="3" t="str">
        <f>CONCATENATE("GLANMR58B68Z134C")</f>
        <v>GLANMR58B68Z134C</v>
      </c>
      <c r="O4052" s="3" t="s">
        <v>4163</v>
      </c>
      <c r="P4052" s="3" t="s">
        <v>36</v>
      </c>
      <c r="Q4052" s="3"/>
      <c r="R4052" s="4">
        <v>45996</v>
      </c>
      <c r="S4052" s="3" t="s">
        <v>37</v>
      </c>
      <c r="T4052" s="3" t="s">
        <v>38</v>
      </c>
      <c r="U4052" s="3" t="s">
        <v>39</v>
      </c>
      <c r="V4052" s="3">
        <v>49.88</v>
      </c>
      <c r="W4052" s="3">
        <v>21.2</v>
      </c>
      <c r="X4052" s="3">
        <v>20.079999999999998</v>
      </c>
      <c r="Y4052" s="3">
        <v>8.6</v>
      </c>
    </row>
    <row r="4053" spans="1:25" ht="60.75" x14ac:dyDescent="0.25">
      <c r="A4053" s="3" t="s">
        <v>26</v>
      </c>
      <c r="B4053" s="3" t="s">
        <v>27</v>
      </c>
      <c r="C4053" s="3" t="s">
        <v>28</v>
      </c>
      <c r="D4053" s="3" t="s">
        <v>29</v>
      </c>
      <c r="E4053" s="3" t="s">
        <v>56</v>
      </c>
      <c r="F4053" s="3" t="s">
        <v>31</v>
      </c>
      <c r="G4053" s="3" t="s">
        <v>56</v>
      </c>
      <c r="H4053" s="3" t="s">
        <v>32</v>
      </c>
      <c r="I4053" s="3">
        <v>2025</v>
      </c>
      <c r="J4053" s="3" t="str">
        <f>CONCATENATE("54820158464")</f>
        <v>54820158464</v>
      </c>
      <c r="K4053" s="3" t="s">
        <v>33</v>
      </c>
      <c r="L4053" s="3"/>
      <c r="M4053" s="3" t="s">
        <v>131</v>
      </c>
      <c r="N4053" s="3" t="str">
        <f>CONCATENATE("PVNNDR83D10B474I")</f>
        <v>PVNNDR83D10B474I</v>
      </c>
      <c r="O4053" s="3" t="s">
        <v>4164</v>
      </c>
      <c r="P4053" s="3" t="s">
        <v>36</v>
      </c>
      <c r="Q4053" s="3"/>
      <c r="R4053" s="4">
        <v>45996</v>
      </c>
      <c r="S4053" s="3" t="s">
        <v>37</v>
      </c>
      <c r="T4053" s="3" t="s">
        <v>38</v>
      </c>
      <c r="U4053" s="3" t="s">
        <v>39</v>
      </c>
      <c r="V4053" s="3">
        <v>184.26</v>
      </c>
      <c r="W4053" s="3">
        <v>78.31</v>
      </c>
      <c r="X4053" s="3">
        <v>74.16</v>
      </c>
      <c r="Y4053" s="3">
        <v>31.79</v>
      </c>
    </row>
    <row r="4054" spans="1:25" ht="60.75" x14ac:dyDescent="0.25">
      <c r="A4054" s="3" t="s">
        <v>26</v>
      </c>
      <c r="B4054" s="3" t="s">
        <v>27</v>
      </c>
      <c r="C4054" s="3" t="s">
        <v>28</v>
      </c>
      <c r="D4054" s="3" t="s">
        <v>29</v>
      </c>
      <c r="E4054" s="3" t="s">
        <v>56</v>
      </c>
      <c r="F4054" s="3" t="s">
        <v>31</v>
      </c>
      <c r="G4054" s="3" t="s">
        <v>56</v>
      </c>
      <c r="H4054" s="3" t="s">
        <v>32</v>
      </c>
      <c r="I4054" s="3">
        <v>2025</v>
      </c>
      <c r="J4054" s="3" t="str">
        <f>CONCATENATE("54820233077")</f>
        <v>54820233077</v>
      </c>
      <c r="K4054" s="3" t="s">
        <v>33</v>
      </c>
      <c r="L4054" s="3"/>
      <c r="M4054" s="3" t="s">
        <v>131</v>
      </c>
      <c r="N4054" s="3" t="str">
        <f>CONCATENATE("SVRDMN00L12E783S")</f>
        <v>SVRDMN00L12E783S</v>
      </c>
      <c r="O4054" s="3" t="s">
        <v>4165</v>
      </c>
      <c r="P4054" s="3" t="s">
        <v>36</v>
      </c>
      <c r="Q4054" s="3"/>
      <c r="R4054" s="4">
        <v>45996</v>
      </c>
      <c r="S4054" s="3" t="s">
        <v>37</v>
      </c>
      <c r="T4054" s="3" t="s">
        <v>38</v>
      </c>
      <c r="U4054" s="3" t="s">
        <v>39</v>
      </c>
      <c r="V4054" s="5">
        <v>1356.74</v>
      </c>
      <c r="W4054" s="3">
        <v>576.61</v>
      </c>
      <c r="X4054" s="3">
        <v>546.09</v>
      </c>
      <c r="Y4054" s="3">
        <v>234.04</v>
      </c>
    </row>
    <row r="4055" spans="1:25" ht="72.75" x14ac:dyDescent="0.25">
      <c r="A4055" s="3" t="s">
        <v>26</v>
      </c>
      <c r="B4055" s="3" t="s">
        <v>27</v>
      </c>
      <c r="C4055" s="3" t="s">
        <v>28</v>
      </c>
      <c r="D4055" s="3" t="s">
        <v>29</v>
      </c>
      <c r="E4055" s="3" t="s">
        <v>56</v>
      </c>
      <c r="F4055" s="3" t="s">
        <v>31</v>
      </c>
      <c r="G4055" s="3" t="s">
        <v>56</v>
      </c>
      <c r="H4055" s="3" t="s">
        <v>32</v>
      </c>
      <c r="I4055" s="3">
        <v>2025</v>
      </c>
      <c r="J4055" s="3" t="str">
        <f>CONCATENATE("54820165295")</f>
        <v>54820165295</v>
      </c>
      <c r="K4055" s="3" t="s">
        <v>33</v>
      </c>
      <c r="L4055" s="3"/>
      <c r="M4055" s="3" t="s">
        <v>131</v>
      </c>
      <c r="N4055" s="3" t="str">
        <f>CONCATENATE("TLLMGH57H41D653E")</f>
        <v>TLLMGH57H41D653E</v>
      </c>
      <c r="O4055" s="3" t="s">
        <v>4166</v>
      </c>
      <c r="P4055" s="3" t="s">
        <v>36</v>
      </c>
      <c r="Q4055" s="3"/>
      <c r="R4055" s="4">
        <v>45996</v>
      </c>
      <c r="S4055" s="3" t="s">
        <v>37</v>
      </c>
      <c r="T4055" s="3" t="s">
        <v>38</v>
      </c>
      <c r="U4055" s="3" t="s">
        <v>39</v>
      </c>
      <c r="V4055" s="3">
        <v>81.400000000000006</v>
      </c>
      <c r="W4055" s="3">
        <v>34.6</v>
      </c>
      <c r="X4055" s="3">
        <v>32.76</v>
      </c>
      <c r="Y4055" s="3">
        <v>14.04</v>
      </c>
    </row>
    <row r="4056" spans="1:25" ht="60.75" x14ac:dyDescent="0.25">
      <c r="A4056" s="3" t="s">
        <v>26</v>
      </c>
      <c r="B4056" s="3" t="s">
        <v>27</v>
      </c>
      <c r="C4056" s="3" t="s">
        <v>28</v>
      </c>
      <c r="D4056" s="3" t="s">
        <v>29</v>
      </c>
      <c r="E4056" s="3" t="s">
        <v>56</v>
      </c>
      <c r="F4056" s="3" t="s">
        <v>31</v>
      </c>
      <c r="G4056" s="3" t="s">
        <v>56</v>
      </c>
      <c r="H4056" s="3" t="s">
        <v>32</v>
      </c>
      <c r="I4056" s="3">
        <v>2025</v>
      </c>
      <c r="J4056" s="3" t="str">
        <f>CONCATENATE("54820165311")</f>
        <v>54820165311</v>
      </c>
      <c r="K4056" s="3" t="s">
        <v>33</v>
      </c>
      <c r="L4056" s="3"/>
      <c r="M4056" s="3" t="s">
        <v>131</v>
      </c>
      <c r="N4056" s="3" t="str">
        <f>CONCATENATE("VNCMNL71D55H501E")</f>
        <v>VNCMNL71D55H501E</v>
      </c>
      <c r="O4056" s="3" t="s">
        <v>4167</v>
      </c>
      <c r="P4056" s="3" t="s">
        <v>36</v>
      </c>
      <c r="Q4056" s="3"/>
      <c r="R4056" s="4">
        <v>45996</v>
      </c>
      <c r="S4056" s="3" t="s">
        <v>37</v>
      </c>
      <c r="T4056" s="3" t="s">
        <v>38</v>
      </c>
      <c r="U4056" s="3" t="s">
        <v>39</v>
      </c>
      <c r="V4056" s="3">
        <v>790.38</v>
      </c>
      <c r="W4056" s="3">
        <v>335.91</v>
      </c>
      <c r="X4056" s="3">
        <v>318.13</v>
      </c>
      <c r="Y4056" s="3">
        <v>136.34</v>
      </c>
    </row>
    <row r="4057" spans="1:25" ht="60.75" x14ac:dyDescent="0.25">
      <c r="A4057" s="3" t="s">
        <v>26</v>
      </c>
      <c r="B4057" s="3" t="s">
        <v>27</v>
      </c>
      <c r="C4057" s="3" t="s">
        <v>28</v>
      </c>
      <c r="D4057" s="3" t="s">
        <v>29</v>
      </c>
      <c r="E4057" s="3" t="s">
        <v>182</v>
      </c>
      <c r="F4057" s="3" t="s">
        <v>31</v>
      </c>
      <c r="G4057" s="3" t="s">
        <v>182</v>
      </c>
      <c r="H4057" s="3" t="s">
        <v>45</v>
      </c>
      <c r="I4057" s="3">
        <v>2025</v>
      </c>
      <c r="J4057" s="3" t="str">
        <f>CONCATENATE("54820149653")</f>
        <v>54820149653</v>
      </c>
      <c r="K4057" s="3" t="s">
        <v>33</v>
      </c>
      <c r="L4057" s="3"/>
      <c r="M4057" s="3" t="s">
        <v>131</v>
      </c>
      <c r="N4057" s="3" t="str">
        <f>CONCATENATE("RSLMGB40B67L500L")</f>
        <v>RSLMGB40B67L500L</v>
      </c>
      <c r="O4057" s="3" t="s">
        <v>4168</v>
      </c>
      <c r="P4057" s="3" t="s">
        <v>36</v>
      </c>
      <c r="Q4057" s="3"/>
      <c r="R4057" s="4">
        <v>45996</v>
      </c>
      <c r="S4057" s="3" t="s">
        <v>37</v>
      </c>
      <c r="T4057" s="3" t="s">
        <v>38</v>
      </c>
      <c r="U4057" s="3" t="s">
        <v>39</v>
      </c>
      <c r="V4057" s="3">
        <v>282.87</v>
      </c>
      <c r="W4057" s="3">
        <v>120.22</v>
      </c>
      <c r="X4057" s="3">
        <v>113.86</v>
      </c>
      <c r="Y4057" s="3">
        <v>48.79</v>
      </c>
    </row>
    <row r="4058" spans="1:25" ht="60.75" x14ac:dyDescent="0.25">
      <c r="A4058" s="3" t="s">
        <v>26</v>
      </c>
      <c r="B4058" s="3" t="s">
        <v>27</v>
      </c>
      <c r="C4058" s="3" t="s">
        <v>28</v>
      </c>
      <c r="D4058" s="3" t="s">
        <v>29</v>
      </c>
      <c r="E4058" s="3" t="s">
        <v>68</v>
      </c>
      <c r="F4058" s="3" t="s">
        <v>31</v>
      </c>
      <c r="G4058" s="3" t="s">
        <v>68</v>
      </c>
      <c r="H4058" s="3" t="s">
        <v>32</v>
      </c>
      <c r="I4058" s="3">
        <v>2025</v>
      </c>
      <c r="J4058" s="3" t="str">
        <f>CONCATENATE("54820237326")</f>
        <v>54820237326</v>
      </c>
      <c r="K4058" s="3" t="s">
        <v>33</v>
      </c>
      <c r="L4058" s="3"/>
      <c r="M4058" s="3" t="s">
        <v>131</v>
      </c>
      <c r="N4058" s="3" t="str">
        <f>CONCATENATE("BCCNRC78C21I436T")</f>
        <v>BCCNRC78C21I436T</v>
      </c>
      <c r="O4058" s="3" t="s">
        <v>4169</v>
      </c>
      <c r="P4058" s="3" t="s">
        <v>36</v>
      </c>
      <c r="Q4058" s="3"/>
      <c r="R4058" s="4">
        <v>45996</v>
      </c>
      <c r="S4058" s="3" t="s">
        <v>37</v>
      </c>
      <c r="T4058" s="3" t="s">
        <v>38</v>
      </c>
      <c r="U4058" s="3" t="s">
        <v>39</v>
      </c>
      <c r="V4058" s="3">
        <v>874.94</v>
      </c>
      <c r="W4058" s="3">
        <v>371.85</v>
      </c>
      <c r="X4058" s="3">
        <v>352.16</v>
      </c>
      <c r="Y4058" s="3">
        <v>150.93</v>
      </c>
    </row>
    <row r="4059" spans="1:25" ht="60.75" x14ac:dyDescent="0.25">
      <c r="A4059" s="3" t="s">
        <v>26</v>
      </c>
      <c r="B4059" s="3" t="s">
        <v>27</v>
      </c>
      <c r="C4059" s="3" t="s">
        <v>28</v>
      </c>
      <c r="D4059" s="3" t="s">
        <v>29</v>
      </c>
      <c r="E4059" s="3" t="s">
        <v>56</v>
      </c>
      <c r="F4059" s="3" t="s">
        <v>31</v>
      </c>
      <c r="G4059" s="3" t="s">
        <v>56</v>
      </c>
      <c r="H4059" s="3" t="s">
        <v>32</v>
      </c>
      <c r="I4059" s="3">
        <v>2025</v>
      </c>
      <c r="J4059" s="3" t="str">
        <f>CONCATENATE("54820177936")</f>
        <v>54820177936</v>
      </c>
      <c r="K4059" s="3" t="s">
        <v>33</v>
      </c>
      <c r="L4059" s="3"/>
      <c r="M4059" s="3" t="s">
        <v>131</v>
      </c>
      <c r="N4059" s="3" t="str">
        <f>CONCATENATE("LMBNZR59A29B474L")</f>
        <v>LMBNZR59A29B474L</v>
      </c>
      <c r="O4059" s="3" t="s">
        <v>4170</v>
      </c>
      <c r="P4059" s="3" t="s">
        <v>36</v>
      </c>
      <c r="Q4059" s="3"/>
      <c r="R4059" s="4">
        <v>45996</v>
      </c>
      <c r="S4059" s="3" t="s">
        <v>37</v>
      </c>
      <c r="T4059" s="3" t="s">
        <v>38</v>
      </c>
      <c r="U4059" s="3" t="s">
        <v>39</v>
      </c>
      <c r="V4059" s="3">
        <v>849.81</v>
      </c>
      <c r="W4059" s="3">
        <v>361.17</v>
      </c>
      <c r="X4059" s="3">
        <v>342.05</v>
      </c>
      <c r="Y4059" s="3">
        <v>146.59</v>
      </c>
    </row>
    <row r="4060" spans="1:25" ht="60.75" x14ac:dyDescent="0.25">
      <c r="A4060" s="3" t="s">
        <v>26</v>
      </c>
      <c r="B4060" s="3" t="s">
        <v>27</v>
      </c>
      <c r="C4060" s="3" t="s">
        <v>28</v>
      </c>
      <c r="D4060" s="3" t="s">
        <v>29</v>
      </c>
      <c r="E4060" s="3" t="s">
        <v>56</v>
      </c>
      <c r="F4060" s="3" t="s">
        <v>31</v>
      </c>
      <c r="G4060" s="3" t="s">
        <v>56</v>
      </c>
      <c r="H4060" s="3" t="s">
        <v>32</v>
      </c>
      <c r="I4060" s="3">
        <v>2025</v>
      </c>
      <c r="J4060" s="3" t="str">
        <f>CONCATENATE("54820099684")</f>
        <v>54820099684</v>
      </c>
      <c r="K4060" s="3" t="s">
        <v>33</v>
      </c>
      <c r="L4060" s="3"/>
      <c r="M4060" s="3" t="s">
        <v>131</v>
      </c>
      <c r="N4060" s="3" t="str">
        <f>CONCATENATE("MCCVCN52A01B474C")</f>
        <v>MCCVCN52A01B474C</v>
      </c>
      <c r="O4060" s="3" t="s">
        <v>4171</v>
      </c>
      <c r="P4060" s="3" t="s">
        <v>36</v>
      </c>
      <c r="Q4060" s="3"/>
      <c r="R4060" s="4">
        <v>45996</v>
      </c>
      <c r="S4060" s="3" t="s">
        <v>37</v>
      </c>
      <c r="T4060" s="3" t="s">
        <v>38</v>
      </c>
      <c r="U4060" s="3" t="s">
        <v>39</v>
      </c>
      <c r="V4060" s="3">
        <v>161.33000000000001</v>
      </c>
      <c r="W4060" s="3">
        <v>68.569999999999993</v>
      </c>
      <c r="X4060" s="3">
        <v>64.94</v>
      </c>
      <c r="Y4060" s="3">
        <v>27.82</v>
      </c>
    </row>
    <row r="4061" spans="1:25" ht="60.75" x14ac:dyDescent="0.25">
      <c r="A4061" s="3" t="s">
        <v>26</v>
      </c>
      <c r="B4061" s="3" t="s">
        <v>27</v>
      </c>
      <c r="C4061" s="3" t="s">
        <v>28</v>
      </c>
      <c r="D4061" s="3" t="s">
        <v>2198</v>
      </c>
      <c r="E4061" s="3" t="s">
        <v>2199</v>
      </c>
      <c r="F4061" s="3" t="s">
        <v>2200</v>
      </c>
      <c r="G4061" s="3" t="s">
        <v>2199</v>
      </c>
      <c r="H4061" s="3" t="s">
        <v>96</v>
      </c>
      <c r="I4061" s="3">
        <v>2025</v>
      </c>
      <c r="J4061" s="3" t="str">
        <f>CONCATENATE("54820203716")</f>
        <v>54820203716</v>
      </c>
      <c r="K4061" s="3" t="s">
        <v>33</v>
      </c>
      <c r="L4061" s="3"/>
      <c r="M4061" s="3" t="s">
        <v>131</v>
      </c>
      <c r="N4061" s="3" t="str">
        <f>CONCATENATE("BNCMRA42T47A252V")</f>
        <v>BNCMRA42T47A252V</v>
      </c>
      <c r="O4061" s="3" t="s">
        <v>4172</v>
      </c>
      <c r="P4061" s="3" t="s">
        <v>36</v>
      </c>
      <c r="Q4061" s="3"/>
      <c r="R4061" s="4">
        <v>45996</v>
      </c>
      <c r="S4061" s="3" t="s">
        <v>37</v>
      </c>
      <c r="T4061" s="3" t="s">
        <v>38</v>
      </c>
      <c r="U4061" s="3" t="s">
        <v>39</v>
      </c>
      <c r="V4061" s="3">
        <v>120.48</v>
      </c>
      <c r="W4061" s="3">
        <v>51.2</v>
      </c>
      <c r="X4061" s="3">
        <v>48.49</v>
      </c>
      <c r="Y4061" s="3">
        <v>20.79</v>
      </c>
    </row>
    <row r="4062" spans="1:25" ht="60.75" x14ac:dyDescent="0.25">
      <c r="A4062" s="3" t="s">
        <v>26</v>
      </c>
      <c r="B4062" s="3" t="s">
        <v>27</v>
      </c>
      <c r="C4062" s="3" t="s">
        <v>28</v>
      </c>
      <c r="D4062" s="3" t="s">
        <v>50</v>
      </c>
      <c r="E4062" s="3" t="s">
        <v>51</v>
      </c>
      <c r="F4062" s="3" t="s">
        <v>52</v>
      </c>
      <c r="G4062" s="3" t="s">
        <v>51</v>
      </c>
      <c r="H4062" s="3" t="s">
        <v>48</v>
      </c>
      <c r="I4062" s="3">
        <v>2025</v>
      </c>
      <c r="J4062" s="3" t="str">
        <f>CONCATENATE("54820166871")</f>
        <v>54820166871</v>
      </c>
      <c r="K4062" s="3" t="s">
        <v>33</v>
      </c>
      <c r="L4062" s="3"/>
      <c r="M4062" s="3" t="s">
        <v>131</v>
      </c>
      <c r="N4062" s="3" t="str">
        <f>CONCATENATE("MRNMKL85E31I608C")</f>
        <v>MRNMKL85E31I608C</v>
      </c>
      <c r="O4062" s="3" t="s">
        <v>4173</v>
      </c>
      <c r="P4062" s="3" t="s">
        <v>36</v>
      </c>
      <c r="Q4062" s="3"/>
      <c r="R4062" s="4">
        <v>45996</v>
      </c>
      <c r="S4062" s="3" t="s">
        <v>37</v>
      </c>
      <c r="T4062" s="3" t="s">
        <v>38</v>
      </c>
      <c r="U4062" s="3" t="s">
        <v>39</v>
      </c>
      <c r="V4062" s="3">
        <v>213</v>
      </c>
      <c r="W4062" s="3">
        <v>90.53</v>
      </c>
      <c r="X4062" s="3">
        <v>85.73</v>
      </c>
      <c r="Y4062" s="3">
        <v>36.74</v>
      </c>
    </row>
    <row r="4063" spans="1:25" ht="60.75" x14ac:dyDescent="0.25">
      <c r="A4063" s="3" t="s">
        <v>26</v>
      </c>
      <c r="B4063" s="3" t="s">
        <v>27</v>
      </c>
      <c r="C4063" s="3" t="s">
        <v>28</v>
      </c>
      <c r="D4063" s="3" t="s">
        <v>50</v>
      </c>
      <c r="E4063" s="3" t="s">
        <v>51</v>
      </c>
      <c r="F4063" s="3" t="s">
        <v>52</v>
      </c>
      <c r="G4063" s="3" t="s">
        <v>51</v>
      </c>
      <c r="H4063" s="3" t="s">
        <v>48</v>
      </c>
      <c r="I4063" s="3">
        <v>2025</v>
      </c>
      <c r="J4063" s="3" t="str">
        <f>CONCATENATE("54820152400")</f>
        <v>54820152400</v>
      </c>
      <c r="K4063" s="3" t="s">
        <v>33</v>
      </c>
      <c r="L4063" s="3"/>
      <c r="M4063" s="3" t="s">
        <v>131</v>
      </c>
      <c r="N4063" s="3" t="str">
        <f>CONCATENATE("FLCSLL90A60I608D")</f>
        <v>FLCSLL90A60I608D</v>
      </c>
      <c r="O4063" s="3" t="s">
        <v>4174</v>
      </c>
      <c r="P4063" s="3" t="s">
        <v>36</v>
      </c>
      <c r="Q4063" s="3"/>
      <c r="R4063" s="4">
        <v>45996</v>
      </c>
      <c r="S4063" s="3" t="s">
        <v>37</v>
      </c>
      <c r="T4063" s="3" t="s">
        <v>38</v>
      </c>
      <c r="U4063" s="3" t="s">
        <v>39</v>
      </c>
      <c r="V4063" s="3">
        <v>48.35</v>
      </c>
      <c r="W4063" s="3">
        <v>20.55</v>
      </c>
      <c r="X4063" s="3">
        <v>19.46</v>
      </c>
      <c r="Y4063" s="3">
        <v>8.34</v>
      </c>
    </row>
    <row r="4064" spans="1:25" ht="60.75" x14ac:dyDescent="0.25">
      <c r="A4064" s="3" t="s">
        <v>26</v>
      </c>
      <c r="B4064" s="3" t="s">
        <v>27</v>
      </c>
      <c r="C4064" s="3" t="s">
        <v>28</v>
      </c>
      <c r="D4064" s="3" t="s">
        <v>50</v>
      </c>
      <c r="E4064" s="3" t="s">
        <v>225</v>
      </c>
      <c r="F4064" s="3" t="s">
        <v>52</v>
      </c>
      <c r="G4064" s="3" t="s">
        <v>225</v>
      </c>
      <c r="H4064" s="3" t="s">
        <v>96</v>
      </c>
      <c r="I4064" s="3">
        <v>2025</v>
      </c>
      <c r="J4064" s="3" t="str">
        <f>CONCATENATE("54820133293")</f>
        <v>54820133293</v>
      </c>
      <c r="K4064" s="3" t="s">
        <v>33</v>
      </c>
      <c r="L4064" s="3"/>
      <c r="M4064" s="3" t="s">
        <v>131</v>
      </c>
      <c r="N4064" s="3" t="str">
        <f>CONCATENATE("TRBVCN52B07H588T")</f>
        <v>TRBVCN52B07H588T</v>
      </c>
      <c r="O4064" s="3" t="s">
        <v>4175</v>
      </c>
      <c r="P4064" s="3" t="s">
        <v>36</v>
      </c>
      <c r="Q4064" s="3"/>
      <c r="R4064" s="4">
        <v>45996</v>
      </c>
      <c r="S4064" s="3" t="s">
        <v>37</v>
      </c>
      <c r="T4064" s="3" t="s">
        <v>38</v>
      </c>
      <c r="U4064" s="3" t="s">
        <v>39</v>
      </c>
      <c r="V4064" s="3">
        <v>95.19</v>
      </c>
      <c r="W4064" s="3">
        <v>40.46</v>
      </c>
      <c r="X4064" s="3">
        <v>38.31</v>
      </c>
      <c r="Y4064" s="3">
        <v>16.420000000000002</v>
      </c>
    </row>
    <row r="4065" spans="1:25" ht="60.75" x14ac:dyDescent="0.25">
      <c r="A4065" s="3" t="s">
        <v>26</v>
      </c>
      <c r="B4065" s="3" t="s">
        <v>27</v>
      </c>
      <c r="C4065" s="3" t="s">
        <v>28</v>
      </c>
      <c r="D4065" s="3" t="s">
        <v>50</v>
      </c>
      <c r="E4065" s="3" t="s">
        <v>147</v>
      </c>
      <c r="F4065" s="3" t="s">
        <v>52</v>
      </c>
      <c r="G4065" s="3" t="s">
        <v>147</v>
      </c>
      <c r="H4065" s="3" t="s">
        <v>45</v>
      </c>
      <c r="I4065" s="3">
        <v>2025</v>
      </c>
      <c r="J4065" s="3" t="str">
        <f>CONCATENATE("54820181037")</f>
        <v>54820181037</v>
      </c>
      <c r="K4065" s="3" t="s">
        <v>33</v>
      </c>
      <c r="L4065" s="3"/>
      <c r="M4065" s="3" t="s">
        <v>131</v>
      </c>
      <c r="N4065" s="3" t="str">
        <f>CONCATENATE("SSTMNL76R21I459H")</f>
        <v>SSTMNL76R21I459H</v>
      </c>
      <c r="O4065" s="3" t="s">
        <v>4176</v>
      </c>
      <c r="P4065" s="3" t="s">
        <v>36</v>
      </c>
      <c r="Q4065" s="3"/>
      <c r="R4065" s="4">
        <v>45996</v>
      </c>
      <c r="S4065" s="3" t="s">
        <v>37</v>
      </c>
      <c r="T4065" s="3" t="s">
        <v>38</v>
      </c>
      <c r="U4065" s="3" t="s">
        <v>39</v>
      </c>
      <c r="V4065" s="3">
        <v>901.13</v>
      </c>
      <c r="W4065" s="3">
        <v>382.98</v>
      </c>
      <c r="X4065" s="3">
        <v>362.7</v>
      </c>
      <c r="Y4065" s="3">
        <v>155.44999999999999</v>
      </c>
    </row>
    <row r="4066" spans="1:25" ht="36.75" x14ac:dyDescent="0.25">
      <c r="A4066" s="3" t="s">
        <v>26</v>
      </c>
      <c r="B4066" s="3" t="s">
        <v>27</v>
      </c>
      <c r="C4066" s="3" t="s">
        <v>28</v>
      </c>
      <c r="D4066" s="3" t="s">
        <v>50</v>
      </c>
      <c r="E4066" s="3" t="s">
        <v>60</v>
      </c>
      <c r="F4066" s="3" t="s">
        <v>52</v>
      </c>
      <c r="G4066" s="3" t="s">
        <v>60</v>
      </c>
      <c r="H4066" s="3" t="s">
        <v>45</v>
      </c>
      <c r="I4066" s="3">
        <v>2025</v>
      </c>
      <c r="J4066" s="3" t="str">
        <f>CONCATENATE("54820242433")</f>
        <v>54820242433</v>
      </c>
      <c r="K4066" s="3" t="s">
        <v>33</v>
      </c>
      <c r="L4066" s="3"/>
      <c r="M4066" s="3" t="s">
        <v>131</v>
      </c>
      <c r="N4066" s="3" t="str">
        <f>CONCATENATE("02323940417")</f>
        <v>02323940417</v>
      </c>
      <c r="O4066" s="3" t="s">
        <v>4177</v>
      </c>
      <c r="P4066" s="3" t="s">
        <v>36</v>
      </c>
      <c r="Q4066" s="3"/>
      <c r="R4066" s="4">
        <v>45996</v>
      </c>
      <c r="S4066" s="3" t="s">
        <v>37</v>
      </c>
      <c r="T4066" s="3" t="s">
        <v>38</v>
      </c>
      <c r="U4066" s="3" t="s">
        <v>39</v>
      </c>
      <c r="V4066" s="3">
        <v>555.91</v>
      </c>
      <c r="W4066" s="3">
        <v>236.26</v>
      </c>
      <c r="X4066" s="3">
        <v>223.75</v>
      </c>
      <c r="Y4066" s="3">
        <v>95.9</v>
      </c>
    </row>
    <row r="4067" spans="1:25" ht="60.75" x14ac:dyDescent="0.25">
      <c r="A4067" s="3" t="s">
        <v>26</v>
      </c>
      <c r="B4067" s="3" t="s">
        <v>27</v>
      </c>
      <c r="C4067" s="3" t="s">
        <v>28</v>
      </c>
      <c r="D4067" s="3" t="s">
        <v>50</v>
      </c>
      <c r="E4067" s="3" t="s">
        <v>147</v>
      </c>
      <c r="F4067" s="3" t="s">
        <v>52</v>
      </c>
      <c r="G4067" s="3" t="s">
        <v>147</v>
      </c>
      <c r="H4067" s="3" t="s">
        <v>45</v>
      </c>
      <c r="I4067" s="3">
        <v>2025</v>
      </c>
      <c r="J4067" s="3" t="str">
        <f>CONCATENATE("54820181706")</f>
        <v>54820181706</v>
      </c>
      <c r="K4067" s="3" t="s">
        <v>33</v>
      </c>
      <c r="L4067" s="3"/>
      <c r="M4067" s="3" t="s">
        <v>131</v>
      </c>
      <c r="N4067" s="3" t="str">
        <f>CONCATENATE("RGHFRZ66R19E785G")</f>
        <v>RGHFRZ66R19E785G</v>
      </c>
      <c r="O4067" s="3" t="s">
        <v>4178</v>
      </c>
      <c r="P4067" s="3" t="s">
        <v>36</v>
      </c>
      <c r="Q4067" s="3"/>
      <c r="R4067" s="4">
        <v>45996</v>
      </c>
      <c r="S4067" s="3" t="s">
        <v>37</v>
      </c>
      <c r="T4067" s="3" t="s">
        <v>38</v>
      </c>
      <c r="U4067" s="3" t="s">
        <v>39</v>
      </c>
      <c r="V4067" s="3">
        <v>121.21</v>
      </c>
      <c r="W4067" s="3">
        <v>51.51</v>
      </c>
      <c r="X4067" s="3">
        <v>48.79</v>
      </c>
      <c r="Y4067" s="3">
        <v>20.91</v>
      </c>
    </row>
    <row r="4068" spans="1:25" ht="60.75" x14ac:dyDescent="0.25">
      <c r="A4068" s="3" t="s">
        <v>26</v>
      </c>
      <c r="B4068" s="3" t="s">
        <v>27</v>
      </c>
      <c r="C4068" s="3" t="s">
        <v>28</v>
      </c>
      <c r="D4068" s="3" t="s">
        <v>50</v>
      </c>
      <c r="E4068" s="3" t="s">
        <v>252</v>
      </c>
      <c r="F4068" s="3" t="s">
        <v>52</v>
      </c>
      <c r="G4068" s="3" t="s">
        <v>252</v>
      </c>
      <c r="H4068" s="3" t="s">
        <v>45</v>
      </c>
      <c r="I4068" s="3">
        <v>2025</v>
      </c>
      <c r="J4068" s="3" t="str">
        <f>CONCATENATE("54820181466")</f>
        <v>54820181466</v>
      </c>
      <c r="K4068" s="3" t="s">
        <v>33</v>
      </c>
      <c r="L4068" s="3"/>
      <c r="M4068" s="3" t="s">
        <v>131</v>
      </c>
      <c r="N4068" s="3" t="str">
        <f>CONCATENATE("CRZFRC82M05L500H")</f>
        <v>CRZFRC82M05L500H</v>
      </c>
      <c r="O4068" s="3" t="s">
        <v>4179</v>
      </c>
      <c r="P4068" s="3" t="s">
        <v>36</v>
      </c>
      <c r="Q4068" s="3"/>
      <c r="R4068" s="4">
        <v>45996</v>
      </c>
      <c r="S4068" s="3" t="s">
        <v>37</v>
      </c>
      <c r="T4068" s="3" t="s">
        <v>38</v>
      </c>
      <c r="U4068" s="3" t="s">
        <v>39</v>
      </c>
      <c r="V4068" s="3">
        <v>113.55</v>
      </c>
      <c r="W4068" s="3">
        <v>48.26</v>
      </c>
      <c r="X4068" s="3">
        <v>45.7</v>
      </c>
      <c r="Y4068" s="3">
        <v>19.59</v>
      </c>
    </row>
    <row r="4069" spans="1:25" ht="36.75" x14ac:dyDescent="0.25">
      <c r="A4069" s="3" t="s">
        <v>26</v>
      </c>
      <c r="B4069" s="3" t="s">
        <v>27</v>
      </c>
      <c r="C4069" s="3" t="s">
        <v>28</v>
      </c>
      <c r="D4069" s="3" t="s">
        <v>50</v>
      </c>
      <c r="E4069" s="3" t="s">
        <v>60</v>
      </c>
      <c r="F4069" s="3" t="s">
        <v>52</v>
      </c>
      <c r="G4069" s="3" t="s">
        <v>60</v>
      </c>
      <c r="H4069" s="3" t="s">
        <v>45</v>
      </c>
      <c r="I4069" s="3">
        <v>2025</v>
      </c>
      <c r="J4069" s="3" t="str">
        <f>CONCATENATE("54820213715")</f>
        <v>54820213715</v>
      </c>
      <c r="K4069" s="3" t="s">
        <v>33</v>
      </c>
      <c r="L4069" s="3"/>
      <c r="M4069" s="3" t="s">
        <v>131</v>
      </c>
      <c r="N4069" s="3" t="str">
        <f>CONCATENATE("01425100417")</f>
        <v>01425100417</v>
      </c>
      <c r="O4069" s="3" t="s">
        <v>4180</v>
      </c>
      <c r="P4069" s="3" t="s">
        <v>36</v>
      </c>
      <c r="Q4069" s="3"/>
      <c r="R4069" s="4">
        <v>45996</v>
      </c>
      <c r="S4069" s="3" t="s">
        <v>37</v>
      </c>
      <c r="T4069" s="3" t="s">
        <v>38</v>
      </c>
      <c r="U4069" s="3" t="s">
        <v>39</v>
      </c>
      <c r="V4069" s="3">
        <v>234.38</v>
      </c>
      <c r="W4069" s="3">
        <v>99.61</v>
      </c>
      <c r="X4069" s="3">
        <v>94.34</v>
      </c>
      <c r="Y4069" s="3">
        <v>40.43</v>
      </c>
    </row>
    <row r="4070" spans="1:25" ht="60.75" x14ac:dyDescent="0.25">
      <c r="A4070" s="3" t="s">
        <v>26</v>
      </c>
      <c r="B4070" s="3" t="s">
        <v>27</v>
      </c>
      <c r="C4070" s="3" t="s">
        <v>28</v>
      </c>
      <c r="D4070" s="3" t="s">
        <v>50</v>
      </c>
      <c r="E4070" s="3" t="s">
        <v>60</v>
      </c>
      <c r="F4070" s="3" t="s">
        <v>52</v>
      </c>
      <c r="G4070" s="3" t="s">
        <v>60</v>
      </c>
      <c r="H4070" s="3" t="s">
        <v>45</v>
      </c>
      <c r="I4070" s="3">
        <v>2025</v>
      </c>
      <c r="J4070" s="3" t="str">
        <f>CONCATENATE("54820120670")</f>
        <v>54820120670</v>
      </c>
      <c r="K4070" s="3" t="s">
        <v>33</v>
      </c>
      <c r="L4070" s="3"/>
      <c r="M4070" s="3" t="s">
        <v>131</v>
      </c>
      <c r="N4070" s="3" t="str">
        <f>CONCATENATE("DMNCRL72L48L500B")</f>
        <v>DMNCRL72L48L500B</v>
      </c>
      <c r="O4070" s="3" t="s">
        <v>4181</v>
      </c>
      <c r="P4070" s="3" t="s">
        <v>36</v>
      </c>
      <c r="Q4070" s="3"/>
      <c r="R4070" s="4">
        <v>45996</v>
      </c>
      <c r="S4070" s="3" t="s">
        <v>37</v>
      </c>
      <c r="T4070" s="3" t="s">
        <v>38</v>
      </c>
      <c r="U4070" s="3" t="s">
        <v>39</v>
      </c>
      <c r="V4070" s="3">
        <v>85.09</v>
      </c>
      <c r="W4070" s="3">
        <v>36.159999999999997</v>
      </c>
      <c r="X4070" s="3">
        <v>34.25</v>
      </c>
      <c r="Y4070" s="3">
        <v>14.68</v>
      </c>
    </row>
    <row r="4071" spans="1:25" ht="60.75" x14ac:dyDescent="0.25">
      <c r="A4071" s="3" t="s">
        <v>26</v>
      </c>
      <c r="B4071" s="3" t="s">
        <v>27</v>
      </c>
      <c r="C4071" s="3" t="s">
        <v>28</v>
      </c>
      <c r="D4071" s="3" t="s">
        <v>50</v>
      </c>
      <c r="E4071" s="3" t="s">
        <v>147</v>
      </c>
      <c r="F4071" s="3" t="s">
        <v>52</v>
      </c>
      <c r="G4071" s="3" t="s">
        <v>147</v>
      </c>
      <c r="H4071" s="3" t="s">
        <v>45</v>
      </c>
      <c r="I4071" s="3">
        <v>2025</v>
      </c>
      <c r="J4071" s="3" t="str">
        <f>CONCATENATE("54820170279")</f>
        <v>54820170279</v>
      </c>
      <c r="K4071" s="3" t="s">
        <v>33</v>
      </c>
      <c r="L4071" s="3"/>
      <c r="M4071" s="3" t="s">
        <v>131</v>
      </c>
      <c r="N4071" s="3" t="str">
        <f>CONCATENATE("LNELEI83T23L500U")</f>
        <v>LNELEI83T23L500U</v>
      </c>
      <c r="O4071" s="3" t="s">
        <v>4182</v>
      </c>
      <c r="P4071" s="3" t="s">
        <v>36</v>
      </c>
      <c r="Q4071" s="3"/>
      <c r="R4071" s="4">
        <v>45996</v>
      </c>
      <c r="S4071" s="3" t="s">
        <v>37</v>
      </c>
      <c r="T4071" s="3" t="s">
        <v>38</v>
      </c>
      <c r="U4071" s="3" t="s">
        <v>39</v>
      </c>
      <c r="V4071" s="3">
        <v>49.11</v>
      </c>
      <c r="W4071" s="3">
        <v>20.87</v>
      </c>
      <c r="X4071" s="3">
        <v>19.77</v>
      </c>
      <c r="Y4071" s="3">
        <v>8.4700000000000006</v>
      </c>
    </row>
    <row r="4072" spans="1:25" ht="60.75" x14ac:dyDescent="0.25">
      <c r="A4072" s="3" t="s">
        <v>26</v>
      </c>
      <c r="B4072" s="3" t="s">
        <v>27</v>
      </c>
      <c r="C4072" s="3" t="s">
        <v>28</v>
      </c>
      <c r="D4072" s="3" t="s">
        <v>40</v>
      </c>
      <c r="E4072" s="3" t="s">
        <v>54</v>
      </c>
      <c r="F4072" s="3" t="s">
        <v>42</v>
      </c>
      <c r="G4072" s="3" t="s">
        <v>54</v>
      </c>
      <c r="H4072" s="3" t="s">
        <v>45</v>
      </c>
      <c r="I4072" s="3">
        <v>2025</v>
      </c>
      <c r="J4072" s="3" t="str">
        <f>CONCATENATE("54820144571")</f>
        <v>54820144571</v>
      </c>
      <c r="K4072" s="3" t="s">
        <v>33</v>
      </c>
      <c r="L4072" s="3"/>
      <c r="M4072" s="3" t="s">
        <v>131</v>
      </c>
      <c r="N4072" s="3" t="str">
        <f>CONCATENATE("CLNNRC83M16I459C")</f>
        <v>CLNNRC83M16I459C</v>
      </c>
      <c r="O4072" s="3" t="s">
        <v>4183</v>
      </c>
      <c r="P4072" s="3" t="s">
        <v>36</v>
      </c>
      <c r="Q4072" s="3"/>
      <c r="R4072" s="4">
        <v>45996</v>
      </c>
      <c r="S4072" s="3" t="s">
        <v>37</v>
      </c>
      <c r="T4072" s="3" t="s">
        <v>38</v>
      </c>
      <c r="U4072" s="3" t="s">
        <v>39</v>
      </c>
      <c r="V4072" s="3">
        <v>411.83</v>
      </c>
      <c r="W4072" s="3">
        <v>175.03</v>
      </c>
      <c r="X4072" s="3">
        <v>165.76</v>
      </c>
      <c r="Y4072" s="3">
        <v>71.040000000000006</v>
      </c>
    </row>
    <row r="4073" spans="1:25" ht="60.75" x14ac:dyDescent="0.25">
      <c r="A4073" s="3" t="s">
        <v>26</v>
      </c>
      <c r="B4073" s="3" t="s">
        <v>27</v>
      </c>
      <c r="C4073" s="3" t="s">
        <v>28</v>
      </c>
      <c r="D4073" s="3" t="s">
        <v>50</v>
      </c>
      <c r="E4073" s="3" t="s">
        <v>147</v>
      </c>
      <c r="F4073" s="3" t="s">
        <v>52</v>
      </c>
      <c r="G4073" s="3" t="s">
        <v>147</v>
      </c>
      <c r="H4073" s="3" t="s">
        <v>45</v>
      </c>
      <c r="I4073" s="3">
        <v>2025</v>
      </c>
      <c r="J4073" s="3" t="str">
        <f>CONCATENATE("54820172671")</f>
        <v>54820172671</v>
      </c>
      <c r="K4073" s="3" t="s">
        <v>33</v>
      </c>
      <c r="L4073" s="3"/>
      <c r="M4073" s="3" t="s">
        <v>131</v>
      </c>
      <c r="N4073" s="3" t="str">
        <f>CONCATENATE("TNCRZO63D08L500Z")</f>
        <v>TNCRZO63D08L500Z</v>
      </c>
      <c r="O4073" s="3" t="s">
        <v>4184</v>
      </c>
      <c r="P4073" s="3" t="s">
        <v>36</v>
      </c>
      <c r="Q4073" s="3"/>
      <c r="R4073" s="4">
        <v>45996</v>
      </c>
      <c r="S4073" s="3" t="s">
        <v>37</v>
      </c>
      <c r="T4073" s="3" t="s">
        <v>38</v>
      </c>
      <c r="U4073" s="3" t="s">
        <v>39</v>
      </c>
      <c r="V4073" s="3">
        <v>574.29</v>
      </c>
      <c r="W4073" s="3">
        <v>244.07</v>
      </c>
      <c r="X4073" s="3">
        <v>231.15</v>
      </c>
      <c r="Y4073" s="3">
        <v>99.07</v>
      </c>
    </row>
    <row r="4074" spans="1:25" ht="60.75" x14ac:dyDescent="0.25">
      <c r="A4074" s="3" t="s">
        <v>26</v>
      </c>
      <c r="B4074" s="3" t="s">
        <v>27</v>
      </c>
      <c r="C4074" s="3" t="s">
        <v>28</v>
      </c>
      <c r="D4074" s="3" t="s">
        <v>50</v>
      </c>
      <c r="E4074" s="3" t="s">
        <v>252</v>
      </c>
      <c r="F4074" s="3" t="s">
        <v>52</v>
      </c>
      <c r="G4074" s="3" t="s">
        <v>252</v>
      </c>
      <c r="H4074" s="3" t="s">
        <v>45</v>
      </c>
      <c r="I4074" s="3">
        <v>2025</v>
      </c>
      <c r="J4074" s="3" t="str">
        <f>CONCATENATE("54820186218")</f>
        <v>54820186218</v>
      </c>
      <c r="K4074" s="3" t="s">
        <v>33</v>
      </c>
      <c r="L4074" s="3"/>
      <c r="M4074" s="3" t="s">
        <v>131</v>
      </c>
      <c r="N4074" s="3" t="str">
        <f>CONCATENATE("LMBDDY85S26D749S")</f>
        <v>LMBDDY85S26D749S</v>
      </c>
      <c r="O4074" s="3" t="s">
        <v>4185</v>
      </c>
      <c r="P4074" s="3" t="s">
        <v>36</v>
      </c>
      <c r="Q4074" s="3"/>
      <c r="R4074" s="4">
        <v>45996</v>
      </c>
      <c r="S4074" s="3" t="s">
        <v>37</v>
      </c>
      <c r="T4074" s="3" t="s">
        <v>38</v>
      </c>
      <c r="U4074" s="3" t="s">
        <v>39</v>
      </c>
      <c r="V4074" s="3">
        <v>509.15</v>
      </c>
      <c r="W4074" s="3">
        <v>216.39</v>
      </c>
      <c r="X4074" s="3">
        <v>204.93</v>
      </c>
      <c r="Y4074" s="3">
        <v>87.83</v>
      </c>
    </row>
    <row r="4075" spans="1:25" ht="60.75" x14ac:dyDescent="0.25">
      <c r="A4075" s="3" t="s">
        <v>26</v>
      </c>
      <c r="B4075" s="3" t="s">
        <v>27</v>
      </c>
      <c r="C4075" s="3" t="s">
        <v>28</v>
      </c>
      <c r="D4075" s="3" t="s">
        <v>29</v>
      </c>
      <c r="E4075" s="3" t="s">
        <v>47</v>
      </c>
      <c r="F4075" s="3" t="s">
        <v>31</v>
      </c>
      <c r="G4075" s="3" t="s">
        <v>47</v>
      </c>
      <c r="H4075" s="3" t="s">
        <v>48</v>
      </c>
      <c r="I4075" s="3">
        <v>2025</v>
      </c>
      <c r="J4075" s="3" t="str">
        <f>CONCATENATE("54820198460")</f>
        <v>54820198460</v>
      </c>
      <c r="K4075" s="3" t="s">
        <v>33</v>
      </c>
      <c r="L4075" s="3"/>
      <c r="M4075" s="3" t="s">
        <v>131</v>
      </c>
      <c r="N4075" s="3" t="str">
        <f>CONCATENATE("GMBGNN49R11I653Y")</f>
        <v>GMBGNN49R11I653Y</v>
      </c>
      <c r="O4075" s="3" t="s">
        <v>4186</v>
      </c>
      <c r="P4075" s="3" t="s">
        <v>36</v>
      </c>
      <c r="Q4075" s="3"/>
      <c r="R4075" s="4">
        <v>45996</v>
      </c>
      <c r="S4075" s="3" t="s">
        <v>37</v>
      </c>
      <c r="T4075" s="3" t="s">
        <v>38</v>
      </c>
      <c r="U4075" s="3" t="s">
        <v>39</v>
      </c>
      <c r="V4075" s="3">
        <v>121.5</v>
      </c>
      <c r="W4075" s="3">
        <v>51.64</v>
      </c>
      <c r="X4075" s="3">
        <v>48.9</v>
      </c>
      <c r="Y4075" s="3">
        <v>20.96</v>
      </c>
    </row>
    <row r="4076" spans="1:25" ht="72.75" x14ac:dyDescent="0.25">
      <c r="A4076" s="3" t="s">
        <v>26</v>
      </c>
      <c r="B4076" s="3" t="s">
        <v>27</v>
      </c>
      <c r="C4076" s="3" t="s">
        <v>28</v>
      </c>
      <c r="D4076" s="3" t="s">
        <v>29</v>
      </c>
      <c r="E4076" s="3" t="s">
        <v>228</v>
      </c>
      <c r="F4076" s="3" t="s">
        <v>31</v>
      </c>
      <c r="G4076" s="3" t="s">
        <v>228</v>
      </c>
      <c r="H4076" s="3" t="s">
        <v>45</v>
      </c>
      <c r="I4076" s="3">
        <v>2025</v>
      </c>
      <c r="J4076" s="3" t="str">
        <f>CONCATENATE("54820159553")</f>
        <v>54820159553</v>
      </c>
      <c r="K4076" s="3" t="s">
        <v>33</v>
      </c>
      <c r="L4076" s="3"/>
      <c r="M4076" s="3" t="s">
        <v>131</v>
      </c>
      <c r="N4076" s="3" t="str">
        <f>CONCATENATE("LRNMTN95D55A271N")</f>
        <v>LRNMTN95D55A271N</v>
      </c>
      <c r="O4076" s="3" t="s">
        <v>4187</v>
      </c>
      <c r="P4076" s="3" t="s">
        <v>36</v>
      </c>
      <c r="Q4076" s="3"/>
      <c r="R4076" s="4">
        <v>45996</v>
      </c>
      <c r="S4076" s="3" t="s">
        <v>37</v>
      </c>
      <c r="T4076" s="3" t="s">
        <v>38</v>
      </c>
      <c r="U4076" s="3" t="s">
        <v>39</v>
      </c>
      <c r="V4076" s="3">
        <v>95.38</v>
      </c>
      <c r="W4076" s="3">
        <v>40.54</v>
      </c>
      <c r="X4076" s="3">
        <v>38.39</v>
      </c>
      <c r="Y4076" s="3">
        <v>16.45</v>
      </c>
    </row>
    <row r="4077" spans="1:25" ht="60.75" x14ac:dyDescent="0.25">
      <c r="A4077" s="3" t="s">
        <v>26</v>
      </c>
      <c r="B4077" s="3" t="s">
        <v>27</v>
      </c>
      <c r="C4077" s="3" t="s">
        <v>28</v>
      </c>
      <c r="D4077" s="3" t="s">
        <v>29</v>
      </c>
      <c r="E4077" s="3" t="s">
        <v>101</v>
      </c>
      <c r="F4077" s="3" t="s">
        <v>31</v>
      </c>
      <c r="G4077" s="3" t="s">
        <v>101</v>
      </c>
      <c r="H4077" s="3" t="s">
        <v>32</v>
      </c>
      <c r="I4077" s="3">
        <v>2025</v>
      </c>
      <c r="J4077" s="3" t="str">
        <f>CONCATENATE("54820139514")</f>
        <v>54820139514</v>
      </c>
      <c r="K4077" s="3" t="s">
        <v>33</v>
      </c>
      <c r="L4077" s="3"/>
      <c r="M4077" s="3" t="s">
        <v>131</v>
      </c>
      <c r="N4077" s="3" t="str">
        <f>CONCATENATE("MGLMCL42C29I651T")</f>
        <v>MGLMCL42C29I651T</v>
      </c>
      <c r="O4077" s="3" t="s">
        <v>4188</v>
      </c>
      <c r="P4077" s="3" t="s">
        <v>36</v>
      </c>
      <c r="Q4077" s="3"/>
      <c r="R4077" s="4">
        <v>45996</v>
      </c>
      <c r="S4077" s="3" t="s">
        <v>37</v>
      </c>
      <c r="T4077" s="3" t="s">
        <v>38</v>
      </c>
      <c r="U4077" s="3" t="s">
        <v>39</v>
      </c>
      <c r="V4077" s="3">
        <v>107.02</v>
      </c>
      <c r="W4077" s="3">
        <v>45.48</v>
      </c>
      <c r="X4077" s="3">
        <v>43.08</v>
      </c>
      <c r="Y4077" s="3">
        <v>18.46</v>
      </c>
    </row>
    <row r="4078" spans="1:25" ht="36.75" x14ac:dyDescent="0.25">
      <c r="A4078" s="3" t="s">
        <v>26</v>
      </c>
      <c r="B4078" s="3" t="s">
        <v>27</v>
      </c>
      <c r="C4078" s="3" t="s">
        <v>28</v>
      </c>
      <c r="D4078" s="3" t="s">
        <v>50</v>
      </c>
      <c r="E4078" s="3" t="s">
        <v>51</v>
      </c>
      <c r="F4078" s="3" t="s">
        <v>52</v>
      </c>
      <c r="G4078" s="3" t="s">
        <v>51</v>
      </c>
      <c r="H4078" s="3" t="s">
        <v>48</v>
      </c>
      <c r="I4078" s="3">
        <v>2025</v>
      </c>
      <c r="J4078" s="3" t="str">
        <f>CONCATENATE("54820157854")</f>
        <v>54820157854</v>
      </c>
      <c r="K4078" s="3" t="s">
        <v>33</v>
      </c>
      <c r="L4078" s="3"/>
      <c r="M4078" s="3" t="s">
        <v>131</v>
      </c>
      <c r="N4078" s="3" t="str">
        <f>CONCATENATE("02817500420")</f>
        <v>02817500420</v>
      </c>
      <c r="O4078" s="3" t="s">
        <v>4189</v>
      </c>
      <c r="P4078" s="3" t="s">
        <v>36</v>
      </c>
      <c r="Q4078" s="3"/>
      <c r="R4078" s="4">
        <v>45996</v>
      </c>
      <c r="S4078" s="3" t="s">
        <v>37</v>
      </c>
      <c r="T4078" s="3" t="s">
        <v>38</v>
      </c>
      <c r="U4078" s="3" t="s">
        <v>39</v>
      </c>
      <c r="V4078" s="3">
        <v>268.07</v>
      </c>
      <c r="W4078" s="3">
        <v>113.93</v>
      </c>
      <c r="X4078" s="3">
        <v>107.9</v>
      </c>
      <c r="Y4078" s="3">
        <v>46.24</v>
      </c>
    </row>
    <row r="4079" spans="1:25" ht="60.75" x14ac:dyDescent="0.25">
      <c r="A4079" s="3" t="s">
        <v>26</v>
      </c>
      <c r="B4079" s="3" t="s">
        <v>27</v>
      </c>
      <c r="C4079" s="3" t="s">
        <v>28</v>
      </c>
      <c r="D4079" s="3" t="s">
        <v>50</v>
      </c>
      <c r="E4079" s="3" t="s">
        <v>60</v>
      </c>
      <c r="F4079" s="3" t="s">
        <v>52</v>
      </c>
      <c r="G4079" s="3" t="s">
        <v>60</v>
      </c>
      <c r="H4079" s="3" t="s">
        <v>45</v>
      </c>
      <c r="I4079" s="3">
        <v>2025</v>
      </c>
      <c r="J4079" s="3" t="str">
        <f>CONCATENATE("54820146295")</f>
        <v>54820146295</v>
      </c>
      <c r="K4079" s="3" t="s">
        <v>33</v>
      </c>
      <c r="L4079" s="3"/>
      <c r="M4079" s="3" t="s">
        <v>131</v>
      </c>
      <c r="N4079" s="3" t="str">
        <f>CONCATENATE("GDOLDR52E20G453O")</f>
        <v>GDOLDR52E20G453O</v>
      </c>
      <c r="O4079" s="3" t="s">
        <v>4190</v>
      </c>
      <c r="P4079" s="3" t="s">
        <v>36</v>
      </c>
      <c r="Q4079" s="3"/>
      <c r="R4079" s="4">
        <v>45996</v>
      </c>
      <c r="S4079" s="3" t="s">
        <v>37</v>
      </c>
      <c r="T4079" s="3" t="s">
        <v>38</v>
      </c>
      <c r="U4079" s="3" t="s">
        <v>39</v>
      </c>
      <c r="V4079" s="3">
        <v>167.23</v>
      </c>
      <c r="W4079" s="3">
        <v>71.069999999999993</v>
      </c>
      <c r="X4079" s="3">
        <v>67.31</v>
      </c>
      <c r="Y4079" s="3">
        <v>28.85</v>
      </c>
    </row>
    <row r="4080" spans="1:25" ht="60.75" x14ac:dyDescent="0.25">
      <c r="A4080" s="3" t="s">
        <v>26</v>
      </c>
      <c r="B4080" s="3" t="s">
        <v>27</v>
      </c>
      <c r="C4080" s="3" t="s">
        <v>28</v>
      </c>
      <c r="D4080" s="3" t="s">
        <v>50</v>
      </c>
      <c r="E4080" s="3" t="s">
        <v>252</v>
      </c>
      <c r="F4080" s="3" t="s">
        <v>52</v>
      </c>
      <c r="G4080" s="3" t="s">
        <v>252</v>
      </c>
      <c r="H4080" s="3" t="s">
        <v>45</v>
      </c>
      <c r="I4080" s="3">
        <v>2025</v>
      </c>
      <c r="J4080" s="3" t="str">
        <f>CONCATENATE("54820181680")</f>
        <v>54820181680</v>
      </c>
      <c r="K4080" s="3" t="s">
        <v>33</v>
      </c>
      <c r="L4080" s="3"/>
      <c r="M4080" s="3" t="s">
        <v>131</v>
      </c>
      <c r="N4080" s="3" t="str">
        <f>CONCATENATE("VNGSVN48P54G089T")</f>
        <v>VNGSVN48P54G089T</v>
      </c>
      <c r="O4080" s="3" t="s">
        <v>4191</v>
      </c>
      <c r="P4080" s="3" t="s">
        <v>36</v>
      </c>
      <c r="Q4080" s="3"/>
      <c r="R4080" s="4">
        <v>45996</v>
      </c>
      <c r="S4080" s="3" t="s">
        <v>37</v>
      </c>
      <c r="T4080" s="3" t="s">
        <v>38</v>
      </c>
      <c r="U4080" s="3" t="s">
        <v>39</v>
      </c>
      <c r="V4080" s="3">
        <v>80.33</v>
      </c>
      <c r="W4080" s="3">
        <v>34.14</v>
      </c>
      <c r="X4080" s="3">
        <v>32.33</v>
      </c>
      <c r="Y4080" s="3">
        <v>13.86</v>
      </c>
    </row>
    <row r="4081" spans="1:25" ht="60.75" x14ac:dyDescent="0.25">
      <c r="A4081" s="3" t="s">
        <v>26</v>
      </c>
      <c r="B4081" s="3" t="s">
        <v>27</v>
      </c>
      <c r="C4081" s="3" t="s">
        <v>28</v>
      </c>
      <c r="D4081" s="3" t="s">
        <v>29</v>
      </c>
      <c r="E4081" s="3" t="s">
        <v>182</v>
      </c>
      <c r="F4081" s="3" t="s">
        <v>31</v>
      </c>
      <c r="G4081" s="3" t="s">
        <v>182</v>
      </c>
      <c r="H4081" s="3" t="s">
        <v>45</v>
      </c>
      <c r="I4081" s="3">
        <v>2025</v>
      </c>
      <c r="J4081" s="3" t="str">
        <f>CONCATENATE("54820159751")</f>
        <v>54820159751</v>
      </c>
      <c r="K4081" s="3" t="s">
        <v>33</v>
      </c>
      <c r="L4081" s="3"/>
      <c r="M4081" s="3" t="s">
        <v>131</v>
      </c>
      <c r="N4081" s="3" t="str">
        <f>CONCATENATE("SNTDLM46S09L498Y")</f>
        <v>SNTDLM46S09L498Y</v>
      </c>
      <c r="O4081" s="3" t="s">
        <v>4192</v>
      </c>
      <c r="P4081" s="3" t="s">
        <v>36</v>
      </c>
      <c r="Q4081" s="3"/>
      <c r="R4081" s="4">
        <v>45996</v>
      </c>
      <c r="S4081" s="3" t="s">
        <v>37</v>
      </c>
      <c r="T4081" s="3" t="s">
        <v>38</v>
      </c>
      <c r="U4081" s="3" t="s">
        <v>39</v>
      </c>
      <c r="V4081" s="3">
        <v>89.87</v>
      </c>
      <c r="W4081" s="3">
        <v>38.19</v>
      </c>
      <c r="X4081" s="3">
        <v>36.17</v>
      </c>
      <c r="Y4081" s="3">
        <v>15.51</v>
      </c>
    </row>
    <row r="4082" spans="1:25" ht="60.75" x14ac:dyDescent="0.25">
      <c r="A4082" s="3" t="s">
        <v>26</v>
      </c>
      <c r="B4082" s="3" t="s">
        <v>27</v>
      </c>
      <c r="C4082" s="3" t="s">
        <v>28</v>
      </c>
      <c r="D4082" s="3" t="s">
        <v>50</v>
      </c>
      <c r="E4082" s="3" t="s">
        <v>60</v>
      </c>
      <c r="F4082" s="3" t="s">
        <v>52</v>
      </c>
      <c r="G4082" s="3" t="s">
        <v>60</v>
      </c>
      <c r="H4082" s="3" t="s">
        <v>45</v>
      </c>
      <c r="I4082" s="3">
        <v>2025</v>
      </c>
      <c r="J4082" s="3" t="str">
        <f>CONCATENATE("54820171152")</f>
        <v>54820171152</v>
      </c>
      <c r="K4082" s="3" t="s">
        <v>33</v>
      </c>
      <c r="L4082" s="3"/>
      <c r="M4082" s="3" t="s">
        <v>131</v>
      </c>
      <c r="N4082" s="3" t="str">
        <f>CONCATENATE("VSCNZE57H16A668K")</f>
        <v>VSCNZE57H16A668K</v>
      </c>
      <c r="O4082" s="3" t="s">
        <v>4193</v>
      </c>
      <c r="P4082" s="3" t="s">
        <v>36</v>
      </c>
      <c r="Q4082" s="3"/>
      <c r="R4082" s="4">
        <v>45996</v>
      </c>
      <c r="S4082" s="3" t="s">
        <v>37</v>
      </c>
      <c r="T4082" s="3" t="s">
        <v>38</v>
      </c>
      <c r="U4082" s="3" t="s">
        <v>39</v>
      </c>
      <c r="V4082" s="3">
        <v>330.69</v>
      </c>
      <c r="W4082" s="3">
        <v>140.54</v>
      </c>
      <c r="X4082" s="3">
        <v>133.1</v>
      </c>
      <c r="Y4082" s="3">
        <v>57.05</v>
      </c>
    </row>
    <row r="4083" spans="1:25" ht="72.75" x14ac:dyDescent="0.25">
      <c r="A4083" s="3" t="s">
        <v>26</v>
      </c>
      <c r="B4083" s="3" t="s">
        <v>27</v>
      </c>
      <c r="C4083" s="3" t="s">
        <v>28</v>
      </c>
      <c r="D4083" s="3" t="s">
        <v>50</v>
      </c>
      <c r="E4083" s="3" t="s">
        <v>252</v>
      </c>
      <c r="F4083" s="3" t="s">
        <v>52</v>
      </c>
      <c r="G4083" s="3" t="s">
        <v>252</v>
      </c>
      <c r="H4083" s="3" t="s">
        <v>45</v>
      </c>
      <c r="I4083" s="3">
        <v>2025</v>
      </c>
      <c r="J4083" s="3" t="str">
        <f>CONCATENATE("54820229158")</f>
        <v>54820229158</v>
      </c>
      <c r="K4083" s="3" t="s">
        <v>33</v>
      </c>
      <c r="L4083" s="3"/>
      <c r="M4083" s="3" t="s">
        <v>131</v>
      </c>
      <c r="N4083" s="3" t="str">
        <f>CONCATENATE("CRDMNL97M21G916H")</f>
        <v>CRDMNL97M21G916H</v>
      </c>
      <c r="O4083" s="3" t="s">
        <v>4194</v>
      </c>
      <c r="P4083" s="3" t="s">
        <v>36</v>
      </c>
      <c r="Q4083" s="3"/>
      <c r="R4083" s="4">
        <v>45996</v>
      </c>
      <c r="S4083" s="3" t="s">
        <v>37</v>
      </c>
      <c r="T4083" s="3" t="s">
        <v>38</v>
      </c>
      <c r="U4083" s="3" t="s">
        <v>39</v>
      </c>
      <c r="V4083" s="3">
        <v>84.07</v>
      </c>
      <c r="W4083" s="3">
        <v>35.729999999999997</v>
      </c>
      <c r="X4083" s="3">
        <v>33.840000000000003</v>
      </c>
      <c r="Y4083" s="3">
        <v>14.5</v>
      </c>
    </row>
    <row r="4084" spans="1:25" ht="60.75" x14ac:dyDescent="0.25">
      <c r="A4084" s="3" t="s">
        <v>26</v>
      </c>
      <c r="B4084" s="3" t="s">
        <v>27</v>
      </c>
      <c r="C4084" s="3" t="s">
        <v>28</v>
      </c>
      <c r="D4084" s="3" t="s">
        <v>50</v>
      </c>
      <c r="E4084" s="3" t="s">
        <v>252</v>
      </c>
      <c r="F4084" s="3" t="s">
        <v>52</v>
      </c>
      <c r="G4084" s="3" t="s">
        <v>252</v>
      </c>
      <c r="H4084" s="3" t="s">
        <v>45</v>
      </c>
      <c r="I4084" s="3">
        <v>2025</v>
      </c>
      <c r="J4084" s="3" t="str">
        <f>CONCATENATE("54820212014")</f>
        <v>54820212014</v>
      </c>
      <c r="K4084" s="3" t="s">
        <v>33</v>
      </c>
      <c r="L4084" s="3"/>
      <c r="M4084" s="3" t="s">
        <v>131</v>
      </c>
      <c r="N4084" s="3" t="str">
        <f>CONCATENATE("CAIRDC65R47Z129R")</f>
        <v>CAIRDC65R47Z129R</v>
      </c>
      <c r="O4084" s="3" t="s">
        <v>4195</v>
      </c>
      <c r="P4084" s="3" t="s">
        <v>36</v>
      </c>
      <c r="Q4084" s="3"/>
      <c r="R4084" s="4">
        <v>45996</v>
      </c>
      <c r="S4084" s="3" t="s">
        <v>37</v>
      </c>
      <c r="T4084" s="3" t="s">
        <v>38</v>
      </c>
      <c r="U4084" s="3" t="s">
        <v>39</v>
      </c>
      <c r="V4084" s="3">
        <v>64.09</v>
      </c>
      <c r="W4084" s="3">
        <v>27.24</v>
      </c>
      <c r="X4084" s="3">
        <v>25.8</v>
      </c>
      <c r="Y4084" s="3">
        <v>11.05</v>
      </c>
    </row>
    <row r="4085" spans="1:25" ht="60.75" x14ac:dyDescent="0.25">
      <c r="A4085" s="3" t="s">
        <v>26</v>
      </c>
      <c r="B4085" s="3" t="s">
        <v>27</v>
      </c>
      <c r="C4085" s="3" t="s">
        <v>28</v>
      </c>
      <c r="D4085" s="3" t="s">
        <v>50</v>
      </c>
      <c r="E4085" s="3" t="s">
        <v>252</v>
      </c>
      <c r="F4085" s="3" t="s">
        <v>52</v>
      </c>
      <c r="G4085" s="3" t="s">
        <v>252</v>
      </c>
      <c r="H4085" s="3" t="s">
        <v>45</v>
      </c>
      <c r="I4085" s="3">
        <v>2025</v>
      </c>
      <c r="J4085" s="3" t="str">
        <f>CONCATENATE("54820200126")</f>
        <v>54820200126</v>
      </c>
      <c r="K4085" s="3" t="s">
        <v>33</v>
      </c>
      <c r="L4085" s="3"/>
      <c r="M4085" s="3" t="s">
        <v>131</v>
      </c>
      <c r="N4085" s="3" t="str">
        <f>CONCATENATE("MNCDVD90E08L500W")</f>
        <v>MNCDVD90E08L500W</v>
      </c>
      <c r="O4085" s="3" t="s">
        <v>4196</v>
      </c>
      <c r="P4085" s="3" t="s">
        <v>36</v>
      </c>
      <c r="Q4085" s="3"/>
      <c r="R4085" s="4">
        <v>45996</v>
      </c>
      <c r="S4085" s="3" t="s">
        <v>37</v>
      </c>
      <c r="T4085" s="3" t="s">
        <v>38</v>
      </c>
      <c r="U4085" s="3" t="s">
        <v>39</v>
      </c>
      <c r="V4085" s="3">
        <v>827.67</v>
      </c>
      <c r="W4085" s="3">
        <v>351.76</v>
      </c>
      <c r="X4085" s="3">
        <v>333.14</v>
      </c>
      <c r="Y4085" s="3">
        <v>142.77000000000001</v>
      </c>
    </row>
    <row r="4086" spans="1:25" ht="36.75" x14ac:dyDescent="0.25">
      <c r="A4086" s="3" t="s">
        <v>26</v>
      </c>
      <c r="B4086" s="3" t="s">
        <v>27</v>
      </c>
      <c r="C4086" s="3" t="s">
        <v>28</v>
      </c>
      <c r="D4086" s="3" t="s">
        <v>50</v>
      </c>
      <c r="E4086" s="3" t="s">
        <v>51</v>
      </c>
      <c r="F4086" s="3" t="s">
        <v>52</v>
      </c>
      <c r="G4086" s="3" t="s">
        <v>51</v>
      </c>
      <c r="H4086" s="3" t="s">
        <v>48</v>
      </c>
      <c r="I4086" s="3">
        <v>2025</v>
      </c>
      <c r="J4086" s="3" t="str">
        <f>CONCATENATE("54820178678")</f>
        <v>54820178678</v>
      </c>
      <c r="K4086" s="3" t="s">
        <v>33</v>
      </c>
      <c r="L4086" s="3"/>
      <c r="M4086" s="3" t="s">
        <v>131</v>
      </c>
      <c r="N4086" s="3" t="str">
        <f>CONCATENATE("02965800424")</f>
        <v>02965800424</v>
      </c>
      <c r="O4086" s="3" t="s">
        <v>4197</v>
      </c>
      <c r="P4086" s="3" t="s">
        <v>36</v>
      </c>
      <c r="Q4086" s="3"/>
      <c r="R4086" s="4">
        <v>45996</v>
      </c>
      <c r="S4086" s="3" t="s">
        <v>37</v>
      </c>
      <c r="T4086" s="3" t="s">
        <v>38</v>
      </c>
      <c r="U4086" s="3" t="s">
        <v>39</v>
      </c>
      <c r="V4086" s="3">
        <v>899.77</v>
      </c>
      <c r="W4086" s="3">
        <v>382.4</v>
      </c>
      <c r="X4086" s="3">
        <v>362.16</v>
      </c>
      <c r="Y4086" s="3">
        <v>155.21</v>
      </c>
    </row>
    <row r="4087" spans="1:25" ht="36.75" x14ac:dyDescent="0.25">
      <c r="A4087" s="3" t="s">
        <v>26</v>
      </c>
      <c r="B4087" s="3" t="s">
        <v>27</v>
      </c>
      <c r="C4087" s="3" t="s">
        <v>28</v>
      </c>
      <c r="D4087" s="3" t="s">
        <v>40</v>
      </c>
      <c r="E4087" s="3" t="s">
        <v>218</v>
      </c>
      <c r="F4087" s="3" t="s">
        <v>42</v>
      </c>
      <c r="G4087" s="3" t="s">
        <v>218</v>
      </c>
      <c r="H4087" s="3" t="s">
        <v>45</v>
      </c>
      <c r="I4087" s="3">
        <v>2025</v>
      </c>
      <c r="J4087" s="3" t="str">
        <f>CONCATENATE("54820088992")</f>
        <v>54820088992</v>
      </c>
      <c r="K4087" s="3" t="s">
        <v>33</v>
      </c>
      <c r="L4087" s="3"/>
      <c r="M4087" s="3" t="s">
        <v>131</v>
      </c>
      <c r="N4087" s="3" t="str">
        <f>CONCATENATE("02351210410")</f>
        <v>02351210410</v>
      </c>
      <c r="O4087" s="3" t="s">
        <v>4198</v>
      </c>
      <c r="P4087" s="3" t="s">
        <v>36</v>
      </c>
      <c r="Q4087" s="3"/>
      <c r="R4087" s="4">
        <v>45996</v>
      </c>
      <c r="S4087" s="3" t="s">
        <v>37</v>
      </c>
      <c r="T4087" s="3" t="s">
        <v>38</v>
      </c>
      <c r="U4087" s="3" t="s">
        <v>39</v>
      </c>
      <c r="V4087" s="3">
        <v>126.98</v>
      </c>
      <c r="W4087" s="3">
        <v>53.97</v>
      </c>
      <c r="X4087" s="3">
        <v>51.11</v>
      </c>
      <c r="Y4087" s="3">
        <v>21.9</v>
      </c>
    </row>
    <row r="4088" spans="1:25" ht="60.75" x14ac:dyDescent="0.25">
      <c r="A4088" s="3" t="s">
        <v>26</v>
      </c>
      <c r="B4088" s="3" t="s">
        <v>27</v>
      </c>
      <c r="C4088" s="3" t="s">
        <v>28</v>
      </c>
      <c r="D4088" s="3" t="s">
        <v>29</v>
      </c>
      <c r="E4088" s="3" t="s">
        <v>101</v>
      </c>
      <c r="F4088" s="3" t="s">
        <v>31</v>
      </c>
      <c r="G4088" s="3" t="s">
        <v>101</v>
      </c>
      <c r="H4088" s="3" t="s">
        <v>32</v>
      </c>
      <c r="I4088" s="3">
        <v>2025</v>
      </c>
      <c r="J4088" s="3" t="str">
        <f>CONCATENATE("54820196225")</f>
        <v>54820196225</v>
      </c>
      <c r="K4088" s="3" t="s">
        <v>33</v>
      </c>
      <c r="L4088" s="3"/>
      <c r="M4088" s="3" t="s">
        <v>131</v>
      </c>
      <c r="N4088" s="3" t="str">
        <f>CONCATENATE("GTTCLD62H23L191Q")</f>
        <v>GTTCLD62H23L191Q</v>
      </c>
      <c r="O4088" s="3" t="s">
        <v>4199</v>
      </c>
      <c r="P4088" s="3" t="s">
        <v>36</v>
      </c>
      <c r="Q4088" s="3"/>
      <c r="R4088" s="4">
        <v>45996</v>
      </c>
      <c r="S4088" s="3" t="s">
        <v>37</v>
      </c>
      <c r="T4088" s="3" t="s">
        <v>38</v>
      </c>
      <c r="U4088" s="3" t="s">
        <v>39</v>
      </c>
      <c r="V4088" s="3">
        <v>299.43</v>
      </c>
      <c r="W4088" s="3">
        <v>127.26</v>
      </c>
      <c r="X4088" s="3">
        <v>120.52</v>
      </c>
      <c r="Y4088" s="3">
        <v>51.65</v>
      </c>
    </row>
    <row r="4089" spans="1:25" ht="60.75" x14ac:dyDescent="0.25">
      <c r="A4089" s="3" t="s">
        <v>26</v>
      </c>
      <c r="B4089" s="3" t="s">
        <v>27</v>
      </c>
      <c r="C4089" s="3" t="s">
        <v>28</v>
      </c>
      <c r="D4089" s="3" t="s">
        <v>29</v>
      </c>
      <c r="E4089" s="3" t="s">
        <v>1398</v>
      </c>
      <c r="F4089" s="3" t="s">
        <v>31</v>
      </c>
      <c r="G4089" s="3" t="s">
        <v>1398</v>
      </c>
      <c r="H4089" s="3" t="s">
        <v>32</v>
      </c>
      <c r="I4089" s="3">
        <v>2025</v>
      </c>
      <c r="J4089" s="3" t="str">
        <f>CONCATENATE("54810967957")</f>
        <v>54810967957</v>
      </c>
      <c r="K4089" s="3" t="s">
        <v>33</v>
      </c>
      <c r="L4089" s="3"/>
      <c r="M4089" s="3" t="s">
        <v>86</v>
      </c>
      <c r="N4089" s="3" t="str">
        <f>CONCATENATE("CLFNGL68P64F240U")</f>
        <v>CLFNGL68P64F240U</v>
      </c>
      <c r="O4089" s="3" t="s">
        <v>4200</v>
      </c>
      <c r="P4089" s="3" t="s">
        <v>36</v>
      </c>
      <c r="Q4089" s="3"/>
      <c r="R4089" s="4">
        <v>45995</v>
      </c>
      <c r="S4089" s="3" t="s">
        <v>37</v>
      </c>
      <c r="T4089" s="3" t="s">
        <v>38</v>
      </c>
      <c r="U4089" s="3" t="s">
        <v>39</v>
      </c>
      <c r="V4089" s="3">
        <v>340.04</v>
      </c>
      <c r="W4089" s="3">
        <v>144.52000000000001</v>
      </c>
      <c r="X4089" s="3">
        <v>136.87</v>
      </c>
      <c r="Y4089" s="3">
        <v>58.65</v>
      </c>
    </row>
    <row r="4090" spans="1:25" ht="72.75" x14ac:dyDescent="0.25">
      <c r="A4090" s="3" t="s">
        <v>26</v>
      </c>
      <c r="B4090" s="3" t="s">
        <v>27</v>
      </c>
      <c r="C4090" s="3" t="s">
        <v>28</v>
      </c>
      <c r="D4090" s="3" t="s">
        <v>29</v>
      </c>
      <c r="E4090" s="3" t="s">
        <v>119</v>
      </c>
      <c r="F4090" s="3" t="s">
        <v>31</v>
      </c>
      <c r="G4090" s="3" t="s">
        <v>119</v>
      </c>
      <c r="H4090" s="3" t="s">
        <v>96</v>
      </c>
      <c r="I4090" s="3">
        <v>2025</v>
      </c>
      <c r="J4090" s="3" t="str">
        <f>CONCATENATE("54810342813")</f>
        <v>54810342813</v>
      </c>
      <c r="K4090" s="3" t="s">
        <v>33</v>
      </c>
      <c r="L4090" s="3"/>
      <c r="M4090" s="3" t="s">
        <v>86</v>
      </c>
      <c r="N4090" s="3" t="str">
        <f>CONCATENATE("GMNLTZ98H57A271V")</f>
        <v>GMNLTZ98H57A271V</v>
      </c>
      <c r="O4090" s="3" t="s">
        <v>4201</v>
      </c>
      <c r="P4090" s="3" t="s">
        <v>36</v>
      </c>
      <c r="Q4090" s="3"/>
      <c r="R4090" s="4">
        <v>45995</v>
      </c>
      <c r="S4090" s="3" t="s">
        <v>37</v>
      </c>
      <c r="T4090" s="3" t="s">
        <v>38</v>
      </c>
      <c r="U4090" s="3" t="s">
        <v>39</v>
      </c>
      <c r="V4090" s="3">
        <v>280.17</v>
      </c>
      <c r="W4090" s="3">
        <v>119.07</v>
      </c>
      <c r="X4090" s="3">
        <v>112.77</v>
      </c>
      <c r="Y4090" s="3">
        <v>48.33</v>
      </c>
    </row>
    <row r="4091" spans="1:25" ht="36.75" x14ac:dyDescent="0.25">
      <c r="A4091" s="3" t="s">
        <v>26</v>
      </c>
      <c r="B4091" s="3" t="s">
        <v>27</v>
      </c>
      <c r="C4091" s="3" t="s">
        <v>28</v>
      </c>
      <c r="D4091" s="3" t="s">
        <v>40</v>
      </c>
      <c r="E4091" s="3" t="s">
        <v>41</v>
      </c>
      <c r="F4091" s="3" t="s">
        <v>42</v>
      </c>
      <c r="G4091" s="3" t="s">
        <v>41</v>
      </c>
      <c r="H4091" s="3" t="s">
        <v>96</v>
      </c>
      <c r="I4091" s="3">
        <v>2025</v>
      </c>
      <c r="J4091" s="3" t="str">
        <f>CONCATENATE("54810286234")</f>
        <v>54810286234</v>
      </c>
      <c r="K4091" s="3" t="s">
        <v>33</v>
      </c>
      <c r="L4091" s="3"/>
      <c r="M4091" s="3" t="s">
        <v>86</v>
      </c>
      <c r="N4091" s="3" t="str">
        <f>CONCATENATE("02547490447")</f>
        <v>02547490447</v>
      </c>
      <c r="O4091" s="3" t="s">
        <v>4202</v>
      </c>
      <c r="P4091" s="3" t="s">
        <v>36</v>
      </c>
      <c r="Q4091" s="3"/>
      <c r="R4091" s="4">
        <v>45995</v>
      </c>
      <c r="S4091" s="3" t="s">
        <v>37</v>
      </c>
      <c r="T4091" s="3" t="s">
        <v>38</v>
      </c>
      <c r="U4091" s="3" t="s">
        <v>39</v>
      </c>
      <c r="V4091" s="3">
        <v>172.12</v>
      </c>
      <c r="W4091" s="3">
        <v>73.150000000000006</v>
      </c>
      <c r="X4091" s="3">
        <v>69.28</v>
      </c>
      <c r="Y4091" s="3">
        <v>29.69</v>
      </c>
    </row>
    <row r="4092" spans="1:25" ht="72.75" x14ac:dyDescent="0.25">
      <c r="A4092" s="3" t="s">
        <v>26</v>
      </c>
      <c r="B4092" s="3" t="s">
        <v>27</v>
      </c>
      <c r="C4092" s="3" t="s">
        <v>28</v>
      </c>
      <c r="D4092" s="3" t="s">
        <v>40</v>
      </c>
      <c r="E4092" s="3" t="s">
        <v>44</v>
      </c>
      <c r="F4092" s="3" t="s">
        <v>42</v>
      </c>
      <c r="G4092" s="3" t="s">
        <v>44</v>
      </c>
      <c r="H4092" s="3" t="s">
        <v>32</v>
      </c>
      <c r="I4092" s="3">
        <v>2025</v>
      </c>
      <c r="J4092" s="3" t="str">
        <f>CONCATENATE("54810255726")</f>
        <v>54810255726</v>
      </c>
      <c r="K4092" s="3" t="s">
        <v>33</v>
      </c>
      <c r="L4092" s="3"/>
      <c r="M4092" s="3" t="s">
        <v>86</v>
      </c>
      <c r="N4092" s="3" t="str">
        <f>CONCATENATE("PZZMGN79R03L191W")</f>
        <v>PZZMGN79R03L191W</v>
      </c>
      <c r="O4092" s="3" t="s">
        <v>3837</v>
      </c>
      <c r="P4092" s="3" t="s">
        <v>36</v>
      </c>
      <c r="Q4092" s="3"/>
      <c r="R4092" s="4">
        <v>45995</v>
      </c>
      <c r="S4092" s="3" t="s">
        <v>37</v>
      </c>
      <c r="T4092" s="3" t="s">
        <v>38</v>
      </c>
      <c r="U4092" s="3" t="s">
        <v>39</v>
      </c>
      <c r="V4092" s="3">
        <v>41.68</v>
      </c>
      <c r="W4092" s="3">
        <v>17.71</v>
      </c>
      <c r="X4092" s="3">
        <v>16.78</v>
      </c>
      <c r="Y4092" s="3">
        <v>7.19</v>
      </c>
    </row>
    <row r="4093" spans="1:25" ht="60.75" x14ac:dyDescent="0.25">
      <c r="A4093" s="3" t="s">
        <v>26</v>
      </c>
      <c r="B4093" s="3" t="s">
        <v>27</v>
      </c>
      <c r="C4093" s="3" t="s">
        <v>28</v>
      </c>
      <c r="D4093" s="3" t="s">
        <v>104</v>
      </c>
      <c r="E4093" s="3" t="s">
        <v>105</v>
      </c>
      <c r="F4093" s="3" t="s">
        <v>104</v>
      </c>
      <c r="G4093" s="3" t="s">
        <v>105</v>
      </c>
      <c r="H4093" s="3" t="s">
        <v>48</v>
      </c>
      <c r="I4093" s="3">
        <v>2025</v>
      </c>
      <c r="J4093" s="3" t="str">
        <f>CONCATENATE("54810372737")</f>
        <v>54810372737</v>
      </c>
      <c r="K4093" s="3" t="s">
        <v>33</v>
      </c>
      <c r="L4093" s="3"/>
      <c r="M4093" s="3" t="s">
        <v>86</v>
      </c>
      <c r="N4093" s="3" t="str">
        <f>CONCATENATE("GLLGLI02H46A944R")</f>
        <v>GLLGLI02H46A944R</v>
      </c>
      <c r="O4093" s="3" t="s">
        <v>109</v>
      </c>
      <c r="P4093" s="3" t="s">
        <v>36</v>
      </c>
      <c r="Q4093" s="3"/>
      <c r="R4093" s="4">
        <v>45995</v>
      </c>
      <c r="S4093" s="3" t="s">
        <v>37</v>
      </c>
      <c r="T4093" s="3" t="s">
        <v>38</v>
      </c>
      <c r="U4093" s="3" t="s">
        <v>39</v>
      </c>
      <c r="V4093" s="3">
        <v>81.819999999999993</v>
      </c>
      <c r="W4093" s="3">
        <v>34.770000000000003</v>
      </c>
      <c r="X4093" s="3">
        <v>32.93</v>
      </c>
      <c r="Y4093" s="3">
        <v>14.12</v>
      </c>
    </row>
    <row r="4094" spans="1:25" ht="72.75" x14ac:dyDescent="0.25">
      <c r="A4094" s="3" t="s">
        <v>26</v>
      </c>
      <c r="B4094" s="3" t="s">
        <v>27</v>
      </c>
      <c r="C4094" s="3" t="s">
        <v>28</v>
      </c>
      <c r="D4094" s="3" t="s">
        <v>29</v>
      </c>
      <c r="E4094" s="3" t="s">
        <v>111</v>
      </c>
      <c r="F4094" s="3" t="s">
        <v>31</v>
      </c>
      <c r="G4094" s="3" t="s">
        <v>111</v>
      </c>
      <c r="H4094" s="3" t="s">
        <v>96</v>
      </c>
      <c r="I4094" s="3">
        <v>2025</v>
      </c>
      <c r="J4094" s="3" t="str">
        <f>CONCATENATE("54810152410")</f>
        <v>54810152410</v>
      </c>
      <c r="K4094" s="3" t="s">
        <v>33</v>
      </c>
      <c r="L4094" s="3"/>
      <c r="M4094" s="3" t="s">
        <v>86</v>
      </c>
      <c r="N4094" s="3" t="str">
        <f>CONCATENATE("MZZGNN67R10D542G")</f>
        <v>MZZGNN67R10D542G</v>
      </c>
      <c r="O4094" s="3" t="s">
        <v>112</v>
      </c>
      <c r="P4094" s="3" t="s">
        <v>36</v>
      </c>
      <c r="Q4094" s="3"/>
      <c r="R4094" s="4">
        <v>45995</v>
      </c>
      <c r="S4094" s="3" t="s">
        <v>37</v>
      </c>
      <c r="T4094" s="3" t="s">
        <v>38</v>
      </c>
      <c r="U4094" s="3" t="s">
        <v>39</v>
      </c>
      <c r="V4094" s="3">
        <v>300.33</v>
      </c>
      <c r="W4094" s="3">
        <v>127.64</v>
      </c>
      <c r="X4094" s="3">
        <v>120.88</v>
      </c>
      <c r="Y4094" s="3">
        <v>51.81</v>
      </c>
    </row>
    <row r="4095" spans="1:25" ht="72.75" x14ac:dyDescent="0.25">
      <c r="A4095" s="3" t="s">
        <v>26</v>
      </c>
      <c r="B4095" s="3" t="s">
        <v>27</v>
      </c>
      <c r="C4095" s="3" t="s">
        <v>28</v>
      </c>
      <c r="D4095" s="3" t="s">
        <v>40</v>
      </c>
      <c r="E4095" s="3" t="s">
        <v>44</v>
      </c>
      <c r="F4095" s="3" t="s">
        <v>42</v>
      </c>
      <c r="G4095" s="3" t="s">
        <v>44</v>
      </c>
      <c r="H4095" s="3" t="s">
        <v>32</v>
      </c>
      <c r="I4095" s="3">
        <v>2025</v>
      </c>
      <c r="J4095" s="3" t="str">
        <f>CONCATENATE("54810267515")</f>
        <v>54810267515</v>
      </c>
      <c r="K4095" s="3" t="s">
        <v>33</v>
      </c>
      <c r="L4095" s="3"/>
      <c r="M4095" s="3" t="s">
        <v>86</v>
      </c>
      <c r="N4095" s="3" t="str">
        <f>CONCATENATE("CPPNNA66H65A329N")</f>
        <v>CPPNNA66H65A329N</v>
      </c>
      <c r="O4095" s="3" t="s">
        <v>4203</v>
      </c>
      <c r="P4095" s="3" t="s">
        <v>36</v>
      </c>
      <c r="Q4095" s="3"/>
      <c r="R4095" s="4">
        <v>45995</v>
      </c>
      <c r="S4095" s="3" t="s">
        <v>37</v>
      </c>
      <c r="T4095" s="3" t="s">
        <v>38</v>
      </c>
      <c r="U4095" s="3" t="s">
        <v>39</v>
      </c>
      <c r="V4095" s="3">
        <v>91.09</v>
      </c>
      <c r="W4095" s="3">
        <v>38.71</v>
      </c>
      <c r="X4095" s="3">
        <v>36.659999999999997</v>
      </c>
      <c r="Y4095" s="3">
        <v>15.72</v>
      </c>
    </row>
    <row r="4096" spans="1:25" ht="36.75" x14ac:dyDescent="0.25">
      <c r="A4096" s="3" t="s">
        <v>26</v>
      </c>
      <c r="B4096" s="3" t="s">
        <v>27</v>
      </c>
      <c r="C4096" s="3" t="s">
        <v>28</v>
      </c>
      <c r="D4096" s="3" t="s">
        <v>29</v>
      </c>
      <c r="E4096" s="3" t="s">
        <v>341</v>
      </c>
      <c r="F4096" s="3" t="s">
        <v>31</v>
      </c>
      <c r="G4096" s="3" t="s">
        <v>341</v>
      </c>
      <c r="H4096" s="3" t="s">
        <v>45</v>
      </c>
      <c r="I4096" s="3">
        <v>2025</v>
      </c>
      <c r="J4096" s="3" t="str">
        <f>CONCATENATE("54810255296")</f>
        <v>54810255296</v>
      </c>
      <c r="K4096" s="3" t="s">
        <v>33</v>
      </c>
      <c r="L4096" s="3"/>
      <c r="M4096" s="3" t="s">
        <v>86</v>
      </c>
      <c r="N4096" s="3" t="str">
        <f>CONCATENATE("02342680416")</f>
        <v>02342680416</v>
      </c>
      <c r="O4096" s="3" t="s">
        <v>4204</v>
      </c>
      <c r="P4096" s="3" t="s">
        <v>36</v>
      </c>
      <c r="Q4096" s="3"/>
      <c r="R4096" s="4">
        <v>45995</v>
      </c>
      <c r="S4096" s="3" t="s">
        <v>37</v>
      </c>
      <c r="T4096" s="3" t="s">
        <v>38</v>
      </c>
      <c r="U4096" s="3" t="s">
        <v>39</v>
      </c>
      <c r="V4096" s="3">
        <v>358.33</v>
      </c>
      <c r="W4096" s="3">
        <v>152.29</v>
      </c>
      <c r="X4096" s="3">
        <v>144.22999999999999</v>
      </c>
      <c r="Y4096" s="3">
        <v>61.81</v>
      </c>
    </row>
    <row r="4097" spans="1:25" ht="36.75" x14ac:dyDescent="0.25">
      <c r="A4097" s="3" t="s">
        <v>26</v>
      </c>
      <c r="B4097" s="3" t="s">
        <v>27</v>
      </c>
      <c r="C4097" s="3" t="s">
        <v>28</v>
      </c>
      <c r="D4097" s="3" t="s">
        <v>91</v>
      </c>
      <c r="E4097" s="3" t="s">
        <v>95</v>
      </c>
      <c r="F4097" s="3" t="s">
        <v>93</v>
      </c>
      <c r="G4097" s="3" t="s">
        <v>95</v>
      </c>
      <c r="H4097" s="3" t="s">
        <v>96</v>
      </c>
      <c r="I4097" s="3">
        <v>2025</v>
      </c>
      <c r="J4097" s="3" t="str">
        <f>CONCATENATE("54810350253")</f>
        <v>54810350253</v>
      </c>
      <c r="K4097" s="3" t="s">
        <v>33</v>
      </c>
      <c r="L4097" s="3"/>
      <c r="M4097" s="3" t="s">
        <v>86</v>
      </c>
      <c r="N4097" s="3" t="str">
        <f>CONCATENATE("01977060449")</f>
        <v>01977060449</v>
      </c>
      <c r="O4097" s="3" t="s">
        <v>97</v>
      </c>
      <c r="P4097" s="3" t="s">
        <v>36</v>
      </c>
      <c r="Q4097" s="3"/>
      <c r="R4097" s="4">
        <v>45995</v>
      </c>
      <c r="S4097" s="3" t="s">
        <v>37</v>
      </c>
      <c r="T4097" s="3" t="s">
        <v>38</v>
      </c>
      <c r="U4097" s="3" t="s">
        <v>39</v>
      </c>
      <c r="V4097" s="3">
        <v>344.38</v>
      </c>
      <c r="W4097" s="3">
        <v>146.36000000000001</v>
      </c>
      <c r="X4097" s="3">
        <v>138.61000000000001</v>
      </c>
      <c r="Y4097" s="3">
        <v>59.41</v>
      </c>
    </row>
    <row r="4098" spans="1:25" ht="60.75" x14ac:dyDescent="0.25">
      <c r="A4098" s="3" t="s">
        <v>26</v>
      </c>
      <c r="B4098" s="3" t="s">
        <v>27</v>
      </c>
      <c r="C4098" s="3" t="s">
        <v>28</v>
      </c>
      <c r="D4098" s="3" t="s">
        <v>50</v>
      </c>
      <c r="E4098" s="3" t="s">
        <v>107</v>
      </c>
      <c r="F4098" s="3" t="s">
        <v>52</v>
      </c>
      <c r="G4098" s="3" t="s">
        <v>107</v>
      </c>
      <c r="H4098" s="3" t="s">
        <v>48</v>
      </c>
      <c r="I4098" s="3">
        <v>2025</v>
      </c>
      <c r="J4098" s="3" t="str">
        <f>CONCATENATE("54810726460")</f>
        <v>54810726460</v>
      </c>
      <c r="K4098" s="3" t="s">
        <v>33</v>
      </c>
      <c r="L4098" s="3"/>
      <c r="M4098" s="3" t="s">
        <v>86</v>
      </c>
      <c r="N4098" s="3" t="str">
        <f>CONCATENATE("LCCRNT71B06I653F")</f>
        <v>LCCRNT71B06I653F</v>
      </c>
      <c r="O4098" s="3" t="s">
        <v>4205</v>
      </c>
      <c r="P4098" s="3" t="s">
        <v>36</v>
      </c>
      <c r="Q4098" s="3"/>
      <c r="R4098" s="4">
        <v>45995</v>
      </c>
      <c r="S4098" s="3" t="s">
        <v>37</v>
      </c>
      <c r="T4098" s="3" t="s">
        <v>38</v>
      </c>
      <c r="U4098" s="3" t="s">
        <v>39</v>
      </c>
      <c r="V4098" s="3">
        <v>232.87</v>
      </c>
      <c r="W4098" s="3">
        <v>98.97</v>
      </c>
      <c r="X4098" s="3">
        <v>93.73</v>
      </c>
      <c r="Y4098" s="3">
        <v>40.17</v>
      </c>
    </row>
    <row r="4099" spans="1:25" ht="36.75" x14ac:dyDescent="0.25">
      <c r="A4099" s="3" t="s">
        <v>26</v>
      </c>
      <c r="B4099" s="3" t="s">
        <v>27</v>
      </c>
      <c r="C4099" s="3" t="s">
        <v>28</v>
      </c>
      <c r="D4099" s="3" t="s">
        <v>29</v>
      </c>
      <c r="E4099" s="3" t="s">
        <v>390</v>
      </c>
      <c r="F4099" s="3" t="s">
        <v>31</v>
      </c>
      <c r="G4099" s="3" t="s">
        <v>390</v>
      </c>
      <c r="H4099" s="3" t="s">
        <v>96</v>
      </c>
      <c r="I4099" s="3">
        <v>2025</v>
      </c>
      <c r="J4099" s="3" t="str">
        <f>CONCATENATE("54810559499")</f>
        <v>54810559499</v>
      </c>
      <c r="K4099" s="3" t="s">
        <v>33</v>
      </c>
      <c r="L4099" s="3"/>
      <c r="M4099" s="3" t="s">
        <v>86</v>
      </c>
      <c r="N4099" s="3" t="str">
        <f>CONCATENATE("01922700446")</f>
        <v>01922700446</v>
      </c>
      <c r="O4099" s="3" t="s">
        <v>4206</v>
      </c>
      <c r="P4099" s="3" t="s">
        <v>36</v>
      </c>
      <c r="Q4099" s="3"/>
      <c r="R4099" s="4">
        <v>45995</v>
      </c>
      <c r="S4099" s="3" t="s">
        <v>37</v>
      </c>
      <c r="T4099" s="3" t="s">
        <v>38</v>
      </c>
      <c r="U4099" s="3" t="s">
        <v>39</v>
      </c>
      <c r="V4099" s="3">
        <v>285.58</v>
      </c>
      <c r="W4099" s="3">
        <v>121.37</v>
      </c>
      <c r="X4099" s="3">
        <v>114.95</v>
      </c>
      <c r="Y4099" s="3">
        <v>49.26</v>
      </c>
    </row>
    <row r="4100" spans="1:25" ht="60.75" x14ac:dyDescent="0.25">
      <c r="A4100" s="3" t="s">
        <v>26</v>
      </c>
      <c r="B4100" s="3" t="s">
        <v>27</v>
      </c>
      <c r="C4100" s="3" t="s">
        <v>28</v>
      </c>
      <c r="D4100" s="3" t="s">
        <v>29</v>
      </c>
      <c r="E4100" s="3" t="s">
        <v>119</v>
      </c>
      <c r="F4100" s="3" t="s">
        <v>31</v>
      </c>
      <c r="G4100" s="3" t="s">
        <v>119</v>
      </c>
      <c r="H4100" s="3" t="s">
        <v>96</v>
      </c>
      <c r="I4100" s="3">
        <v>2025</v>
      </c>
      <c r="J4100" s="3" t="str">
        <f>CONCATENATE("54810380722")</f>
        <v>54810380722</v>
      </c>
      <c r="K4100" s="3" t="s">
        <v>33</v>
      </c>
      <c r="L4100" s="3"/>
      <c r="M4100" s="3" t="s">
        <v>86</v>
      </c>
      <c r="N4100" s="3" t="str">
        <f>CONCATENATE("DRBMCR81L71Z129H")</f>
        <v>DRBMCR81L71Z129H</v>
      </c>
      <c r="O4100" s="3" t="s">
        <v>645</v>
      </c>
      <c r="P4100" s="3" t="s">
        <v>36</v>
      </c>
      <c r="Q4100" s="3"/>
      <c r="R4100" s="4">
        <v>45995</v>
      </c>
      <c r="S4100" s="3" t="s">
        <v>37</v>
      </c>
      <c r="T4100" s="3" t="s">
        <v>38</v>
      </c>
      <c r="U4100" s="3" t="s">
        <v>39</v>
      </c>
      <c r="V4100" s="3">
        <v>101.8</v>
      </c>
      <c r="W4100" s="3">
        <v>43.27</v>
      </c>
      <c r="X4100" s="3">
        <v>40.97</v>
      </c>
      <c r="Y4100" s="3">
        <v>17.559999999999999</v>
      </c>
    </row>
    <row r="4101" spans="1:25" ht="60.75" x14ac:dyDescent="0.25">
      <c r="A4101" s="3" t="s">
        <v>26</v>
      </c>
      <c r="B4101" s="3" t="s">
        <v>27</v>
      </c>
      <c r="C4101" s="3" t="s">
        <v>28</v>
      </c>
      <c r="D4101" s="3" t="s">
        <v>312</v>
      </c>
      <c r="E4101" s="3" t="s">
        <v>313</v>
      </c>
      <c r="F4101" s="3" t="s">
        <v>314</v>
      </c>
      <c r="G4101" s="3" t="s">
        <v>313</v>
      </c>
      <c r="H4101" s="3" t="s">
        <v>96</v>
      </c>
      <c r="I4101" s="3">
        <v>2025</v>
      </c>
      <c r="J4101" s="3" t="str">
        <f>CONCATENATE("54810909728")</f>
        <v>54810909728</v>
      </c>
      <c r="K4101" s="3" t="s">
        <v>33</v>
      </c>
      <c r="L4101" s="3"/>
      <c r="M4101" s="3" t="s">
        <v>86</v>
      </c>
      <c r="N4101" s="3" t="str">
        <f>CONCATENATE("PCACLD61C24A462P")</f>
        <v>PCACLD61C24A462P</v>
      </c>
      <c r="O4101" s="3" t="s">
        <v>4207</v>
      </c>
      <c r="P4101" s="3" t="s">
        <v>36</v>
      </c>
      <c r="Q4101" s="3"/>
      <c r="R4101" s="4">
        <v>45995</v>
      </c>
      <c r="S4101" s="3" t="s">
        <v>37</v>
      </c>
      <c r="T4101" s="3" t="s">
        <v>38</v>
      </c>
      <c r="U4101" s="3" t="s">
        <v>39</v>
      </c>
      <c r="V4101" s="3">
        <v>35.42</v>
      </c>
      <c r="W4101" s="3">
        <v>15.05</v>
      </c>
      <c r="X4101" s="3">
        <v>14.26</v>
      </c>
      <c r="Y4101" s="3">
        <v>6.11</v>
      </c>
    </row>
    <row r="4102" spans="1:25" ht="36.75" x14ac:dyDescent="0.25">
      <c r="A4102" s="3" t="s">
        <v>26</v>
      </c>
      <c r="B4102" s="3" t="s">
        <v>27</v>
      </c>
      <c r="C4102" s="3" t="s">
        <v>28</v>
      </c>
      <c r="D4102" s="3" t="s">
        <v>91</v>
      </c>
      <c r="E4102" s="3" t="s">
        <v>522</v>
      </c>
      <c r="F4102" s="3" t="s">
        <v>93</v>
      </c>
      <c r="G4102" s="3" t="s">
        <v>522</v>
      </c>
      <c r="H4102" s="3" t="s">
        <v>32</v>
      </c>
      <c r="I4102" s="3">
        <v>2025</v>
      </c>
      <c r="J4102" s="3" t="str">
        <f>CONCATENATE("54810334463")</f>
        <v>54810334463</v>
      </c>
      <c r="K4102" s="3" t="s">
        <v>33</v>
      </c>
      <c r="L4102" s="3"/>
      <c r="M4102" s="3" t="s">
        <v>86</v>
      </c>
      <c r="N4102" s="3" t="str">
        <f>CONCATENATE("01652320431")</f>
        <v>01652320431</v>
      </c>
      <c r="O4102" s="3" t="s">
        <v>1910</v>
      </c>
      <c r="P4102" s="3" t="s">
        <v>36</v>
      </c>
      <c r="Q4102" s="3"/>
      <c r="R4102" s="4">
        <v>45995</v>
      </c>
      <c r="S4102" s="3" t="s">
        <v>37</v>
      </c>
      <c r="T4102" s="3" t="s">
        <v>38</v>
      </c>
      <c r="U4102" s="3" t="s">
        <v>39</v>
      </c>
      <c r="V4102" s="3">
        <v>106.15</v>
      </c>
      <c r="W4102" s="3">
        <v>45.11</v>
      </c>
      <c r="X4102" s="3">
        <v>42.73</v>
      </c>
      <c r="Y4102" s="3">
        <v>18.309999999999999</v>
      </c>
    </row>
    <row r="4103" spans="1:25" ht="72.75" x14ac:dyDescent="0.25">
      <c r="A4103" s="3" t="s">
        <v>26</v>
      </c>
      <c r="B4103" s="3" t="s">
        <v>27</v>
      </c>
      <c r="C4103" s="3" t="s">
        <v>28</v>
      </c>
      <c r="D4103" s="3" t="s">
        <v>157</v>
      </c>
      <c r="E4103" s="3" t="s">
        <v>1299</v>
      </c>
      <c r="F4103" s="3" t="s">
        <v>159</v>
      </c>
      <c r="G4103" s="3" t="s">
        <v>1299</v>
      </c>
      <c r="H4103" s="3" t="s">
        <v>32</v>
      </c>
      <c r="I4103" s="3">
        <v>2025</v>
      </c>
      <c r="J4103" s="3" t="str">
        <f>CONCATENATE("54810899887")</f>
        <v>54810899887</v>
      </c>
      <c r="K4103" s="3" t="s">
        <v>33</v>
      </c>
      <c r="L4103" s="3"/>
      <c r="M4103" s="3" t="s">
        <v>86</v>
      </c>
      <c r="N4103" s="3" t="str">
        <f>CONCATENATE("BSODTL69D56A271Q")</f>
        <v>BSODTL69D56A271Q</v>
      </c>
      <c r="O4103" s="3" t="s">
        <v>4208</v>
      </c>
      <c r="P4103" s="3" t="s">
        <v>36</v>
      </c>
      <c r="Q4103" s="3"/>
      <c r="R4103" s="4">
        <v>45995</v>
      </c>
      <c r="S4103" s="3" t="s">
        <v>37</v>
      </c>
      <c r="T4103" s="3" t="s">
        <v>38</v>
      </c>
      <c r="U4103" s="3" t="s">
        <v>39</v>
      </c>
      <c r="V4103" s="3">
        <v>132.53</v>
      </c>
      <c r="W4103" s="3">
        <v>56.33</v>
      </c>
      <c r="X4103" s="3">
        <v>53.34</v>
      </c>
      <c r="Y4103" s="3">
        <v>22.86</v>
      </c>
    </row>
    <row r="4104" spans="1:25" ht="60.75" x14ac:dyDescent="0.25">
      <c r="A4104" s="3" t="s">
        <v>26</v>
      </c>
      <c r="B4104" s="3" t="s">
        <v>27</v>
      </c>
      <c r="C4104" s="3" t="s">
        <v>28</v>
      </c>
      <c r="D4104" s="3" t="s">
        <v>40</v>
      </c>
      <c r="E4104" s="3" t="s">
        <v>99</v>
      </c>
      <c r="F4104" s="3" t="s">
        <v>42</v>
      </c>
      <c r="G4104" s="3" t="s">
        <v>99</v>
      </c>
      <c r="H4104" s="3" t="s">
        <v>32</v>
      </c>
      <c r="I4104" s="3">
        <v>2025</v>
      </c>
      <c r="J4104" s="3" t="str">
        <f>CONCATENATE("54811153482")</f>
        <v>54811153482</v>
      </c>
      <c r="K4104" s="3" t="s">
        <v>33</v>
      </c>
      <c r="L4104" s="3"/>
      <c r="M4104" s="3" t="s">
        <v>86</v>
      </c>
      <c r="N4104" s="3" t="str">
        <f>CONCATENATE("RZOLRD83H02E783Q")</f>
        <v>RZOLRD83H02E783Q</v>
      </c>
      <c r="O4104" s="3" t="s">
        <v>4209</v>
      </c>
      <c r="P4104" s="3" t="s">
        <v>36</v>
      </c>
      <c r="Q4104" s="3"/>
      <c r="R4104" s="4">
        <v>45995</v>
      </c>
      <c r="S4104" s="3" t="s">
        <v>37</v>
      </c>
      <c r="T4104" s="3" t="s">
        <v>38</v>
      </c>
      <c r="U4104" s="3" t="s">
        <v>39</v>
      </c>
      <c r="V4104" s="3">
        <v>107.39</v>
      </c>
      <c r="W4104" s="3">
        <v>45.64</v>
      </c>
      <c r="X4104" s="3">
        <v>43.22</v>
      </c>
      <c r="Y4104" s="3">
        <v>18.53</v>
      </c>
    </row>
    <row r="4105" spans="1:25" ht="60.75" x14ac:dyDescent="0.25">
      <c r="A4105" s="3" t="s">
        <v>26</v>
      </c>
      <c r="B4105" s="3" t="s">
        <v>27</v>
      </c>
      <c r="C4105" s="3" t="s">
        <v>28</v>
      </c>
      <c r="D4105" s="3" t="s">
        <v>29</v>
      </c>
      <c r="E4105" s="3" t="s">
        <v>68</v>
      </c>
      <c r="F4105" s="3" t="s">
        <v>31</v>
      </c>
      <c r="G4105" s="3" t="s">
        <v>68</v>
      </c>
      <c r="H4105" s="3" t="s">
        <v>32</v>
      </c>
      <c r="I4105" s="3">
        <v>2025</v>
      </c>
      <c r="J4105" s="3" t="str">
        <f>CONCATENATE("54810923117")</f>
        <v>54810923117</v>
      </c>
      <c r="K4105" s="3" t="s">
        <v>33</v>
      </c>
      <c r="L4105" s="3"/>
      <c r="M4105" s="3" t="s">
        <v>86</v>
      </c>
      <c r="N4105" s="3" t="str">
        <f>CONCATENATE("STRLSN82H53E783F")</f>
        <v>STRLSN82H53E783F</v>
      </c>
      <c r="O4105" s="3" t="s">
        <v>4210</v>
      </c>
      <c r="P4105" s="3" t="s">
        <v>36</v>
      </c>
      <c r="Q4105" s="3"/>
      <c r="R4105" s="4">
        <v>45995</v>
      </c>
      <c r="S4105" s="3" t="s">
        <v>37</v>
      </c>
      <c r="T4105" s="3" t="s">
        <v>38</v>
      </c>
      <c r="U4105" s="3" t="s">
        <v>39</v>
      </c>
      <c r="V4105" s="3">
        <v>119.42</v>
      </c>
      <c r="W4105" s="3">
        <v>50.75</v>
      </c>
      <c r="X4105" s="3">
        <v>48.07</v>
      </c>
      <c r="Y4105" s="3">
        <v>20.6</v>
      </c>
    </row>
    <row r="4106" spans="1:25" ht="60.75" x14ac:dyDescent="0.25">
      <c r="A4106" s="3" t="s">
        <v>26</v>
      </c>
      <c r="B4106" s="3" t="s">
        <v>27</v>
      </c>
      <c r="C4106" s="3" t="s">
        <v>28</v>
      </c>
      <c r="D4106" s="3" t="s">
        <v>50</v>
      </c>
      <c r="E4106" s="3" t="s">
        <v>290</v>
      </c>
      <c r="F4106" s="3" t="s">
        <v>52</v>
      </c>
      <c r="G4106" s="3" t="s">
        <v>290</v>
      </c>
      <c r="H4106" s="3" t="s">
        <v>96</v>
      </c>
      <c r="I4106" s="3">
        <v>2025</v>
      </c>
      <c r="J4106" s="3" t="str">
        <f>CONCATENATE("54811065942")</f>
        <v>54811065942</v>
      </c>
      <c r="K4106" s="3" t="s">
        <v>33</v>
      </c>
      <c r="L4106" s="3"/>
      <c r="M4106" s="3" t="s">
        <v>86</v>
      </c>
      <c r="N4106" s="3" t="str">
        <f>CONCATENATE("MRLRRE77C12G516I")</f>
        <v>MRLRRE77C12G516I</v>
      </c>
      <c r="O4106" s="3" t="s">
        <v>2076</v>
      </c>
      <c r="P4106" s="3" t="s">
        <v>36</v>
      </c>
      <c r="Q4106" s="3"/>
      <c r="R4106" s="4">
        <v>45995</v>
      </c>
      <c r="S4106" s="3" t="s">
        <v>37</v>
      </c>
      <c r="T4106" s="3" t="s">
        <v>38</v>
      </c>
      <c r="U4106" s="3" t="s">
        <v>39</v>
      </c>
      <c r="V4106" s="3">
        <v>92.64</v>
      </c>
      <c r="W4106" s="3">
        <v>39.369999999999997</v>
      </c>
      <c r="X4106" s="3">
        <v>37.29</v>
      </c>
      <c r="Y4106" s="3">
        <v>15.98</v>
      </c>
    </row>
    <row r="4107" spans="1:25" ht="36.75" x14ac:dyDescent="0.25">
      <c r="A4107" s="3" t="s">
        <v>26</v>
      </c>
      <c r="B4107" s="3" t="s">
        <v>27</v>
      </c>
      <c r="C4107" s="3" t="s">
        <v>28</v>
      </c>
      <c r="D4107" s="3" t="s">
        <v>29</v>
      </c>
      <c r="E4107" s="3" t="s">
        <v>101</v>
      </c>
      <c r="F4107" s="3" t="s">
        <v>31</v>
      </c>
      <c r="G4107" s="3" t="s">
        <v>101</v>
      </c>
      <c r="H4107" s="3" t="s">
        <v>32</v>
      </c>
      <c r="I4107" s="3">
        <v>2025</v>
      </c>
      <c r="J4107" s="3" t="str">
        <f>CONCATENATE("54811090924")</f>
        <v>54811090924</v>
      </c>
      <c r="K4107" s="3" t="s">
        <v>33</v>
      </c>
      <c r="L4107" s="3"/>
      <c r="M4107" s="3" t="s">
        <v>86</v>
      </c>
      <c r="N4107" s="3" t="str">
        <f>CONCATENATE("01939990436")</f>
        <v>01939990436</v>
      </c>
      <c r="O4107" s="3" t="s">
        <v>4211</v>
      </c>
      <c r="P4107" s="3" t="s">
        <v>36</v>
      </c>
      <c r="Q4107" s="3"/>
      <c r="R4107" s="4">
        <v>45995</v>
      </c>
      <c r="S4107" s="3" t="s">
        <v>37</v>
      </c>
      <c r="T4107" s="3" t="s">
        <v>38</v>
      </c>
      <c r="U4107" s="3" t="s">
        <v>39</v>
      </c>
      <c r="V4107" s="3">
        <v>298.18</v>
      </c>
      <c r="W4107" s="3">
        <v>126.73</v>
      </c>
      <c r="X4107" s="3">
        <v>120.02</v>
      </c>
      <c r="Y4107" s="3">
        <v>51.43</v>
      </c>
    </row>
    <row r="4108" spans="1:25" ht="48.75" x14ac:dyDescent="0.25">
      <c r="A4108" s="3" t="s">
        <v>26</v>
      </c>
      <c r="B4108" s="3" t="s">
        <v>27</v>
      </c>
      <c r="C4108" s="3" t="s">
        <v>28</v>
      </c>
      <c r="D4108" s="3" t="s">
        <v>29</v>
      </c>
      <c r="E4108" s="3" t="s">
        <v>101</v>
      </c>
      <c r="F4108" s="3" t="s">
        <v>31</v>
      </c>
      <c r="G4108" s="3" t="s">
        <v>101</v>
      </c>
      <c r="H4108" s="3" t="s">
        <v>32</v>
      </c>
      <c r="I4108" s="3">
        <v>2025</v>
      </c>
      <c r="J4108" s="3" t="str">
        <f>CONCATENATE("54810867306")</f>
        <v>54810867306</v>
      </c>
      <c r="K4108" s="3" t="s">
        <v>33</v>
      </c>
      <c r="L4108" s="3"/>
      <c r="M4108" s="3" t="s">
        <v>86</v>
      </c>
      <c r="N4108" s="3" t="str">
        <f>CONCATENATE("RSLSLV87D58I156C")</f>
        <v>RSLSLV87D58I156C</v>
      </c>
      <c r="O4108" s="3" t="s">
        <v>3413</v>
      </c>
      <c r="P4108" s="3" t="s">
        <v>36</v>
      </c>
      <c r="Q4108" s="3"/>
      <c r="R4108" s="4">
        <v>45995</v>
      </c>
      <c r="S4108" s="3" t="s">
        <v>37</v>
      </c>
      <c r="T4108" s="3" t="s">
        <v>38</v>
      </c>
      <c r="U4108" s="3" t="s">
        <v>39</v>
      </c>
      <c r="V4108" s="3">
        <v>71.12</v>
      </c>
      <c r="W4108" s="3">
        <v>30.23</v>
      </c>
      <c r="X4108" s="3">
        <v>28.63</v>
      </c>
      <c r="Y4108" s="3">
        <v>12.26</v>
      </c>
    </row>
    <row r="4109" spans="1:25" ht="60.75" x14ac:dyDescent="0.25">
      <c r="A4109" s="3" t="s">
        <v>26</v>
      </c>
      <c r="B4109" s="3" t="s">
        <v>27</v>
      </c>
      <c r="C4109" s="3" t="s">
        <v>28</v>
      </c>
      <c r="D4109" s="3" t="s">
        <v>29</v>
      </c>
      <c r="E4109" s="3" t="s">
        <v>1975</v>
      </c>
      <c r="F4109" s="3" t="s">
        <v>31</v>
      </c>
      <c r="G4109" s="3" t="s">
        <v>1975</v>
      </c>
      <c r="H4109" s="3" t="s">
        <v>32</v>
      </c>
      <c r="I4109" s="3">
        <v>2025</v>
      </c>
      <c r="J4109" s="3" t="str">
        <f>CONCATENATE("54810628005")</f>
        <v>54810628005</v>
      </c>
      <c r="K4109" s="3" t="s">
        <v>33</v>
      </c>
      <c r="L4109" s="3"/>
      <c r="M4109" s="3" t="s">
        <v>86</v>
      </c>
      <c r="N4109" s="3" t="str">
        <f>CONCATENATE("MRCRRT87T07A859E")</f>
        <v>MRCRRT87T07A859E</v>
      </c>
      <c r="O4109" s="3" t="s">
        <v>4212</v>
      </c>
      <c r="P4109" s="3" t="s">
        <v>36</v>
      </c>
      <c r="Q4109" s="3"/>
      <c r="R4109" s="4">
        <v>45995</v>
      </c>
      <c r="S4109" s="3" t="s">
        <v>37</v>
      </c>
      <c r="T4109" s="3" t="s">
        <v>38</v>
      </c>
      <c r="U4109" s="3" t="s">
        <v>39</v>
      </c>
      <c r="V4109" s="3">
        <v>255.49</v>
      </c>
      <c r="W4109" s="3">
        <v>108.58</v>
      </c>
      <c r="X4109" s="3">
        <v>102.83</v>
      </c>
      <c r="Y4109" s="3">
        <v>44.08</v>
      </c>
    </row>
    <row r="4110" spans="1:25" ht="60.75" x14ac:dyDescent="0.25">
      <c r="A4110" s="3" t="s">
        <v>26</v>
      </c>
      <c r="B4110" s="3" t="s">
        <v>27</v>
      </c>
      <c r="C4110" s="3" t="s">
        <v>28</v>
      </c>
      <c r="D4110" s="3" t="s">
        <v>29</v>
      </c>
      <c r="E4110" s="3" t="s">
        <v>1975</v>
      </c>
      <c r="F4110" s="3" t="s">
        <v>31</v>
      </c>
      <c r="G4110" s="3" t="s">
        <v>1975</v>
      </c>
      <c r="H4110" s="3" t="s">
        <v>32</v>
      </c>
      <c r="I4110" s="3">
        <v>2025</v>
      </c>
      <c r="J4110" s="3" t="str">
        <f>CONCATENATE("54810207826")</f>
        <v>54810207826</v>
      </c>
      <c r="K4110" s="3" t="s">
        <v>33</v>
      </c>
      <c r="L4110" s="3"/>
      <c r="M4110" s="3" t="s">
        <v>86</v>
      </c>
      <c r="N4110" s="3" t="str">
        <f>CONCATENATE("NBLCNZ73S59I156C")</f>
        <v>NBLCNZ73S59I156C</v>
      </c>
      <c r="O4110" s="3" t="s">
        <v>4213</v>
      </c>
      <c r="P4110" s="3" t="s">
        <v>36</v>
      </c>
      <c r="Q4110" s="3"/>
      <c r="R4110" s="4">
        <v>45995</v>
      </c>
      <c r="S4110" s="3" t="s">
        <v>37</v>
      </c>
      <c r="T4110" s="3" t="s">
        <v>38</v>
      </c>
      <c r="U4110" s="3" t="s">
        <v>39</v>
      </c>
      <c r="V4110" s="3">
        <v>180.97</v>
      </c>
      <c r="W4110" s="3">
        <v>76.91</v>
      </c>
      <c r="X4110" s="3">
        <v>72.84</v>
      </c>
      <c r="Y4110" s="3">
        <v>31.22</v>
      </c>
    </row>
    <row r="4111" spans="1:25" ht="36.75" x14ac:dyDescent="0.25">
      <c r="A4111" s="3" t="s">
        <v>26</v>
      </c>
      <c r="B4111" s="3" t="s">
        <v>27</v>
      </c>
      <c r="C4111" s="3" t="s">
        <v>28</v>
      </c>
      <c r="D4111" s="3" t="s">
        <v>40</v>
      </c>
      <c r="E4111" s="3" t="s">
        <v>44</v>
      </c>
      <c r="F4111" s="3" t="s">
        <v>42</v>
      </c>
      <c r="G4111" s="3" t="s">
        <v>44</v>
      </c>
      <c r="H4111" s="3" t="s">
        <v>32</v>
      </c>
      <c r="I4111" s="3">
        <v>2025</v>
      </c>
      <c r="J4111" s="3" t="str">
        <f>CONCATENATE("54810058310")</f>
        <v>54810058310</v>
      </c>
      <c r="K4111" s="3" t="s">
        <v>33</v>
      </c>
      <c r="L4111" s="3"/>
      <c r="M4111" s="3" t="s">
        <v>86</v>
      </c>
      <c r="N4111" s="3" t="str">
        <f>CONCATENATE("01987370432")</f>
        <v>01987370432</v>
      </c>
      <c r="O4111" s="3" t="s">
        <v>4214</v>
      </c>
      <c r="P4111" s="3" t="s">
        <v>36</v>
      </c>
      <c r="Q4111" s="3"/>
      <c r="R4111" s="4">
        <v>45995</v>
      </c>
      <c r="S4111" s="3" t="s">
        <v>37</v>
      </c>
      <c r="T4111" s="3" t="s">
        <v>38</v>
      </c>
      <c r="U4111" s="3" t="s">
        <v>39</v>
      </c>
      <c r="V4111" s="3">
        <v>235.08</v>
      </c>
      <c r="W4111" s="3">
        <v>99.91</v>
      </c>
      <c r="X4111" s="3">
        <v>94.62</v>
      </c>
      <c r="Y4111" s="3">
        <v>40.549999999999997</v>
      </c>
    </row>
    <row r="4112" spans="1:25" ht="60.75" x14ac:dyDescent="0.25">
      <c r="A4112" s="3" t="s">
        <v>26</v>
      </c>
      <c r="B4112" s="3" t="s">
        <v>27</v>
      </c>
      <c r="C4112" s="3" t="s">
        <v>28</v>
      </c>
      <c r="D4112" s="3" t="s">
        <v>91</v>
      </c>
      <c r="E4112" s="3" t="s">
        <v>522</v>
      </c>
      <c r="F4112" s="3" t="s">
        <v>93</v>
      </c>
      <c r="G4112" s="3" t="s">
        <v>522</v>
      </c>
      <c r="H4112" s="3" t="s">
        <v>32</v>
      </c>
      <c r="I4112" s="3">
        <v>2025</v>
      </c>
      <c r="J4112" s="3" t="str">
        <f>CONCATENATE("54810214178")</f>
        <v>54810214178</v>
      </c>
      <c r="K4112" s="3" t="s">
        <v>33</v>
      </c>
      <c r="L4112" s="3"/>
      <c r="M4112" s="3" t="s">
        <v>86</v>
      </c>
      <c r="N4112" s="3" t="str">
        <f>CONCATENATE("CSTLVN75E57H501O")</f>
        <v>CSTLVN75E57H501O</v>
      </c>
      <c r="O4112" s="3" t="s">
        <v>4215</v>
      </c>
      <c r="P4112" s="3" t="s">
        <v>36</v>
      </c>
      <c r="Q4112" s="3"/>
      <c r="R4112" s="4">
        <v>45995</v>
      </c>
      <c r="S4112" s="3" t="s">
        <v>37</v>
      </c>
      <c r="T4112" s="3" t="s">
        <v>38</v>
      </c>
      <c r="U4112" s="3" t="s">
        <v>39</v>
      </c>
      <c r="V4112" s="3">
        <v>269.25</v>
      </c>
      <c r="W4112" s="3">
        <v>114.43</v>
      </c>
      <c r="X4112" s="3">
        <v>108.37</v>
      </c>
      <c r="Y4112" s="3">
        <v>46.45</v>
      </c>
    </row>
    <row r="4113" spans="1:25" ht="60.75" x14ac:dyDescent="0.25">
      <c r="A4113" s="3" t="s">
        <v>26</v>
      </c>
      <c r="B4113" s="3" t="s">
        <v>27</v>
      </c>
      <c r="C4113" s="3" t="s">
        <v>28</v>
      </c>
      <c r="D4113" s="3" t="s">
        <v>29</v>
      </c>
      <c r="E4113" s="3" t="s">
        <v>101</v>
      </c>
      <c r="F4113" s="3" t="s">
        <v>31</v>
      </c>
      <c r="G4113" s="3" t="s">
        <v>101</v>
      </c>
      <c r="H4113" s="3" t="s">
        <v>32</v>
      </c>
      <c r="I4113" s="3">
        <v>2025</v>
      </c>
      <c r="J4113" s="3" t="str">
        <f>CONCATENATE("54810092913")</f>
        <v>54810092913</v>
      </c>
      <c r="K4113" s="3" t="s">
        <v>33</v>
      </c>
      <c r="L4113" s="3"/>
      <c r="M4113" s="3" t="s">
        <v>86</v>
      </c>
      <c r="N4113" s="3" t="str">
        <f>CONCATENATE("PCCMRA92S19L191D")</f>
        <v>PCCMRA92S19L191D</v>
      </c>
      <c r="O4113" s="3" t="s">
        <v>677</v>
      </c>
      <c r="P4113" s="3" t="s">
        <v>36</v>
      </c>
      <c r="Q4113" s="3"/>
      <c r="R4113" s="4">
        <v>45995</v>
      </c>
      <c r="S4113" s="3" t="s">
        <v>37</v>
      </c>
      <c r="T4113" s="3" t="s">
        <v>38</v>
      </c>
      <c r="U4113" s="3" t="s">
        <v>39</v>
      </c>
      <c r="V4113" s="3">
        <v>43.96</v>
      </c>
      <c r="W4113" s="3">
        <v>18.68</v>
      </c>
      <c r="X4113" s="3">
        <v>17.690000000000001</v>
      </c>
      <c r="Y4113" s="3">
        <v>7.59</v>
      </c>
    </row>
    <row r="4114" spans="1:25" ht="60.75" x14ac:dyDescent="0.25">
      <c r="A4114" s="3" t="s">
        <v>26</v>
      </c>
      <c r="B4114" s="3" t="s">
        <v>27</v>
      </c>
      <c r="C4114" s="3" t="s">
        <v>28</v>
      </c>
      <c r="D4114" s="3" t="s">
        <v>50</v>
      </c>
      <c r="E4114" s="3" t="s">
        <v>212</v>
      </c>
      <c r="F4114" s="3" t="s">
        <v>52</v>
      </c>
      <c r="G4114" s="3" t="s">
        <v>212</v>
      </c>
      <c r="H4114" s="3" t="s">
        <v>32</v>
      </c>
      <c r="I4114" s="3">
        <v>2025</v>
      </c>
      <c r="J4114" s="3" t="str">
        <f>CONCATENATE("54810213337")</f>
        <v>54810213337</v>
      </c>
      <c r="K4114" s="3" t="s">
        <v>33</v>
      </c>
      <c r="L4114" s="3"/>
      <c r="M4114" s="3" t="s">
        <v>86</v>
      </c>
      <c r="N4114" s="3" t="str">
        <f>CONCATENATE("CCCLRA79D57E783S")</f>
        <v>CCCLRA79D57E783S</v>
      </c>
      <c r="O4114" s="3" t="s">
        <v>4216</v>
      </c>
      <c r="P4114" s="3" t="s">
        <v>36</v>
      </c>
      <c r="Q4114" s="3"/>
      <c r="R4114" s="4">
        <v>45995</v>
      </c>
      <c r="S4114" s="3" t="s">
        <v>37</v>
      </c>
      <c r="T4114" s="3" t="s">
        <v>38</v>
      </c>
      <c r="U4114" s="3" t="s">
        <v>39</v>
      </c>
      <c r="V4114" s="3">
        <v>164.8</v>
      </c>
      <c r="W4114" s="3">
        <v>70.040000000000006</v>
      </c>
      <c r="X4114" s="3">
        <v>66.33</v>
      </c>
      <c r="Y4114" s="3">
        <v>28.43</v>
      </c>
    </row>
    <row r="4115" spans="1:25" ht="60.75" x14ac:dyDescent="0.25">
      <c r="A4115" s="3" t="s">
        <v>26</v>
      </c>
      <c r="B4115" s="3" t="s">
        <v>27</v>
      </c>
      <c r="C4115" s="3" t="s">
        <v>28</v>
      </c>
      <c r="D4115" s="3" t="s">
        <v>312</v>
      </c>
      <c r="E4115" s="3" t="s">
        <v>313</v>
      </c>
      <c r="F4115" s="3" t="s">
        <v>314</v>
      </c>
      <c r="G4115" s="3" t="s">
        <v>313</v>
      </c>
      <c r="H4115" s="3" t="s">
        <v>96</v>
      </c>
      <c r="I4115" s="3">
        <v>2025</v>
      </c>
      <c r="J4115" s="3" t="str">
        <f>CONCATENATE("54810924719")</f>
        <v>54810924719</v>
      </c>
      <c r="K4115" s="3" t="s">
        <v>33</v>
      </c>
      <c r="L4115" s="3"/>
      <c r="M4115" s="3" t="s">
        <v>86</v>
      </c>
      <c r="N4115" s="3" t="str">
        <f>CONCATENATE("TMSMRZ74D30A462F")</f>
        <v>TMSMRZ74D30A462F</v>
      </c>
      <c r="O4115" s="3" t="s">
        <v>4217</v>
      </c>
      <c r="P4115" s="3" t="s">
        <v>36</v>
      </c>
      <c r="Q4115" s="3"/>
      <c r="R4115" s="4">
        <v>45995</v>
      </c>
      <c r="S4115" s="3" t="s">
        <v>37</v>
      </c>
      <c r="T4115" s="3" t="s">
        <v>38</v>
      </c>
      <c r="U4115" s="3" t="s">
        <v>39</v>
      </c>
      <c r="V4115" s="3">
        <v>64.64</v>
      </c>
      <c r="W4115" s="3">
        <v>27.47</v>
      </c>
      <c r="X4115" s="3">
        <v>26.02</v>
      </c>
      <c r="Y4115" s="3">
        <v>11.15</v>
      </c>
    </row>
    <row r="4116" spans="1:25" ht="60.75" x14ac:dyDescent="0.25">
      <c r="A4116" s="3" t="s">
        <v>26</v>
      </c>
      <c r="B4116" s="3" t="s">
        <v>27</v>
      </c>
      <c r="C4116" s="3" t="s">
        <v>28</v>
      </c>
      <c r="D4116" s="3" t="s">
        <v>40</v>
      </c>
      <c r="E4116" s="3" t="s">
        <v>122</v>
      </c>
      <c r="F4116" s="3" t="s">
        <v>42</v>
      </c>
      <c r="G4116" s="3" t="s">
        <v>122</v>
      </c>
      <c r="H4116" s="3" t="s">
        <v>32</v>
      </c>
      <c r="I4116" s="3">
        <v>2025</v>
      </c>
      <c r="J4116" s="3" t="str">
        <f>CONCATENATE("54810219052")</f>
        <v>54810219052</v>
      </c>
      <c r="K4116" s="3" t="s">
        <v>33</v>
      </c>
      <c r="L4116" s="3"/>
      <c r="M4116" s="3" t="s">
        <v>86</v>
      </c>
      <c r="N4116" s="3" t="str">
        <f>CONCATENATE("CRFDRD96S11E783V")</f>
        <v>CRFDRD96S11E783V</v>
      </c>
      <c r="O4116" s="3" t="s">
        <v>4218</v>
      </c>
      <c r="P4116" s="3" t="s">
        <v>36</v>
      </c>
      <c r="Q4116" s="3"/>
      <c r="R4116" s="4">
        <v>45995</v>
      </c>
      <c r="S4116" s="3" t="s">
        <v>37</v>
      </c>
      <c r="T4116" s="3" t="s">
        <v>38</v>
      </c>
      <c r="U4116" s="3" t="s">
        <v>39</v>
      </c>
      <c r="V4116" s="3">
        <v>56.95</v>
      </c>
      <c r="W4116" s="3">
        <v>24.2</v>
      </c>
      <c r="X4116" s="3">
        <v>22.92</v>
      </c>
      <c r="Y4116" s="3">
        <v>9.83</v>
      </c>
    </row>
    <row r="4117" spans="1:25" ht="36.75" x14ac:dyDescent="0.25">
      <c r="A4117" s="3" t="s">
        <v>26</v>
      </c>
      <c r="B4117" s="3" t="s">
        <v>27</v>
      </c>
      <c r="C4117" s="3" t="s">
        <v>28</v>
      </c>
      <c r="D4117" s="3" t="s">
        <v>40</v>
      </c>
      <c r="E4117" s="3" t="s">
        <v>122</v>
      </c>
      <c r="F4117" s="3" t="s">
        <v>42</v>
      </c>
      <c r="G4117" s="3" t="s">
        <v>122</v>
      </c>
      <c r="H4117" s="3" t="s">
        <v>32</v>
      </c>
      <c r="I4117" s="3">
        <v>2025</v>
      </c>
      <c r="J4117" s="3" t="str">
        <f>CONCATENATE("54811105680")</f>
        <v>54811105680</v>
      </c>
      <c r="K4117" s="3" t="s">
        <v>33</v>
      </c>
      <c r="L4117" s="3"/>
      <c r="M4117" s="3" t="s">
        <v>86</v>
      </c>
      <c r="N4117" s="3" t="str">
        <f>CONCATENATE("00626190433")</f>
        <v>00626190433</v>
      </c>
      <c r="O4117" s="3" t="s">
        <v>4219</v>
      </c>
      <c r="P4117" s="3" t="s">
        <v>36</v>
      </c>
      <c r="Q4117" s="3"/>
      <c r="R4117" s="4">
        <v>45995</v>
      </c>
      <c r="S4117" s="3" t="s">
        <v>37</v>
      </c>
      <c r="T4117" s="3" t="s">
        <v>38</v>
      </c>
      <c r="U4117" s="3" t="s">
        <v>39</v>
      </c>
      <c r="V4117" s="3">
        <v>166.88</v>
      </c>
      <c r="W4117" s="3">
        <v>70.92</v>
      </c>
      <c r="X4117" s="3">
        <v>67.17</v>
      </c>
      <c r="Y4117" s="3">
        <v>28.79</v>
      </c>
    </row>
    <row r="4118" spans="1:25" ht="60.75" x14ac:dyDescent="0.25">
      <c r="A4118" s="3" t="s">
        <v>26</v>
      </c>
      <c r="B4118" s="3" t="s">
        <v>27</v>
      </c>
      <c r="C4118" s="3" t="s">
        <v>28</v>
      </c>
      <c r="D4118" s="3" t="s">
        <v>29</v>
      </c>
      <c r="E4118" s="3" t="s">
        <v>56</v>
      </c>
      <c r="F4118" s="3" t="s">
        <v>31</v>
      </c>
      <c r="G4118" s="3" t="s">
        <v>56</v>
      </c>
      <c r="H4118" s="3" t="s">
        <v>32</v>
      </c>
      <c r="I4118" s="3">
        <v>2025</v>
      </c>
      <c r="J4118" s="3" t="str">
        <f>CONCATENATE("54811062550")</f>
        <v>54811062550</v>
      </c>
      <c r="K4118" s="3" t="s">
        <v>33</v>
      </c>
      <c r="L4118" s="3"/>
      <c r="M4118" s="3" t="s">
        <v>86</v>
      </c>
      <c r="N4118" s="3" t="str">
        <f>CONCATENATE("LCCLCU66B19Z133V")</f>
        <v>LCCLCU66B19Z133V</v>
      </c>
      <c r="O4118" s="3" t="s">
        <v>4220</v>
      </c>
      <c r="P4118" s="3" t="s">
        <v>36</v>
      </c>
      <c r="Q4118" s="3"/>
      <c r="R4118" s="4">
        <v>45995</v>
      </c>
      <c r="S4118" s="3" t="s">
        <v>37</v>
      </c>
      <c r="T4118" s="3" t="s">
        <v>38</v>
      </c>
      <c r="U4118" s="3" t="s">
        <v>39</v>
      </c>
      <c r="V4118" s="3">
        <v>198</v>
      </c>
      <c r="W4118" s="3">
        <v>84.15</v>
      </c>
      <c r="X4118" s="3">
        <v>79.7</v>
      </c>
      <c r="Y4118" s="3">
        <v>34.15</v>
      </c>
    </row>
    <row r="4119" spans="1:25" ht="36.75" x14ac:dyDescent="0.25">
      <c r="A4119" s="3" t="s">
        <v>26</v>
      </c>
      <c r="B4119" s="3" t="s">
        <v>27</v>
      </c>
      <c r="C4119" s="3" t="s">
        <v>28</v>
      </c>
      <c r="D4119" s="3" t="s">
        <v>50</v>
      </c>
      <c r="E4119" s="3" t="s">
        <v>51</v>
      </c>
      <c r="F4119" s="3" t="s">
        <v>52</v>
      </c>
      <c r="G4119" s="3" t="s">
        <v>51</v>
      </c>
      <c r="H4119" s="3" t="s">
        <v>32</v>
      </c>
      <c r="I4119" s="3">
        <v>2025</v>
      </c>
      <c r="J4119" s="3" t="str">
        <f>CONCATENATE("54810947025")</f>
        <v>54810947025</v>
      </c>
      <c r="K4119" s="3" t="s">
        <v>33</v>
      </c>
      <c r="L4119" s="3"/>
      <c r="M4119" s="3" t="s">
        <v>86</v>
      </c>
      <c r="N4119" s="3" t="str">
        <f>CONCATENATE("01932960436")</f>
        <v>01932960436</v>
      </c>
      <c r="O4119" s="3" t="s">
        <v>4221</v>
      </c>
      <c r="P4119" s="3" t="s">
        <v>36</v>
      </c>
      <c r="Q4119" s="3"/>
      <c r="R4119" s="4">
        <v>45995</v>
      </c>
      <c r="S4119" s="3" t="s">
        <v>37</v>
      </c>
      <c r="T4119" s="3" t="s">
        <v>38</v>
      </c>
      <c r="U4119" s="3" t="s">
        <v>39</v>
      </c>
      <c r="V4119" s="3">
        <v>96.62</v>
      </c>
      <c r="W4119" s="3">
        <v>41.06</v>
      </c>
      <c r="X4119" s="3">
        <v>38.89</v>
      </c>
      <c r="Y4119" s="3">
        <v>16.670000000000002</v>
      </c>
    </row>
    <row r="4120" spans="1:25" ht="60.75" x14ac:dyDescent="0.25">
      <c r="A4120" s="3" t="s">
        <v>26</v>
      </c>
      <c r="B4120" s="3" t="s">
        <v>27</v>
      </c>
      <c r="C4120" s="3" t="s">
        <v>28</v>
      </c>
      <c r="D4120" s="3" t="s">
        <v>50</v>
      </c>
      <c r="E4120" s="3" t="s">
        <v>51</v>
      </c>
      <c r="F4120" s="3" t="s">
        <v>52</v>
      </c>
      <c r="G4120" s="3" t="s">
        <v>51</v>
      </c>
      <c r="H4120" s="3" t="s">
        <v>48</v>
      </c>
      <c r="I4120" s="3">
        <v>2025</v>
      </c>
      <c r="J4120" s="3" t="str">
        <f>CONCATENATE("54810451523")</f>
        <v>54810451523</v>
      </c>
      <c r="K4120" s="3" t="s">
        <v>33</v>
      </c>
      <c r="L4120" s="3"/>
      <c r="M4120" s="3" t="s">
        <v>86</v>
      </c>
      <c r="N4120" s="3" t="str">
        <f>CONCATENATE("GRGPTT59S57F401J")</f>
        <v>GRGPTT59S57F401J</v>
      </c>
      <c r="O4120" s="3" t="s">
        <v>4222</v>
      </c>
      <c r="P4120" s="3" t="s">
        <v>36</v>
      </c>
      <c r="Q4120" s="3"/>
      <c r="R4120" s="4">
        <v>45995</v>
      </c>
      <c r="S4120" s="3" t="s">
        <v>37</v>
      </c>
      <c r="T4120" s="3" t="s">
        <v>38</v>
      </c>
      <c r="U4120" s="3" t="s">
        <v>39</v>
      </c>
      <c r="V4120" s="3">
        <v>136.07</v>
      </c>
      <c r="W4120" s="3">
        <v>57.83</v>
      </c>
      <c r="X4120" s="3">
        <v>54.77</v>
      </c>
      <c r="Y4120" s="3">
        <v>23.47</v>
      </c>
    </row>
    <row r="4121" spans="1:25" ht="60.75" x14ac:dyDescent="0.25">
      <c r="A4121" s="3" t="s">
        <v>26</v>
      </c>
      <c r="B4121" s="3" t="s">
        <v>27</v>
      </c>
      <c r="C4121" s="3" t="s">
        <v>28</v>
      </c>
      <c r="D4121" s="3" t="s">
        <v>29</v>
      </c>
      <c r="E4121" s="3" t="s">
        <v>101</v>
      </c>
      <c r="F4121" s="3" t="s">
        <v>31</v>
      </c>
      <c r="G4121" s="3" t="s">
        <v>101</v>
      </c>
      <c r="H4121" s="3" t="s">
        <v>32</v>
      </c>
      <c r="I4121" s="3">
        <v>2025</v>
      </c>
      <c r="J4121" s="3" t="str">
        <f>CONCATENATE("54810646866")</f>
        <v>54810646866</v>
      </c>
      <c r="K4121" s="3" t="s">
        <v>33</v>
      </c>
      <c r="L4121" s="3"/>
      <c r="M4121" s="3" t="s">
        <v>86</v>
      </c>
      <c r="N4121" s="3" t="str">
        <f>CONCATENATE("MNNGLC74S07E783T")</f>
        <v>MNNGLC74S07E783T</v>
      </c>
      <c r="O4121" s="3" t="s">
        <v>4223</v>
      </c>
      <c r="P4121" s="3" t="s">
        <v>36</v>
      </c>
      <c r="Q4121" s="3"/>
      <c r="R4121" s="4">
        <v>45995</v>
      </c>
      <c r="S4121" s="3" t="s">
        <v>37</v>
      </c>
      <c r="T4121" s="3" t="s">
        <v>38</v>
      </c>
      <c r="U4121" s="3" t="s">
        <v>39</v>
      </c>
      <c r="V4121" s="3">
        <v>78.67</v>
      </c>
      <c r="W4121" s="3">
        <v>33.43</v>
      </c>
      <c r="X4121" s="3">
        <v>31.66</v>
      </c>
      <c r="Y4121" s="3">
        <v>13.58</v>
      </c>
    </row>
    <row r="4122" spans="1:25" ht="60.75" x14ac:dyDescent="0.25">
      <c r="A4122" s="3" t="s">
        <v>26</v>
      </c>
      <c r="B4122" s="3" t="s">
        <v>27</v>
      </c>
      <c r="C4122" s="3" t="s">
        <v>28</v>
      </c>
      <c r="D4122" s="3" t="s">
        <v>40</v>
      </c>
      <c r="E4122" s="3" t="s">
        <v>44</v>
      </c>
      <c r="F4122" s="3" t="s">
        <v>42</v>
      </c>
      <c r="G4122" s="3" t="s">
        <v>44</v>
      </c>
      <c r="H4122" s="3" t="s">
        <v>32</v>
      </c>
      <c r="I4122" s="3">
        <v>2025</v>
      </c>
      <c r="J4122" s="3" t="str">
        <f>CONCATENATE("54810049194")</f>
        <v>54810049194</v>
      </c>
      <c r="K4122" s="3" t="s">
        <v>33</v>
      </c>
      <c r="L4122" s="3"/>
      <c r="M4122" s="3" t="s">
        <v>86</v>
      </c>
      <c r="N4122" s="3" t="str">
        <f>CONCATENATE("MSCMRA53L25I156U")</f>
        <v>MSCMRA53L25I156U</v>
      </c>
      <c r="O4122" s="3" t="s">
        <v>4224</v>
      </c>
      <c r="P4122" s="3" t="s">
        <v>36</v>
      </c>
      <c r="Q4122" s="3"/>
      <c r="R4122" s="4">
        <v>45995</v>
      </c>
      <c r="S4122" s="3" t="s">
        <v>37</v>
      </c>
      <c r="T4122" s="3" t="s">
        <v>38</v>
      </c>
      <c r="U4122" s="3" t="s">
        <v>39</v>
      </c>
      <c r="V4122" s="3">
        <v>54.79</v>
      </c>
      <c r="W4122" s="3">
        <v>23.29</v>
      </c>
      <c r="X4122" s="3">
        <v>22.05</v>
      </c>
      <c r="Y4122" s="3">
        <v>9.4499999999999993</v>
      </c>
    </row>
    <row r="4123" spans="1:25" ht="60.75" x14ac:dyDescent="0.25">
      <c r="A4123" s="3" t="s">
        <v>26</v>
      </c>
      <c r="B4123" s="3" t="s">
        <v>27</v>
      </c>
      <c r="C4123" s="3" t="s">
        <v>28</v>
      </c>
      <c r="D4123" s="3" t="s">
        <v>91</v>
      </c>
      <c r="E4123" s="3" t="s">
        <v>92</v>
      </c>
      <c r="F4123" s="3" t="s">
        <v>93</v>
      </c>
      <c r="G4123" s="3" t="s">
        <v>92</v>
      </c>
      <c r="H4123" s="3" t="s">
        <v>48</v>
      </c>
      <c r="I4123" s="3">
        <v>2025</v>
      </c>
      <c r="J4123" s="3" t="str">
        <f>CONCATENATE("54810055050")</f>
        <v>54810055050</v>
      </c>
      <c r="K4123" s="3" t="s">
        <v>33</v>
      </c>
      <c r="L4123" s="3"/>
      <c r="M4123" s="3" t="s">
        <v>86</v>
      </c>
      <c r="N4123" s="3" t="str">
        <f>CONCATENATE("MZZDIA59T69H211I")</f>
        <v>MZZDIA59T69H211I</v>
      </c>
      <c r="O4123" s="3" t="s">
        <v>115</v>
      </c>
      <c r="P4123" s="3" t="s">
        <v>36</v>
      </c>
      <c r="Q4123" s="3"/>
      <c r="R4123" s="4">
        <v>45995</v>
      </c>
      <c r="S4123" s="3" t="s">
        <v>37</v>
      </c>
      <c r="T4123" s="3" t="s">
        <v>38</v>
      </c>
      <c r="U4123" s="3" t="s">
        <v>39</v>
      </c>
      <c r="V4123" s="3">
        <v>80.91</v>
      </c>
      <c r="W4123" s="3">
        <v>34.39</v>
      </c>
      <c r="X4123" s="3">
        <v>32.57</v>
      </c>
      <c r="Y4123" s="3">
        <v>13.95</v>
      </c>
    </row>
    <row r="4124" spans="1:25" ht="36.75" x14ac:dyDescent="0.25">
      <c r="A4124" s="3" t="s">
        <v>26</v>
      </c>
      <c r="B4124" s="3" t="s">
        <v>27</v>
      </c>
      <c r="C4124" s="3" t="s">
        <v>28</v>
      </c>
      <c r="D4124" s="3" t="s">
        <v>40</v>
      </c>
      <c r="E4124" s="3" t="s">
        <v>44</v>
      </c>
      <c r="F4124" s="3" t="s">
        <v>42</v>
      </c>
      <c r="G4124" s="3" t="s">
        <v>44</v>
      </c>
      <c r="H4124" s="3" t="s">
        <v>32</v>
      </c>
      <c r="I4124" s="3">
        <v>2025</v>
      </c>
      <c r="J4124" s="3" t="str">
        <f>CONCATENATE("54810267408")</f>
        <v>54810267408</v>
      </c>
      <c r="K4124" s="3" t="s">
        <v>33</v>
      </c>
      <c r="L4124" s="3"/>
      <c r="M4124" s="3" t="s">
        <v>86</v>
      </c>
      <c r="N4124" s="3" t="str">
        <f>CONCATENATE("01897500433")</f>
        <v>01897500433</v>
      </c>
      <c r="O4124" s="3" t="s">
        <v>4225</v>
      </c>
      <c r="P4124" s="3" t="s">
        <v>36</v>
      </c>
      <c r="Q4124" s="3"/>
      <c r="R4124" s="4">
        <v>45995</v>
      </c>
      <c r="S4124" s="3" t="s">
        <v>37</v>
      </c>
      <c r="T4124" s="3" t="s">
        <v>38</v>
      </c>
      <c r="U4124" s="3" t="s">
        <v>39</v>
      </c>
      <c r="V4124" s="3">
        <v>168.35</v>
      </c>
      <c r="W4124" s="3">
        <v>71.55</v>
      </c>
      <c r="X4124" s="3">
        <v>67.760000000000005</v>
      </c>
      <c r="Y4124" s="3">
        <v>29.04</v>
      </c>
    </row>
    <row r="4125" spans="1:25" ht="60.75" x14ac:dyDescent="0.25">
      <c r="A4125" s="3" t="s">
        <v>26</v>
      </c>
      <c r="B4125" s="3" t="s">
        <v>27</v>
      </c>
      <c r="C4125" s="3" t="s">
        <v>28</v>
      </c>
      <c r="D4125" s="3" t="s">
        <v>40</v>
      </c>
      <c r="E4125" s="3" t="s">
        <v>44</v>
      </c>
      <c r="F4125" s="3" t="s">
        <v>42</v>
      </c>
      <c r="G4125" s="3" t="s">
        <v>44</v>
      </c>
      <c r="H4125" s="3" t="s">
        <v>32</v>
      </c>
      <c r="I4125" s="3">
        <v>2025</v>
      </c>
      <c r="J4125" s="3" t="str">
        <f>CONCATENATE("54810172285")</f>
        <v>54810172285</v>
      </c>
      <c r="K4125" s="3" t="s">
        <v>33</v>
      </c>
      <c r="L4125" s="3"/>
      <c r="M4125" s="3" t="s">
        <v>86</v>
      </c>
      <c r="N4125" s="3" t="str">
        <f>CONCATENATE("QNTGRT90L64E783M")</f>
        <v>QNTGRT90L64E783M</v>
      </c>
      <c r="O4125" s="3" t="s">
        <v>1325</v>
      </c>
      <c r="P4125" s="3" t="s">
        <v>36</v>
      </c>
      <c r="Q4125" s="3"/>
      <c r="R4125" s="4">
        <v>45995</v>
      </c>
      <c r="S4125" s="3" t="s">
        <v>37</v>
      </c>
      <c r="T4125" s="3" t="s">
        <v>38</v>
      </c>
      <c r="U4125" s="3" t="s">
        <v>39</v>
      </c>
      <c r="V4125" s="3">
        <v>208.81</v>
      </c>
      <c r="W4125" s="3">
        <v>88.74</v>
      </c>
      <c r="X4125" s="3">
        <v>84.05</v>
      </c>
      <c r="Y4125" s="3">
        <v>36.020000000000003</v>
      </c>
    </row>
    <row r="4126" spans="1:25" ht="36.75" x14ac:dyDescent="0.25">
      <c r="A4126" s="3" t="s">
        <v>26</v>
      </c>
      <c r="B4126" s="3" t="s">
        <v>27</v>
      </c>
      <c r="C4126" s="3" t="s">
        <v>28</v>
      </c>
      <c r="D4126" s="3" t="s">
        <v>40</v>
      </c>
      <c r="E4126" s="3" t="s">
        <v>122</v>
      </c>
      <c r="F4126" s="3" t="s">
        <v>42</v>
      </c>
      <c r="G4126" s="3" t="s">
        <v>122</v>
      </c>
      <c r="H4126" s="3" t="s">
        <v>32</v>
      </c>
      <c r="I4126" s="3">
        <v>2025</v>
      </c>
      <c r="J4126" s="3" t="str">
        <f>CONCATENATE("54810384625")</f>
        <v>54810384625</v>
      </c>
      <c r="K4126" s="3" t="s">
        <v>33</v>
      </c>
      <c r="L4126" s="3"/>
      <c r="M4126" s="3" t="s">
        <v>86</v>
      </c>
      <c r="N4126" s="3" t="str">
        <f>CONCATENATE("02064950435")</f>
        <v>02064950435</v>
      </c>
      <c r="O4126" s="3" t="s">
        <v>4226</v>
      </c>
      <c r="P4126" s="3" t="s">
        <v>36</v>
      </c>
      <c r="Q4126" s="3"/>
      <c r="R4126" s="4">
        <v>45995</v>
      </c>
      <c r="S4126" s="3" t="s">
        <v>37</v>
      </c>
      <c r="T4126" s="3" t="s">
        <v>38</v>
      </c>
      <c r="U4126" s="3" t="s">
        <v>39</v>
      </c>
      <c r="V4126" s="3">
        <v>351.29</v>
      </c>
      <c r="W4126" s="3">
        <v>149.30000000000001</v>
      </c>
      <c r="X4126" s="3">
        <v>141.38999999999999</v>
      </c>
      <c r="Y4126" s="3">
        <v>60.6</v>
      </c>
    </row>
    <row r="4127" spans="1:25" ht="60.75" x14ac:dyDescent="0.25">
      <c r="A4127" s="3" t="s">
        <v>26</v>
      </c>
      <c r="B4127" s="3" t="s">
        <v>27</v>
      </c>
      <c r="C4127" s="3" t="s">
        <v>28</v>
      </c>
      <c r="D4127" s="3" t="s">
        <v>104</v>
      </c>
      <c r="E4127" s="3" t="s">
        <v>691</v>
      </c>
      <c r="F4127" s="3" t="s">
        <v>104</v>
      </c>
      <c r="G4127" s="3" t="s">
        <v>691</v>
      </c>
      <c r="H4127" s="3" t="s">
        <v>48</v>
      </c>
      <c r="I4127" s="3">
        <v>2025</v>
      </c>
      <c r="J4127" s="3" t="str">
        <f>CONCATENATE("54810377850")</f>
        <v>54810377850</v>
      </c>
      <c r="K4127" s="3" t="s">
        <v>33</v>
      </c>
      <c r="L4127" s="3"/>
      <c r="M4127" s="3" t="s">
        <v>86</v>
      </c>
      <c r="N4127" s="3" t="str">
        <f>CONCATENATE("CSRGNN62P16Z103I")</f>
        <v>CSRGNN62P16Z103I</v>
      </c>
      <c r="O4127" s="3" t="s">
        <v>4227</v>
      </c>
      <c r="P4127" s="3" t="s">
        <v>36</v>
      </c>
      <c r="Q4127" s="3"/>
      <c r="R4127" s="4">
        <v>45995</v>
      </c>
      <c r="S4127" s="3" t="s">
        <v>37</v>
      </c>
      <c r="T4127" s="3" t="s">
        <v>38</v>
      </c>
      <c r="U4127" s="3" t="s">
        <v>39</v>
      </c>
      <c r="V4127" s="3">
        <v>152.4</v>
      </c>
      <c r="W4127" s="3">
        <v>64.77</v>
      </c>
      <c r="X4127" s="3">
        <v>61.34</v>
      </c>
      <c r="Y4127" s="3">
        <v>26.29</v>
      </c>
    </row>
    <row r="4128" spans="1:25" ht="60.75" x14ac:dyDescent="0.25">
      <c r="A4128" s="3" t="s">
        <v>26</v>
      </c>
      <c r="B4128" s="3" t="s">
        <v>27</v>
      </c>
      <c r="C4128" s="3" t="s">
        <v>28</v>
      </c>
      <c r="D4128" s="3" t="s">
        <v>29</v>
      </c>
      <c r="E4128" s="3" t="s">
        <v>56</v>
      </c>
      <c r="F4128" s="3" t="s">
        <v>31</v>
      </c>
      <c r="G4128" s="3" t="s">
        <v>56</v>
      </c>
      <c r="H4128" s="3" t="s">
        <v>32</v>
      </c>
      <c r="I4128" s="3">
        <v>2025</v>
      </c>
      <c r="J4128" s="3" t="str">
        <f>CONCATENATE("54820220322")</f>
        <v>54820220322</v>
      </c>
      <c r="K4128" s="3" t="s">
        <v>33</v>
      </c>
      <c r="L4128" s="3"/>
      <c r="M4128" s="3" t="s">
        <v>131</v>
      </c>
      <c r="N4128" s="3" t="str">
        <f>CONCATENATE("SPEMHL55L21M078J")</f>
        <v>SPEMHL55L21M078J</v>
      </c>
      <c r="O4128" s="3" t="s">
        <v>4228</v>
      </c>
      <c r="P4128" s="3" t="s">
        <v>36</v>
      </c>
      <c r="Q4128" s="3"/>
      <c r="R4128" s="4">
        <v>45996</v>
      </c>
      <c r="S4128" s="3" t="s">
        <v>37</v>
      </c>
      <c r="T4128" s="3" t="s">
        <v>38</v>
      </c>
      <c r="U4128" s="3" t="s">
        <v>39</v>
      </c>
      <c r="V4128" s="5">
        <v>1317.09</v>
      </c>
      <c r="W4128" s="3">
        <v>559.76</v>
      </c>
      <c r="X4128" s="3">
        <v>530.13</v>
      </c>
      <c r="Y4128" s="3">
        <v>227.2</v>
      </c>
    </row>
    <row r="4129" spans="1:25" ht="60.75" x14ac:dyDescent="0.25">
      <c r="A4129" s="3" t="s">
        <v>26</v>
      </c>
      <c r="B4129" s="3" t="s">
        <v>27</v>
      </c>
      <c r="C4129" s="3" t="s">
        <v>28</v>
      </c>
      <c r="D4129" s="3" t="s">
        <v>29</v>
      </c>
      <c r="E4129" s="3" t="s">
        <v>136</v>
      </c>
      <c r="F4129" s="3" t="s">
        <v>31</v>
      </c>
      <c r="G4129" s="3" t="s">
        <v>136</v>
      </c>
      <c r="H4129" s="3" t="s">
        <v>48</v>
      </c>
      <c r="I4129" s="3">
        <v>2025</v>
      </c>
      <c r="J4129" s="3" t="str">
        <f>CONCATENATE("54820231840")</f>
        <v>54820231840</v>
      </c>
      <c r="K4129" s="3" t="s">
        <v>33</v>
      </c>
      <c r="L4129" s="3"/>
      <c r="M4129" s="3" t="s">
        <v>131</v>
      </c>
      <c r="N4129" s="3" t="str">
        <f>CONCATENATE("TDDDYE60M42D965K")</f>
        <v>TDDDYE60M42D965K</v>
      </c>
      <c r="O4129" s="3" t="s">
        <v>4229</v>
      </c>
      <c r="P4129" s="3" t="s">
        <v>36</v>
      </c>
      <c r="Q4129" s="3"/>
      <c r="R4129" s="4">
        <v>45996</v>
      </c>
      <c r="S4129" s="3" t="s">
        <v>37</v>
      </c>
      <c r="T4129" s="3" t="s">
        <v>38</v>
      </c>
      <c r="U4129" s="3" t="s">
        <v>39</v>
      </c>
      <c r="V4129" s="3">
        <v>128.72999999999999</v>
      </c>
      <c r="W4129" s="3">
        <v>54.71</v>
      </c>
      <c r="X4129" s="3">
        <v>51.81</v>
      </c>
      <c r="Y4129" s="3">
        <v>22.21</v>
      </c>
    </row>
    <row r="4130" spans="1:25" ht="36.75" x14ac:dyDescent="0.25">
      <c r="A4130" s="3" t="s">
        <v>26</v>
      </c>
      <c r="B4130" s="3" t="s">
        <v>27</v>
      </c>
      <c r="C4130" s="3" t="s">
        <v>28</v>
      </c>
      <c r="D4130" s="3" t="s">
        <v>29</v>
      </c>
      <c r="E4130" s="3" t="s">
        <v>101</v>
      </c>
      <c r="F4130" s="3" t="s">
        <v>31</v>
      </c>
      <c r="G4130" s="3" t="s">
        <v>101</v>
      </c>
      <c r="H4130" s="3" t="s">
        <v>32</v>
      </c>
      <c r="I4130" s="3">
        <v>2025</v>
      </c>
      <c r="J4130" s="3" t="str">
        <f>CONCATENATE("54820274816")</f>
        <v>54820274816</v>
      </c>
      <c r="K4130" s="3" t="s">
        <v>33</v>
      </c>
      <c r="L4130" s="3"/>
      <c r="M4130" s="3" t="s">
        <v>131</v>
      </c>
      <c r="N4130" s="3" t="str">
        <f>CONCATENATE("01939990436")</f>
        <v>01939990436</v>
      </c>
      <c r="O4130" s="3" t="s">
        <v>4211</v>
      </c>
      <c r="P4130" s="3" t="s">
        <v>36</v>
      </c>
      <c r="Q4130" s="3"/>
      <c r="R4130" s="4">
        <v>45996</v>
      </c>
      <c r="S4130" s="3" t="s">
        <v>37</v>
      </c>
      <c r="T4130" s="3" t="s">
        <v>38</v>
      </c>
      <c r="U4130" s="3" t="s">
        <v>39</v>
      </c>
      <c r="V4130" s="3">
        <v>813.27</v>
      </c>
      <c r="W4130" s="3">
        <v>345.64</v>
      </c>
      <c r="X4130" s="3">
        <v>327.33999999999997</v>
      </c>
      <c r="Y4130" s="3">
        <v>140.29</v>
      </c>
    </row>
    <row r="4131" spans="1:25" ht="60.75" x14ac:dyDescent="0.25">
      <c r="A4131" s="3" t="s">
        <v>26</v>
      </c>
      <c r="B4131" s="3" t="s">
        <v>27</v>
      </c>
      <c r="C4131" s="3" t="s">
        <v>28</v>
      </c>
      <c r="D4131" s="3" t="s">
        <v>104</v>
      </c>
      <c r="E4131" s="3" t="s">
        <v>141</v>
      </c>
      <c r="F4131" s="3" t="s">
        <v>104</v>
      </c>
      <c r="G4131" s="3" t="s">
        <v>141</v>
      </c>
      <c r="H4131" s="3" t="s">
        <v>96</v>
      </c>
      <c r="I4131" s="3">
        <v>2025</v>
      </c>
      <c r="J4131" s="3" t="str">
        <f>CONCATENATE("54820277058")</f>
        <v>54820277058</v>
      </c>
      <c r="K4131" s="3" t="s">
        <v>33</v>
      </c>
      <c r="L4131" s="3"/>
      <c r="M4131" s="3" t="s">
        <v>131</v>
      </c>
      <c r="N4131" s="3" t="str">
        <f>CONCATENATE("LSNFBA89P12A462A")</f>
        <v>LSNFBA89P12A462A</v>
      </c>
      <c r="O4131" s="3" t="s">
        <v>4230</v>
      </c>
      <c r="P4131" s="3" t="s">
        <v>36</v>
      </c>
      <c r="Q4131" s="3"/>
      <c r="R4131" s="4">
        <v>45996</v>
      </c>
      <c r="S4131" s="3" t="s">
        <v>37</v>
      </c>
      <c r="T4131" s="3" t="s">
        <v>38</v>
      </c>
      <c r="U4131" s="3" t="s">
        <v>39</v>
      </c>
      <c r="V4131" s="3">
        <v>261.39999999999998</v>
      </c>
      <c r="W4131" s="3">
        <v>111.1</v>
      </c>
      <c r="X4131" s="3">
        <v>105.21</v>
      </c>
      <c r="Y4131" s="3">
        <v>45.09</v>
      </c>
    </row>
    <row r="4132" spans="1:25" ht="60.75" x14ac:dyDescent="0.25">
      <c r="A4132" s="3" t="s">
        <v>26</v>
      </c>
      <c r="B4132" s="3" t="s">
        <v>27</v>
      </c>
      <c r="C4132" s="3" t="s">
        <v>28</v>
      </c>
      <c r="D4132" s="3" t="s">
        <v>50</v>
      </c>
      <c r="E4132" s="3" t="s">
        <v>147</v>
      </c>
      <c r="F4132" s="3" t="s">
        <v>52</v>
      </c>
      <c r="G4132" s="3" t="s">
        <v>147</v>
      </c>
      <c r="H4132" s="3" t="s">
        <v>45</v>
      </c>
      <c r="I4132" s="3">
        <v>2025</v>
      </c>
      <c r="J4132" s="3" t="str">
        <f>CONCATENATE("54820161989")</f>
        <v>54820161989</v>
      </c>
      <c r="K4132" s="3" t="s">
        <v>33</v>
      </c>
      <c r="L4132" s="3"/>
      <c r="M4132" s="3" t="s">
        <v>131</v>
      </c>
      <c r="N4132" s="3" t="str">
        <f>CONCATENATE("VTLGLN62E25H721T")</f>
        <v>VTLGLN62E25H721T</v>
      </c>
      <c r="O4132" s="3" t="s">
        <v>4231</v>
      </c>
      <c r="P4132" s="3" t="s">
        <v>36</v>
      </c>
      <c r="Q4132" s="3"/>
      <c r="R4132" s="4">
        <v>45996</v>
      </c>
      <c r="S4132" s="3" t="s">
        <v>37</v>
      </c>
      <c r="T4132" s="3" t="s">
        <v>38</v>
      </c>
      <c r="U4132" s="3" t="s">
        <v>39</v>
      </c>
      <c r="V4132" s="3">
        <v>58.75</v>
      </c>
      <c r="W4132" s="3">
        <v>24.97</v>
      </c>
      <c r="X4132" s="3">
        <v>23.65</v>
      </c>
      <c r="Y4132" s="3">
        <v>10.130000000000001</v>
      </c>
    </row>
    <row r="4133" spans="1:25" ht="36.75" x14ac:dyDescent="0.25">
      <c r="A4133" s="3" t="s">
        <v>26</v>
      </c>
      <c r="B4133" s="3" t="s">
        <v>27</v>
      </c>
      <c r="C4133" s="3" t="s">
        <v>28</v>
      </c>
      <c r="D4133" s="3" t="s">
        <v>29</v>
      </c>
      <c r="E4133" s="3" t="s">
        <v>476</v>
      </c>
      <c r="F4133" s="3" t="s">
        <v>31</v>
      </c>
      <c r="G4133" s="3" t="s">
        <v>476</v>
      </c>
      <c r="H4133" s="3" t="s">
        <v>48</v>
      </c>
      <c r="I4133" s="3">
        <v>2025</v>
      </c>
      <c r="J4133" s="3" t="str">
        <f>CONCATENATE("54820143359")</f>
        <v>54820143359</v>
      </c>
      <c r="K4133" s="3" t="s">
        <v>33</v>
      </c>
      <c r="L4133" s="3"/>
      <c r="M4133" s="3" t="s">
        <v>131</v>
      </c>
      <c r="N4133" s="3" t="str">
        <f>CONCATENATE("02666090424")</f>
        <v>02666090424</v>
      </c>
      <c r="O4133" s="3" t="s">
        <v>4232</v>
      </c>
      <c r="P4133" s="3" t="s">
        <v>36</v>
      </c>
      <c r="Q4133" s="3"/>
      <c r="R4133" s="4">
        <v>45996</v>
      </c>
      <c r="S4133" s="3" t="s">
        <v>37</v>
      </c>
      <c r="T4133" s="3" t="s">
        <v>38</v>
      </c>
      <c r="U4133" s="3" t="s">
        <v>39</v>
      </c>
      <c r="V4133" s="3">
        <v>143.43</v>
      </c>
      <c r="W4133" s="3">
        <v>60.96</v>
      </c>
      <c r="X4133" s="3">
        <v>57.73</v>
      </c>
      <c r="Y4133" s="3">
        <v>24.74</v>
      </c>
    </row>
    <row r="4134" spans="1:25" ht="60.75" x14ac:dyDescent="0.25">
      <c r="A4134" s="3" t="s">
        <v>26</v>
      </c>
      <c r="B4134" s="3" t="s">
        <v>27</v>
      </c>
      <c r="C4134" s="3" t="s">
        <v>28</v>
      </c>
      <c r="D4134" s="3" t="s">
        <v>29</v>
      </c>
      <c r="E4134" s="3" t="s">
        <v>47</v>
      </c>
      <c r="F4134" s="3" t="s">
        <v>31</v>
      </c>
      <c r="G4134" s="3" t="s">
        <v>47</v>
      </c>
      <c r="H4134" s="3" t="s">
        <v>48</v>
      </c>
      <c r="I4134" s="3">
        <v>2025</v>
      </c>
      <c r="J4134" s="3" t="str">
        <f>CONCATENATE("54820212212")</f>
        <v>54820212212</v>
      </c>
      <c r="K4134" s="3" t="s">
        <v>33</v>
      </c>
      <c r="L4134" s="3"/>
      <c r="M4134" s="3" t="s">
        <v>131</v>
      </c>
      <c r="N4134" s="3" t="str">
        <f>CONCATENATE("SCRMLE63B66I653M")</f>
        <v>SCRMLE63B66I653M</v>
      </c>
      <c r="O4134" s="3" t="s">
        <v>4233</v>
      </c>
      <c r="P4134" s="3" t="s">
        <v>36</v>
      </c>
      <c r="Q4134" s="3"/>
      <c r="R4134" s="4">
        <v>45996</v>
      </c>
      <c r="S4134" s="3" t="s">
        <v>37</v>
      </c>
      <c r="T4134" s="3" t="s">
        <v>38</v>
      </c>
      <c r="U4134" s="3" t="s">
        <v>39</v>
      </c>
      <c r="V4134" s="3">
        <v>278.38</v>
      </c>
      <c r="W4134" s="3">
        <v>118.31</v>
      </c>
      <c r="X4134" s="3">
        <v>112.05</v>
      </c>
      <c r="Y4134" s="3">
        <v>48.02</v>
      </c>
    </row>
    <row r="4135" spans="1:25" ht="60.75" x14ac:dyDescent="0.25">
      <c r="A4135" s="3" t="s">
        <v>26</v>
      </c>
      <c r="B4135" s="3" t="s">
        <v>27</v>
      </c>
      <c r="C4135" s="3" t="s">
        <v>28</v>
      </c>
      <c r="D4135" s="3" t="s">
        <v>29</v>
      </c>
      <c r="E4135" s="3" t="s">
        <v>47</v>
      </c>
      <c r="F4135" s="3" t="s">
        <v>31</v>
      </c>
      <c r="G4135" s="3" t="s">
        <v>47</v>
      </c>
      <c r="H4135" s="3" t="s">
        <v>48</v>
      </c>
      <c r="I4135" s="3">
        <v>2025</v>
      </c>
      <c r="J4135" s="3" t="str">
        <f>CONCATENATE("54820212063")</f>
        <v>54820212063</v>
      </c>
      <c r="K4135" s="3" t="s">
        <v>33</v>
      </c>
      <c r="L4135" s="3"/>
      <c r="M4135" s="3" t="s">
        <v>131</v>
      </c>
      <c r="N4135" s="3" t="str">
        <f>CONCATENATE("RGGNZR49C31D451V")</f>
        <v>RGGNZR49C31D451V</v>
      </c>
      <c r="O4135" s="3" t="s">
        <v>4234</v>
      </c>
      <c r="P4135" s="3" t="s">
        <v>36</v>
      </c>
      <c r="Q4135" s="3"/>
      <c r="R4135" s="4">
        <v>45996</v>
      </c>
      <c r="S4135" s="3" t="s">
        <v>37</v>
      </c>
      <c r="T4135" s="3" t="s">
        <v>38</v>
      </c>
      <c r="U4135" s="3" t="s">
        <v>39</v>
      </c>
      <c r="V4135" s="3">
        <v>117.35</v>
      </c>
      <c r="W4135" s="3">
        <v>49.87</v>
      </c>
      <c r="X4135" s="3">
        <v>47.23</v>
      </c>
      <c r="Y4135" s="3">
        <v>20.25</v>
      </c>
    </row>
    <row r="4136" spans="1:25" ht="60.75" x14ac:dyDescent="0.25">
      <c r="A4136" s="3" t="s">
        <v>26</v>
      </c>
      <c r="B4136" s="3" t="s">
        <v>27</v>
      </c>
      <c r="C4136" s="3" t="s">
        <v>28</v>
      </c>
      <c r="D4136" s="3" t="s">
        <v>50</v>
      </c>
      <c r="E4136" s="3" t="s">
        <v>60</v>
      </c>
      <c r="F4136" s="3" t="s">
        <v>52</v>
      </c>
      <c r="G4136" s="3" t="s">
        <v>60</v>
      </c>
      <c r="H4136" s="3" t="s">
        <v>45</v>
      </c>
      <c r="I4136" s="3">
        <v>2025</v>
      </c>
      <c r="J4136" s="3" t="str">
        <f>CONCATENATE("54820163530")</f>
        <v>54820163530</v>
      </c>
      <c r="K4136" s="3" t="s">
        <v>33</v>
      </c>
      <c r="L4136" s="3"/>
      <c r="M4136" s="3" t="s">
        <v>131</v>
      </c>
      <c r="N4136" s="3" t="str">
        <f>CONCATENATE("RSSNGL55L64A944S")</f>
        <v>RSSNGL55L64A944S</v>
      </c>
      <c r="O4136" s="3" t="s">
        <v>4235</v>
      </c>
      <c r="P4136" s="3" t="s">
        <v>36</v>
      </c>
      <c r="Q4136" s="3"/>
      <c r="R4136" s="4">
        <v>45996</v>
      </c>
      <c r="S4136" s="3" t="s">
        <v>37</v>
      </c>
      <c r="T4136" s="3" t="s">
        <v>38</v>
      </c>
      <c r="U4136" s="3" t="s">
        <v>39</v>
      </c>
      <c r="V4136" s="3">
        <v>97.78</v>
      </c>
      <c r="W4136" s="3">
        <v>41.56</v>
      </c>
      <c r="X4136" s="3">
        <v>39.36</v>
      </c>
      <c r="Y4136" s="3">
        <v>16.86</v>
      </c>
    </row>
    <row r="4137" spans="1:25" ht="72.75" x14ac:dyDescent="0.25">
      <c r="A4137" s="3" t="s">
        <v>26</v>
      </c>
      <c r="B4137" s="3" t="s">
        <v>27</v>
      </c>
      <c r="C4137" s="3" t="s">
        <v>28</v>
      </c>
      <c r="D4137" s="3" t="s">
        <v>50</v>
      </c>
      <c r="E4137" s="3" t="s">
        <v>60</v>
      </c>
      <c r="F4137" s="3" t="s">
        <v>52</v>
      </c>
      <c r="G4137" s="3" t="s">
        <v>60</v>
      </c>
      <c r="H4137" s="3" t="s">
        <v>45</v>
      </c>
      <c r="I4137" s="3">
        <v>2025</v>
      </c>
      <c r="J4137" s="3" t="str">
        <f>CONCATENATE("54820192802")</f>
        <v>54820192802</v>
      </c>
      <c r="K4137" s="3" t="s">
        <v>33</v>
      </c>
      <c r="L4137" s="3"/>
      <c r="M4137" s="3" t="s">
        <v>131</v>
      </c>
      <c r="N4137" s="3" t="str">
        <f>CONCATENATE("MRNPTR40S15B352Y")</f>
        <v>MRNPTR40S15B352Y</v>
      </c>
      <c r="O4137" s="3" t="s">
        <v>4236</v>
      </c>
      <c r="P4137" s="3" t="s">
        <v>36</v>
      </c>
      <c r="Q4137" s="3"/>
      <c r="R4137" s="4">
        <v>45996</v>
      </c>
      <c r="S4137" s="3" t="s">
        <v>37</v>
      </c>
      <c r="T4137" s="3" t="s">
        <v>38</v>
      </c>
      <c r="U4137" s="3" t="s">
        <v>39</v>
      </c>
      <c r="V4137" s="3">
        <v>254.01</v>
      </c>
      <c r="W4137" s="3">
        <v>107.95</v>
      </c>
      <c r="X4137" s="3">
        <v>102.24</v>
      </c>
      <c r="Y4137" s="3">
        <v>43.82</v>
      </c>
    </row>
    <row r="4138" spans="1:25" ht="36.75" x14ac:dyDescent="0.25">
      <c r="A4138" s="3" t="s">
        <v>26</v>
      </c>
      <c r="B4138" s="3" t="s">
        <v>27</v>
      </c>
      <c r="C4138" s="3" t="s">
        <v>28</v>
      </c>
      <c r="D4138" s="3" t="s">
        <v>29</v>
      </c>
      <c r="E4138" s="3" t="s">
        <v>182</v>
      </c>
      <c r="F4138" s="3" t="s">
        <v>31</v>
      </c>
      <c r="G4138" s="3" t="s">
        <v>182</v>
      </c>
      <c r="H4138" s="3" t="s">
        <v>45</v>
      </c>
      <c r="I4138" s="3">
        <v>2025</v>
      </c>
      <c r="J4138" s="3" t="str">
        <f>CONCATENATE("54820234851")</f>
        <v>54820234851</v>
      </c>
      <c r="K4138" s="3" t="s">
        <v>33</v>
      </c>
      <c r="L4138" s="3"/>
      <c r="M4138" s="3" t="s">
        <v>131</v>
      </c>
      <c r="N4138" s="3" t="str">
        <f>CONCATENATE("02119480412")</f>
        <v>02119480412</v>
      </c>
      <c r="O4138" s="3" t="s">
        <v>4237</v>
      </c>
      <c r="P4138" s="3" t="s">
        <v>36</v>
      </c>
      <c r="Q4138" s="3"/>
      <c r="R4138" s="4">
        <v>45996</v>
      </c>
      <c r="S4138" s="3" t="s">
        <v>37</v>
      </c>
      <c r="T4138" s="3" t="s">
        <v>38</v>
      </c>
      <c r="U4138" s="3" t="s">
        <v>39</v>
      </c>
      <c r="V4138" s="5">
        <v>1077.29</v>
      </c>
      <c r="W4138" s="3">
        <v>457.85</v>
      </c>
      <c r="X4138" s="3">
        <v>433.61</v>
      </c>
      <c r="Y4138" s="3">
        <v>185.83</v>
      </c>
    </row>
    <row r="4139" spans="1:25" ht="36.75" x14ac:dyDescent="0.25">
      <c r="A4139" s="3" t="s">
        <v>26</v>
      </c>
      <c r="B4139" s="3" t="s">
        <v>27</v>
      </c>
      <c r="C4139" s="3" t="s">
        <v>28</v>
      </c>
      <c r="D4139" s="3" t="s">
        <v>40</v>
      </c>
      <c r="E4139" s="3" t="s">
        <v>44</v>
      </c>
      <c r="F4139" s="3" t="s">
        <v>42</v>
      </c>
      <c r="G4139" s="3" t="s">
        <v>44</v>
      </c>
      <c r="H4139" s="3" t="s">
        <v>32</v>
      </c>
      <c r="I4139" s="3">
        <v>2025</v>
      </c>
      <c r="J4139" s="3" t="str">
        <f>CONCATENATE("54820127451")</f>
        <v>54820127451</v>
      </c>
      <c r="K4139" s="3" t="s">
        <v>33</v>
      </c>
      <c r="L4139" s="3"/>
      <c r="M4139" s="3" t="s">
        <v>131</v>
      </c>
      <c r="N4139" s="3" t="str">
        <f>CONCATENATE("01913780431")</f>
        <v>01913780431</v>
      </c>
      <c r="O4139" s="3" t="s">
        <v>4238</v>
      </c>
      <c r="P4139" s="3" t="s">
        <v>36</v>
      </c>
      <c r="Q4139" s="3"/>
      <c r="R4139" s="4">
        <v>45996</v>
      </c>
      <c r="S4139" s="3" t="s">
        <v>37</v>
      </c>
      <c r="T4139" s="3" t="s">
        <v>38</v>
      </c>
      <c r="U4139" s="3" t="s">
        <v>39</v>
      </c>
      <c r="V4139" s="3">
        <v>372.37</v>
      </c>
      <c r="W4139" s="3">
        <v>158.26</v>
      </c>
      <c r="X4139" s="3">
        <v>149.88</v>
      </c>
      <c r="Y4139" s="3">
        <v>64.23</v>
      </c>
    </row>
    <row r="4140" spans="1:25" ht="72.75" x14ac:dyDescent="0.25">
      <c r="A4140" s="3" t="s">
        <v>26</v>
      </c>
      <c r="B4140" s="3" t="s">
        <v>27</v>
      </c>
      <c r="C4140" s="3" t="s">
        <v>28</v>
      </c>
      <c r="D4140" s="3" t="s">
        <v>29</v>
      </c>
      <c r="E4140" s="3" t="s">
        <v>182</v>
      </c>
      <c r="F4140" s="3" t="s">
        <v>31</v>
      </c>
      <c r="G4140" s="3" t="s">
        <v>182</v>
      </c>
      <c r="H4140" s="3" t="s">
        <v>45</v>
      </c>
      <c r="I4140" s="3">
        <v>2025</v>
      </c>
      <c r="J4140" s="3" t="str">
        <f>CONCATENATE("54820146733")</f>
        <v>54820146733</v>
      </c>
      <c r="K4140" s="3" t="s">
        <v>33</v>
      </c>
      <c r="L4140" s="3"/>
      <c r="M4140" s="3" t="s">
        <v>131</v>
      </c>
      <c r="N4140" s="3" t="str">
        <f>CONCATENATE("MNGRHR53B16A332O")</f>
        <v>MNGRHR53B16A332O</v>
      </c>
      <c r="O4140" s="3" t="s">
        <v>4239</v>
      </c>
      <c r="P4140" s="3" t="s">
        <v>36</v>
      </c>
      <c r="Q4140" s="3"/>
      <c r="R4140" s="4">
        <v>45996</v>
      </c>
      <c r="S4140" s="3" t="s">
        <v>37</v>
      </c>
      <c r="T4140" s="3" t="s">
        <v>38</v>
      </c>
      <c r="U4140" s="3" t="s">
        <v>39</v>
      </c>
      <c r="V4140" s="3">
        <v>182.34</v>
      </c>
      <c r="W4140" s="3">
        <v>77.489999999999995</v>
      </c>
      <c r="X4140" s="3">
        <v>73.39</v>
      </c>
      <c r="Y4140" s="3">
        <v>31.46</v>
      </c>
    </row>
    <row r="4141" spans="1:25" ht="36.75" x14ac:dyDescent="0.25">
      <c r="A4141" s="3" t="s">
        <v>26</v>
      </c>
      <c r="B4141" s="3" t="s">
        <v>27</v>
      </c>
      <c r="C4141" s="3" t="s">
        <v>28</v>
      </c>
      <c r="D4141" s="3" t="s">
        <v>91</v>
      </c>
      <c r="E4141" s="3" t="s">
        <v>95</v>
      </c>
      <c r="F4141" s="3" t="s">
        <v>93</v>
      </c>
      <c r="G4141" s="3" t="s">
        <v>95</v>
      </c>
      <c r="H4141" s="3" t="s">
        <v>32</v>
      </c>
      <c r="I4141" s="3">
        <v>2025</v>
      </c>
      <c r="J4141" s="3" t="str">
        <f>CONCATENATE("54820036454")</f>
        <v>54820036454</v>
      </c>
      <c r="K4141" s="3" t="s">
        <v>33</v>
      </c>
      <c r="L4141" s="3"/>
      <c r="M4141" s="3" t="s">
        <v>131</v>
      </c>
      <c r="N4141" s="3" t="str">
        <f>CONCATENATE("01793280437")</f>
        <v>01793280437</v>
      </c>
      <c r="O4141" s="3" t="s">
        <v>4240</v>
      </c>
      <c r="P4141" s="3" t="s">
        <v>36</v>
      </c>
      <c r="Q4141" s="3"/>
      <c r="R4141" s="4">
        <v>45996</v>
      </c>
      <c r="S4141" s="3" t="s">
        <v>37</v>
      </c>
      <c r="T4141" s="3" t="s">
        <v>38</v>
      </c>
      <c r="U4141" s="3" t="s">
        <v>39</v>
      </c>
      <c r="V4141" s="3">
        <v>934.23</v>
      </c>
      <c r="W4141" s="3">
        <v>397.05</v>
      </c>
      <c r="X4141" s="3">
        <v>376.03</v>
      </c>
      <c r="Y4141" s="3">
        <v>161.15</v>
      </c>
    </row>
    <row r="4142" spans="1:25" ht="72.75" x14ac:dyDescent="0.25">
      <c r="A4142" s="3" t="s">
        <v>26</v>
      </c>
      <c r="B4142" s="3" t="s">
        <v>27</v>
      </c>
      <c r="C4142" s="3" t="s">
        <v>28</v>
      </c>
      <c r="D4142" s="3" t="s">
        <v>40</v>
      </c>
      <c r="E4142" s="3" t="s">
        <v>54</v>
      </c>
      <c r="F4142" s="3" t="s">
        <v>42</v>
      </c>
      <c r="G4142" s="3" t="s">
        <v>54</v>
      </c>
      <c r="H4142" s="3" t="s">
        <v>45</v>
      </c>
      <c r="I4142" s="3">
        <v>2025</v>
      </c>
      <c r="J4142" s="3" t="str">
        <f>CONCATENATE("54820044508")</f>
        <v>54820044508</v>
      </c>
      <c r="K4142" s="3" t="s">
        <v>33</v>
      </c>
      <c r="L4142" s="3"/>
      <c r="M4142" s="3" t="s">
        <v>131</v>
      </c>
      <c r="N4142" s="3" t="str">
        <f>CONCATENATE("BRZLNE62D45G627A")</f>
        <v>BRZLNE62D45G627A</v>
      </c>
      <c r="O4142" s="3" t="s">
        <v>4241</v>
      </c>
      <c r="P4142" s="3" t="s">
        <v>36</v>
      </c>
      <c r="Q4142" s="3"/>
      <c r="R4142" s="4">
        <v>45996</v>
      </c>
      <c r="S4142" s="3" t="s">
        <v>37</v>
      </c>
      <c r="T4142" s="3" t="s">
        <v>38</v>
      </c>
      <c r="U4142" s="3" t="s">
        <v>39</v>
      </c>
      <c r="V4142" s="3">
        <v>129.1</v>
      </c>
      <c r="W4142" s="3">
        <v>54.87</v>
      </c>
      <c r="X4142" s="3">
        <v>51.96</v>
      </c>
      <c r="Y4142" s="3">
        <v>22.27</v>
      </c>
    </row>
    <row r="4143" spans="1:25" ht="60.75" x14ac:dyDescent="0.25">
      <c r="A4143" s="3" t="s">
        <v>26</v>
      </c>
      <c r="B4143" s="3" t="s">
        <v>27</v>
      </c>
      <c r="C4143" s="3" t="s">
        <v>28</v>
      </c>
      <c r="D4143" s="3" t="s">
        <v>29</v>
      </c>
      <c r="E4143" s="3" t="s">
        <v>119</v>
      </c>
      <c r="F4143" s="3" t="s">
        <v>31</v>
      </c>
      <c r="G4143" s="3" t="s">
        <v>119</v>
      </c>
      <c r="H4143" s="3" t="s">
        <v>96</v>
      </c>
      <c r="I4143" s="3">
        <v>2025</v>
      </c>
      <c r="J4143" s="3" t="str">
        <f>CONCATENATE("54820038856")</f>
        <v>54820038856</v>
      </c>
      <c r="K4143" s="3" t="s">
        <v>33</v>
      </c>
      <c r="L4143" s="3"/>
      <c r="M4143" s="3" t="s">
        <v>131</v>
      </c>
      <c r="N4143" s="3" t="str">
        <f>CONCATENATE("GHMMRL68S49Z129X")</f>
        <v>GHMMRL68S49Z129X</v>
      </c>
      <c r="O4143" s="3" t="s">
        <v>4242</v>
      </c>
      <c r="P4143" s="3" t="s">
        <v>36</v>
      </c>
      <c r="Q4143" s="3"/>
      <c r="R4143" s="4">
        <v>45996</v>
      </c>
      <c r="S4143" s="3" t="s">
        <v>37</v>
      </c>
      <c r="T4143" s="3" t="s">
        <v>38</v>
      </c>
      <c r="U4143" s="3" t="s">
        <v>39</v>
      </c>
      <c r="V4143" s="3">
        <v>93.15</v>
      </c>
      <c r="W4143" s="3">
        <v>39.590000000000003</v>
      </c>
      <c r="X4143" s="3">
        <v>37.49</v>
      </c>
      <c r="Y4143" s="3">
        <v>16.07</v>
      </c>
    </row>
    <row r="4144" spans="1:25" ht="60.75" x14ac:dyDescent="0.25">
      <c r="A4144" s="3" t="s">
        <v>26</v>
      </c>
      <c r="B4144" s="3" t="s">
        <v>27</v>
      </c>
      <c r="C4144" s="3" t="s">
        <v>28</v>
      </c>
      <c r="D4144" s="3" t="s">
        <v>29</v>
      </c>
      <c r="E4144" s="3" t="s">
        <v>80</v>
      </c>
      <c r="F4144" s="3" t="s">
        <v>31</v>
      </c>
      <c r="G4144" s="3" t="s">
        <v>80</v>
      </c>
      <c r="H4144" s="3" t="s">
        <v>45</v>
      </c>
      <c r="I4144" s="3">
        <v>2025</v>
      </c>
      <c r="J4144" s="3" t="str">
        <f>CONCATENATE("54820024849")</f>
        <v>54820024849</v>
      </c>
      <c r="K4144" s="3" t="s">
        <v>33</v>
      </c>
      <c r="L4144" s="3"/>
      <c r="M4144" s="3" t="s">
        <v>131</v>
      </c>
      <c r="N4144" s="3" t="str">
        <f>CONCATENATE("CSTNVN51A41G453P")</f>
        <v>CSTNVN51A41G453P</v>
      </c>
      <c r="O4144" s="3" t="s">
        <v>4243</v>
      </c>
      <c r="P4144" s="3" t="s">
        <v>36</v>
      </c>
      <c r="Q4144" s="3"/>
      <c r="R4144" s="4">
        <v>45996</v>
      </c>
      <c r="S4144" s="3" t="s">
        <v>37</v>
      </c>
      <c r="T4144" s="3" t="s">
        <v>38</v>
      </c>
      <c r="U4144" s="3" t="s">
        <v>39</v>
      </c>
      <c r="V4144" s="3">
        <v>171.4</v>
      </c>
      <c r="W4144" s="3">
        <v>72.849999999999994</v>
      </c>
      <c r="X4144" s="3">
        <v>68.989999999999995</v>
      </c>
      <c r="Y4144" s="3">
        <v>29.56</v>
      </c>
    </row>
    <row r="4145" spans="1:25" ht="60.75" x14ac:dyDescent="0.25">
      <c r="A4145" s="3" t="s">
        <v>26</v>
      </c>
      <c r="B4145" s="3" t="s">
        <v>27</v>
      </c>
      <c r="C4145" s="3" t="s">
        <v>28</v>
      </c>
      <c r="D4145" s="3" t="s">
        <v>29</v>
      </c>
      <c r="E4145" s="3" t="s">
        <v>182</v>
      </c>
      <c r="F4145" s="3" t="s">
        <v>31</v>
      </c>
      <c r="G4145" s="3" t="s">
        <v>182</v>
      </c>
      <c r="H4145" s="3" t="s">
        <v>45</v>
      </c>
      <c r="I4145" s="3">
        <v>2025</v>
      </c>
      <c r="J4145" s="3" t="str">
        <f>CONCATENATE("54820051123")</f>
        <v>54820051123</v>
      </c>
      <c r="K4145" s="3" t="s">
        <v>33</v>
      </c>
      <c r="L4145" s="3"/>
      <c r="M4145" s="3" t="s">
        <v>131</v>
      </c>
      <c r="N4145" s="3" t="str">
        <f>CONCATENATE("CNCGFR65A25D541L")</f>
        <v>CNCGFR65A25D541L</v>
      </c>
      <c r="O4145" s="3" t="s">
        <v>4244</v>
      </c>
      <c r="P4145" s="3" t="s">
        <v>36</v>
      </c>
      <c r="Q4145" s="3"/>
      <c r="R4145" s="4">
        <v>45996</v>
      </c>
      <c r="S4145" s="3" t="s">
        <v>37</v>
      </c>
      <c r="T4145" s="3" t="s">
        <v>38</v>
      </c>
      <c r="U4145" s="3" t="s">
        <v>39</v>
      </c>
      <c r="V4145" s="3">
        <v>227.85</v>
      </c>
      <c r="W4145" s="3">
        <v>96.84</v>
      </c>
      <c r="X4145" s="3">
        <v>91.71</v>
      </c>
      <c r="Y4145" s="3">
        <v>39.299999999999997</v>
      </c>
    </row>
    <row r="4146" spans="1:25" ht="60.75" x14ac:dyDescent="0.25">
      <c r="A4146" s="3" t="s">
        <v>26</v>
      </c>
      <c r="B4146" s="3" t="s">
        <v>27</v>
      </c>
      <c r="C4146" s="3" t="s">
        <v>28</v>
      </c>
      <c r="D4146" s="3" t="s">
        <v>29</v>
      </c>
      <c r="E4146" s="3" t="s">
        <v>136</v>
      </c>
      <c r="F4146" s="3" t="s">
        <v>31</v>
      </c>
      <c r="G4146" s="3" t="s">
        <v>136</v>
      </c>
      <c r="H4146" s="3" t="s">
        <v>48</v>
      </c>
      <c r="I4146" s="3">
        <v>2025</v>
      </c>
      <c r="J4146" s="3" t="str">
        <f>CONCATENATE("54820028998")</f>
        <v>54820028998</v>
      </c>
      <c r="K4146" s="3" t="s">
        <v>33</v>
      </c>
      <c r="L4146" s="3"/>
      <c r="M4146" s="3" t="s">
        <v>131</v>
      </c>
      <c r="N4146" s="3" t="str">
        <f>CONCATENATE("PRSMCL72T28I461H")</f>
        <v>PRSMCL72T28I461H</v>
      </c>
      <c r="O4146" s="3" t="s">
        <v>4245</v>
      </c>
      <c r="P4146" s="3" t="s">
        <v>36</v>
      </c>
      <c r="Q4146" s="3"/>
      <c r="R4146" s="4">
        <v>45996</v>
      </c>
      <c r="S4146" s="3" t="s">
        <v>37</v>
      </c>
      <c r="T4146" s="3" t="s">
        <v>38</v>
      </c>
      <c r="U4146" s="3" t="s">
        <v>39</v>
      </c>
      <c r="V4146" s="3">
        <v>201.89</v>
      </c>
      <c r="W4146" s="3">
        <v>85.8</v>
      </c>
      <c r="X4146" s="3">
        <v>81.260000000000005</v>
      </c>
      <c r="Y4146" s="3">
        <v>34.83</v>
      </c>
    </row>
    <row r="4147" spans="1:25" ht="60.75" x14ac:dyDescent="0.25">
      <c r="A4147" s="3" t="s">
        <v>26</v>
      </c>
      <c r="B4147" s="3" t="s">
        <v>27</v>
      </c>
      <c r="C4147" s="3" t="s">
        <v>28</v>
      </c>
      <c r="D4147" s="3" t="s">
        <v>40</v>
      </c>
      <c r="E4147" s="3" t="s">
        <v>287</v>
      </c>
      <c r="F4147" s="3" t="s">
        <v>42</v>
      </c>
      <c r="G4147" s="3" t="s">
        <v>287</v>
      </c>
      <c r="H4147" s="3" t="s">
        <v>32</v>
      </c>
      <c r="I4147" s="3">
        <v>2025</v>
      </c>
      <c r="J4147" s="3" t="str">
        <f>CONCATENATE("54820016530")</f>
        <v>54820016530</v>
      </c>
      <c r="K4147" s="3" t="s">
        <v>33</v>
      </c>
      <c r="L4147" s="3"/>
      <c r="M4147" s="3" t="s">
        <v>131</v>
      </c>
      <c r="N4147" s="3" t="str">
        <f>CONCATENATE("MRSMDL33P55B474E")</f>
        <v>MRSMDL33P55B474E</v>
      </c>
      <c r="O4147" s="3" t="s">
        <v>4246</v>
      </c>
      <c r="P4147" s="3" t="s">
        <v>36</v>
      </c>
      <c r="Q4147" s="3"/>
      <c r="R4147" s="4">
        <v>45996</v>
      </c>
      <c r="S4147" s="3" t="s">
        <v>37</v>
      </c>
      <c r="T4147" s="3" t="s">
        <v>38</v>
      </c>
      <c r="U4147" s="3" t="s">
        <v>39</v>
      </c>
      <c r="V4147" s="3">
        <v>195.17</v>
      </c>
      <c r="W4147" s="3">
        <v>82.95</v>
      </c>
      <c r="X4147" s="3">
        <v>78.56</v>
      </c>
      <c r="Y4147" s="3">
        <v>33.659999999999997</v>
      </c>
    </row>
    <row r="4148" spans="1:25" ht="60.75" x14ac:dyDescent="0.25">
      <c r="A4148" s="3" t="s">
        <v>26</v>
      </c>
      <c r="B4148" s="3" t="s">
        <v>27</v>
      </c>
      <c r="C4148" s="3" t="s">
        <v>28</v>
      </c>
      <c r="D4148" s="3" t="s">
        <v>29</v>
      </c>
      <c r="E4148" s="3" t="s">
        <v>101</v>
      </c>
      <c r="F4148" s="3" t="s">
        <v>31</v>
      </c>
      <c r="G4148" s="3" t="s">
        <v>101</v>
      </c>
      <c r="H4148" s="3" t="s">
        <v>32</v>
      </c>
      <c r="I4148" s="3">
        <v>2025</v>
      </c>
      <c r="J4148" s="3" t="str">
        <f>CONCATENATE("54820055025")</f>
        <v>54820055025</v>
      </c>
      <c r="K4148" s="3" t="s">
        <v>33</v>
      </c>
      <c r="L4148" s="3"/>
      <c r="M4148" s="3" t="s">
        <v>131</v>
      </c>
      <c r="N4148" s="3" t="str">
        <f>CONCATENATE("MNTCLD52R09I436D")</f>
        <v>MNTCLD52R09I436D</v>
      </c>
      <c r="O4148" s="3" t="s">
        <v>4247</v>
      </c>
      <c r="P4148" s="3" t="s">
        <v>36</v>
      </c>
      <c r="Q4148" s="3"/>
      <c r="R4148" s="4">
        <v>45996</v>
      </c>
      <c r="S4148" s="3" t="s">
        <v>37</v>
      </c>
      <c r="T4148" s="3" t="s">
        <v>38</v>
      </c>
      <c r="U4148" s="3" t="s">
        <v>39</v>
      </c>
      <c r="V4148" s="3">
        <v>90.39</v>
      </c>
      <c r="W4148" s="3">
        <v>38.42</v>
      </c>
      <c r="X4148" s="3">
        <v>36.380000000000003</v>
      </c>
      <c r="Y4148" s="3">
        <v>15.59</v>
      </c>
    </row>
    <row r="4149" spans="1:25" ht="60.75" x14ac:dyDescent="0.25">
      <c r="A4149" s="3" t="s">
        <v>26</v>
      </c>
      <c r="B4149" s="3" t="s">
        <v>27</v>
      </c>
      <c r="C4149" s="3" t="s">
        <v>28</v>
      </c>
      <c r="D4149" s="3" t="s">
        <v>29</v>
      </c>
      <c r="E4149" s="3" t="s">
        <v>72</v>
      </c>
      <c r="F4149" s="3" t="s">
        <v>31</v>
      </c>
      <c r="G4149" s="3" t="s">
        <v>72</v>
      </c>
      <c r="H4149" s="3" t="s">
        <v>45</v>
      </c>
      <c r="I4149" s="3">
        <v>2025</v>
      </c>
      <c r="J4149" s="3" t="str">
        <f>CONCATENATE("54820081955")</f>
        <v>54820081955</v>
      </c>
      <c r="K4149" s="3" t="s">
        <v>33</v>
      </c>
      <c r="L4149" s="3"/>
      <c r="M4149" s="3" t="s">
        <v>131</v>
      </c>
      <c r="N4149" s="3" t="str">
        <f>CONCATENATE("CSLLCU78R24L500C")</f>
        <v>CSLLCU78R24L500C</v>
      </c>
      <c r="O4149" s="3" t="s">
        <v>4248</v>
      </c>
      <c r="P4149" s="3" t="s">
        <v>36</v>
      </c>
      <c r="Q4149" s="3"/>
      <c r="R4149" s="4">
        <v>45996</v>
      </c>
      <c r="S4149" s="3" t="s">
        <v>37</v>
      </c>
      <c r="T4149" s="3" t="s">
        <v>38</v>
      </c>
      <c r="U4149" s="3" t="s">
        <v>39</v>
      </c>
      <c r="V4149" s="3">
        <v>157.6</v>
      </c>
      <c r="W4149" s="3">
        <v>66.98</v>
      </c>
      <c r="X4149" s="3">
        <v>63.43</v>
      </c>
      <c r="Y4149" s="3">
        <v>27.19</v>
      </c>
    </row>
    <row r="4150" spans="1:25" ht="60.75" x14ac:dyDescent="0.25">
      <c r="A4150" s="3" t="s">
        <v>26</v>
      </c>
      <c r="B4150" s="3" t="s">
        <v>27</v>
      </c>
      <c r="C4150" s="3" t="s">
        <v>28</v>
      </c>
      <c r="D4150" s="3" t="s">
        <v>29</v>
      </c>
      <c r="E4150" s="3" t="s">
        <v>72</v>
      </c>
      <c r="F4150" s="3" t="s">
        <v>31</v>
      </c>
      <c r="G4150" s="3" t="s">
        <v>72</v>
      </c>
      <c r="H4150" s="3" t="s">
        <v>45</v>
      </c>
      <c r="I4150" s="3">
        <v>2025</v>
      </c>
      <c r="J4150" s="3" t="str">
        <f>CONCATENATE("54820100474")</f>
        <v>54820100474</v>
      </c>
      <c r="K4150" s="3" t="s">
        <v>33</v>
      </c>
      <c r="L4150" s="3"/>
      <c r="M4150" s="3" t="s">
        <v>131</v>
      </c>
      <c r="N4150" s="3" t="str">
        <f>CONCATENATE("CSVGFR50P21B352B")</f>
        <v>CSVGFR50P21B352B</v>
      </c>
      <c r="O4150" s="3" t="s">
        <v>4249</v>
      </c>
      <c r="P4150" s="3" t="s">
        <v>36</v>
      </c>
      <c r="Q4150" s="3"/>
      <c r="R4150" s="4">
        <v>45996</v>
      </c>
      <c r="S4150" s="3" t="s">
        <v>37</v>
      </c>
      <c r="T4150" s="3" t="s">
        <v>38</v>
      </c>
      <c r="U4150" s="3" t="s">
        <v>39</v>
      </c>
      <c r="V4150" s="3">
        <v>421.89</v>
      </c>
      <c r="W4150" s="3">
        <v>179.3</v>
      </c>
      <c r="X4150" s="3">
        <v>169.81</v>
      </c>
      <c r="Y4150" s="3">
        <v>72.78</v>
      </c>
    </row>
    <row r="4151" spans="1:25" ht="60.75" x14ac:dyDescent="0.25">
      <c r="A4151" s="3" t="s">
        <v>26</v>
      </c>
      <c r="B4151" s="3" t="s">
        <v>27</v>
      </c>
      <c r="C4151" s="3" t="s">
        <v>28</v>
      </c>
      <c r="D4151" s="3" t="s">
        <v>50</v>
      </c>
      <c r="E4151" s="3" t="s">
        <v>51</v>
      </c>
      <c r="F4151" s="3" t="s">
        <v>52</v>
      </c>
      <c r="G4151" s="3" t="s">
        <v>51</v>
      </c>
      <c r="H4151" s="3" t="s">
        <v>48</v>
      </c>
      <c r="I4151" s="3">
        <v>2025</v>
      </c>
      <c r="J4151" s="3" t="str">
        <f>CONCATENATE("54820082722")</f>
        <v>54820082722</v>
      </c>
      <c r="K4151" s="3" t="s">
        <v>33</v>
      </c>
      <c r="L4151" s="3"/>
      <c r="M4151" s="3" t="s">
        <v>131</v>
      </c>
      <c r="N4151" s="3" t="str">
        <f>CONCATENATE("CCCRNI33A60A366Z")</f>
        <v>CCCRNI33A60A366Z</v>
      </c>
      <c r="O4151" s="3" t="s">
        <v>4250</v>
      </c>
      <c r="P4151" s="3" t="s">
        <v>36</v>
      </c>
      <c r="Q4151" s="3"/>
      <c r="R4151" s="4">
        <v>45996</v>
      </c>
      <c r="S4151" s="3" t="s">
        <v>37</v>
      </c>
      <c r="T4151" s="3" t="s">
        <v>38</v>
      </c>
      <c r="U4151" s="3" t="s">
        <v>39</v>
      </c>
      <c r="V4151" s="3">
        <v>103.9</v>
      </c>
      <c r="W4151" s="3">
        <v>44.16</v>
      </c>
      <c r="X4151" s="3">
        <v>41.82</v>
      </c>
      <c r="Y4151" s="3">
        <v>17.920000000000002</v>
      </c>
    </row>
    <row r="4152" spans="1:25" ht="60.75" x14ac:dyDescent="0.25">
      <c r="A4152" s="3" t="s">
        <v>26</v>
      </c>
      <c r="B4152" s="3" t="s">
        <v>27</v>
      </c>
      <c r="C4152" s="3" t="s">
        <v>28</v>
      </c>
      <c r="D4152" s="3" t="s">
        <v>50</v>
      </c>
      <c r="E4152" s="3" t="s">
        <v>51</v>
      </c>
      <c r="F4152" s="3" t="s">
        <v>52</v>
      </c>
      <c r="G4152" s="3" t="s">
        <v>51</v>
      </c>
      <c r="H4152" s="3" t="s">
        <v>48</v>
      </c>
      <c r="I4152" s="3">
        <v>2025</v>
      </c>
      <c r="J4152" s="3" t="str">
        <f>CONCATENATE("54820160908")</f>
        <v>54820160908</v>
      </c>
      <c r="K4152" s="3" t="s">
        <v>33</v>
      </c>
      <c r="L4152" s="3"/>
      <c r="M4152" s="3" t="s">
        <v>131</v>
      </c>
      <c r="N4152" s="3" t="str">
        <f>CONCATENATE("CSGSDR62L28A366U")</f>
        <v>CSGSDR62L28A366U</v>
      </c>
      <c r="O4152" s="3" t="s">
        <v>4251</v>
      </c>
      <c r="P4152" s="3" t="s">
        <v>36</v>
      </c>
      <c r="Q4152" s="3"/>
      <c r="R4152" s="4">
        <v>45996</v>
      </c>
      <c r="S4152" s="3" t="s">
        <v>37</v>
      </c>
      <c r="T4152" s="3" t="s">
        <v>38</v>
      </c>
      <c r="U4152" s="3" t="s">
        <v>39</v>
      </c>
      <c r="V4152" s="3">
        <v>580.12</v>
      </c>
      <c r="W4152" s="3">
        <v>246.55</v>
      </c>
      <c r="X4152" s="3">
        <v>233.5</v>
      </c>
      <c r="Y4152" s="3">
        <v>100.07</v>
      </c>
    </row>
    <row r="4153" spans="1:25" ht="60.75" x14ac:dyDescent="0.25">
      <c r="A4153" s="3" t="s">
        <v>26</v>
      </c>
      <c r="B4153" s="3" t="s">
        <v>27</v>
      </c>
      <c r="C4153" s="3" t="s">
        <v>28</v>
      </c>
      <c r="D4153" s="3" t="s">
        <v>29</v>
      </c>
      <c r="E4153" s="3" t="s">
        <v>68</v>
      </c>
      <c r="F4153" s="3" t="s">
        <v>31</v>
      </c>
      <c r="G4153" s="3" t="s">
        <v>68</v>
      </c>
      <c r="H4153" s="3" t="s">
        <v>32</v>
      </c>
      <c r="I4153" s="3">
        <v>2025</v>
      </c>
      <c r="J4153" s="3" t="str">
        <f>CONCATENATE("54810477148")</f>
        <v>54810477148</v>
      </c>
      <c r="K4153" s="3" t="s">
        <v>33</v>
      </c>
      <c r="L4153" s="3"/>
      <c r="M4153" s="3" t="s">
        <v>86</v>
      </c>
      <c r="N4153" s="3" t="str">
        <f>CONCATENATE("RSLDNL94T30A252S")</f>
        <v>RSLDNL94T30A252S</v>
      </c>
      <c r="O4153" s="3" t="s">
        <v>4252</v>
      </c>
      <c r="P4153" s="3" t="s">
        <v>36</v>
      </c>
      <c r="Q4153" s="3"/>
      <c r="R4153" s="4">
        <v>45995</v>
      </c>
      <c r="S4153" s="3" t="s">
        <v>37</v>
      </c>
      <c r="T4153" s="3" t="s">
        <v>38</v>
      </c>
      <c r="U4153" s="3" t="s">
        <v>39</v>
      </c>
      <c r="V4153" s="3">
        <v>180.46</v>
      </c>
      <c r="W4153" s="3">
        <v>76.7</v>
      </c>
      <c r="X4153" s="3">
        <v>72.64</v>
      </c>
      <c r="Y4153" s="3">
        <v>31.12</v>
      </c>
    </row>
    <row r="4154" spans="1:25" ht="60.75" x14ac:dyDescent="0.25">
      <c r="A4154" s="3" t="s">
        <v>26</v>
      </c>
      <c r="B4154" s="3" t="s">
        <v>27</v>
      </c>
      <c r="C4154" s="3" t="s">
        <v>28</v>
      </c>
      <c r="D4154" s="3" t="s">
        <v>29</v>
      </c>
      <c r="E4154" s="3" t="s">
        <v>111</v>
      </c>
      <c r="F4154" s="3" t="s">
        <v>31</v>
      </c>
      <c r="G4154" s="3" t="s">
        <v>111</v>
      </c>
      <c r="H4154" s="3" t="s">
        <v>96</v>
      </c>
      <c r="I4154" s="3">
        <v>2025</v>
      </c>
      <c r="J4154" s="3" t="str">
        <f>CONCATENATE("54810235017")</f>
        <v>54810235017</v>
      </c>
      <c r="K4154" s="3" t="s">
        <v>33</v>
      </c>
      <c r="L4154" s="3"/>
      <c r="M4154" s="3" t="s">
        <v>86</v>
      </c>
      <c r="N4154" s="3" t="str">
        <f>CONCATENATE("CCCSFN70E25G516C")</f>
        <v>CCCSFN70E25G516C</v>
      </c>
      <c r="O4154" s="3" t="s">
        <v>2282</v>
      </c>
      <c r="P4154" s="3" t="s">
        <v>36</v>
      </c>
      <c r="Q4154" s="3"/>
      <c r="R4154" s="4">
        <v>45995</v>
      </c>
      <c r="S4154" s="3" t="s">
        <v>37</v>
      </c>
      <c r="T4154" s="3" t="s">
        <v>38</v>
      </c>
      <c r="U4154" s="3" t="s">
        <v>39</v>
      </c>
      <c r="V4154" s="3">
        <v>115.43</v>
      </c>
      <c r="W4154" s="3">
        <v>49.06</v>
      </c>
      <c r="X4154" s="3">
        <v>46.46</v>
      </c>
      <c r="Y4154" s="3">
        <v>19.91</v>
      </c>
    </row>
    <row r="4155" spans="1:25" ht="72.75" x14ac:dyDescent="0.25">
      <c r="A4155" s="3" t="s">
        <v>26</v>
      </c>
      <c r="B4155" s="3" t="s">
        <v>27</v>
      </c>
      <c r="C4155" s="3" t="s">
        <v>28</v>
      </c>
      <c r="D4155" s="3" t="s">
        <v>29</v>
      </c>
      <c r="E4155" s="3" t="s">
        <v>101</v>
      </c>
      <c r="F4155" s="3" t="s">
        <v>31</v>
      </c>
      <c r="G4155" s="3" t="s">
        <v>101</v>
      </c>
      <c r="H4155" s="3" t="s">
        <v>32</v>
      </c>
      <c r="I4155" s="3">
        <v>2025</v>
      </c>
      <c r="J4155" s="3" t="str">
        <f>CONCATENATE("54810361086")</f>
        <v>54810361086</v>
      </c>
      <c r="K4155" s="3" t="s">
        <v>33</v>
      </c>
      <c r="L4155" s="3"/>
      <c r="M4155" s="3" t="s">
        <v>86</v>
      </c>
      <c r="N4155" s="3" t="str">
        <f>CONCATENATE("DSNMCN64M54H390U")</f>
        <v>DSNMCN64M54H390U</v>
      </c>
      <c r="O4155" s="3" t="s">
        <v>4253</v>
      </c>
      <c r="P4155" s="3" t="s">
        <v>36</v>
      </c>
      <c r="Q4155" s="3"/>
      <c r="R4155" s="4">
        <v>45995</v>
      </c>
      <c r="S4155" s="3" t="s">
        <v>37</v>
      </c>
      <c r="T4155" s="3" t="s">
        <v>38</v>
      </c>
      <c r="U4155" s="3" t="s">
        <v>39</v>
      </c>
      <c r="V4155" s="3">
        <v>26.09</v>
      </c>
      <c r="W4155" s="3">
        <v>11.09</v>
      </c>
      <c r="X4155" s="3">
        <v>10.5</v>
      </c>
      <c r="Y4155" s="3">
        <v>4.5</v>
      </c>
    </row>
    <row r="4156" spans="1:25" ht="36.75" x14ac:dyDescent="0.25">
      <c r="A4156" s="3" t="s">
        <v>26</v>
      </c>
      <c r="B4156" s="3" t="s">
        <v>27</v>
      </c>
      <c r="C4156" s="3" t="s">
        <v>28</v>
      </c>
      <c r="D4156" s="3" t="s">
        <v>40</v>
      </c>
      <c r="E4156" s="3" t="s">
        <v>44</v>
      </c>
      <c r="F4156" s="3" t="s">
        <v>42</v>
      </c>
      <c r="G4156" s="3" t="s">
        <v>44</v>
      </c>
      <c r="H4156" s="3" t="s">
        <v>32</v>
      </c>
      <c r="I4156" s="3">
        <v>2025</v>
      </c>
      <c r="J4156" s="3" t="str">
        <f>CONCATENATE("54810335692")</f>
        <v>54810335692</v>
      </c>
      <c r="K4156" s="3" t="s">
        <v>33</v>
      </c>
      <c r="L4156" s="3"/>
      <c r="M4156" s="3" t="s">
        <v>86</v>
      </c>
      <c r="N4156" s="3" t="str">
        <f>CONCATENATE("01741610438")</f>
        <v>01741610438</v>
      </c>
      <c r="O4156" s="3" t="s">
        <v>4254</v>
      </c>
      <c r="P4156" s="3" t="s">
        <v>36</v>
      </c>
      <c r="Q4156" s="3"/>
      <c r="R4156" s="4">
        <v>45995</v>
      </c>
      <c r="S4156" s="3" t="s">
        <v>37</v>
      </c>
      <c r="T4156" s="3" t="s">
        <v>38</v>
      </c>
      <c r="U4156" s="3" t="s">
        <v>39</v>
      </c>
      <c r="V4156" s="3">
        <v>197.71</v>
      </c>
      <c r="W4156" s="3">
        <v>84.03</v>
      </c>
      <c r="X4156" s="3">
        <v>79.58</v>
      </c>
      <c r="Y4156" s="3">
        <v>34.1</v>
      </c>
    </row>
    <row r="4157" spans="1:25" ht="60.75" x14ac:dyDescent="0.25">
      <c r="A4157" s="3" t="s">
        <v>26</v>
      </c>
      <c r="B4157" s="3" t="s">
        <v>27</v>
      </c>
      <c r="C4157" s="3" t="s">
        <v>28</v>
      </c>
      <c r="D4157" s="3" t="s">
        <v>91</v>
      </c>
      <c r="E4157" s="3" t="s">
        <v>522</v>
      </c>
      <c r="F4157" s="3" t="s">
        <v>93</v>
      </c>
      <c r="G4157" s="3" t="s">
        <v>522</v>
      </c>
      <c r="H4157" s="3" t="s">
        <v>32</v>
      </c>
      <c r="I4157" s="3">
        <v>2025</v>
      </c>
      <c r="J4157" s="3" t="str">
        <f>CONCATENATE("54810284346")</f>
        <v>54810284346</v>
      </c>
      <c r="K4157" s="3" t="s">
        <v>33</v>
      </c>
      <c r="L4157" s="3"/>
      <c r="M4157" s="3" t="s">
        <v>86</v>
      </c>
      <c r="N4157" s="3" t="str">
        <f>CONCATENATE("CCCFRZ48B07F051R")</f>
        <v>CCCFRZ48B07F051R</v>
      </c>
      <c r="O4157" s="3" t="s">
        <v>4255</v>
      </c>
      <c r="P4157" s="3" t="s">
        <v>36</v>
      </c>
      <c r="Q4157" s="3"/>
      <c r="R4157" s="4">
        <v>45995</v>
      </c>
      <c r="S4157" s="3" t="s">
        <v>37</v>
      </c>
      <c r="T4157" s="3" t="s">
        <v>38</v>
      </c>
      <c r="U4157" s="3" t="s">
        <v>39</v>
      </c>
      <c r="V4157" s="3">
        <v>181.08</v>
      </c>
      <c r="W4157" s="3">
        <v>76.959999999999994</v>
      </c>
      <c r="X4157" s="3">
        <v>72.88</v>
      </c>
      <c r="Y4157" s="3">
        <v>31.24</v>
      </c>
    </row>
    <row r="4158" spans="1:25" ht="60.75" x14ac:dyDescent="0.25">
      <c r="A4158" s="3" t="s">
        <v>26</v>
      </c>
      <c r="B4158" s="3" t="s">
        <v>27</v>
      </c>
      <c r="C4158" s="3" t="s">
        <v>28</v>
      </c>
      <c r="D4158" s="3" t="s">
        <v>40</v>
      </c>
      <c r="E4158" s="3" t="s">
        <v>122</v>
      </c>
      <c r="F4158" s="3" t="s">
        <v>42</v>
      </c>
      <c r="G4158" s="3" t="s">
        <v>122</v>
      </c>
      <c r="H4158" s="3" t="s">
        <v>32</v>
      </c>
      <c r="I4158" s="3">
        <v>2025</v>
      </c>
      <c r="J4158" s="3" t="str">
        <f>CONCATENATE("54810217148")</f>
        <v>54810217148</v>
      </c>
      <c r="K4158" s="3" t="s">
        <v>33</v>
      </c>
      <c r="L4158" s="3"/>
      <c r="M4158" s="3" t="s">
        <v>86</v>
      </c>
      <c r="N4158" s="3" t="str">
        <f>CONCATENATE("GGLMRA87B16I156L")</f>
        <v>GGLMRA87B16I156L</v>
      </c>
      <c r="O4158" s="3" t="s">
        <v>4256</v>
      </c>
      <c r="P4158" s="3" t="s">
        <v>36</v>
      </c>
      <c r="Q4158" s="3"/>
      <c r="R4158" s="4">
        <v>45995</v>
      </c>
      <c r="S4158" s="3" t="s">
        <v>37</v>
      </c>
      <c r="T4158" s="3" t="s">
        <v>38</v>
      </c>
      <c r="U4158" s="3" t="s">
        <v>39</v>
      </c>
      <c r="V4158" s="3">
        <v>322.75</v>
      </c>
      <c r="W4158" s="3">
        <v>137.16999999999999</v>
      </c>
      <c r="X4158" s="3">
        <v>129.91</v>
      </c>
      <c r="Y4158" s="3">
        <v>55.67</v>
      </c>
    </row>
    <row r="4159" spans="1:25" ht="60.75" x14ac:dyDescent="0.25">
      <c r="A4159" s="3" t="s">
        <v>26</v>
      </c>
      <c r="B4159" s="3" t="s">
        <v>27</v>
      </c>
      <c r="C4159" s="3" t="s">
        <v>28</v>
      </c>
      <c r="D4159" s="3" t="s">
        <v>29</v>
      </c>
      <c r="E4159" s="3" t="s">
        <v>101</v>
      </c>
      <c r="F4159" s="3" t="s">
        <v>31</v>
      </c>
      <c r="G4159" s="3" t="s">
        <v>101</v>
      </c>
      <c r="H4159" s="3" t="s">
        <v>32</v>
      </c>
      <c r="I4159" s="3">
        <v>2025</v>
      </c>
      <c r="J4159" s="3" t="str">
        <f>CONCATENATE("54810746203")</f>
        <v>54810746203</v>
      </c>
      <c r="K4159" s="3" t="s">
        <v>33</v>
      </c>
      <c r="L4159" s="3"/>
      <c r="M4159" s="3" t="s">
        <v>86</v>
      </c>
      <c r="N4159" s="3" t="str">
        <f>CONCATENATE("CRLCLD60L54B474Q")</f>
        <v>CRLCLD60L54B474Q</v>
      </c>
      <c r="O4159" s="3" t="s">
        <v>3274</v>
      </c>
      <c r="P4159" s="3" t="s">
        <v>36</v>
      </c>
      <c r="Q4159" s="3"/>
      <c r="R4159" s="4">
        <v>45995</v>
      </c>
      <c r="S4159" s="3" t="s">
        <v>37</v>
      </c>
      <c r="T4159" s="3" t="s">
        <v>38</v>
      </c>
      <c r="U4159" s="3" t="s">
        <v>39</v>
      </c>
      <c r="V4159" s="3">
        <v>63.98</v>
      </c>
      <c r="W4159" s="3">
        <v>27.19</v>
      </c>
      <c r="X4159" s="3">
        <v>25.75</v>
      </c>
      <c r="Y4159" s="3">
        <v>11.04</v>
      </c>
    </row>
    <row r="4160" spans="1:25" ht="72.75" x14ac:dyDescent="0.25">
      <c r="A4160" s="3" t="s">
        <v>26</v>
      </c>
      <c r="B4160" s="3" t="s">
        <v>27</v>
      </c>
      <c r="C4160" s="3" t="s">
        <v>28</v>
      </c>
      <c r="D4160" s="3" t="s">
        <v>29</v>
      </c>
      <c r="E4160" s="3" t="s">
        <v>101</v>
      </c>
      <c r="F4160" s="3" t="s">
        <v>31</v>
      </c>
      <c r="G4160" s="3" t="s">
        <v>101</v>
      </c>
      <c r="H4160" s="3" t="s">
        <v>32</v>
      </c>
      <c r="I4160" s="3">
        <v>2025</v>
      </c>
      <c r="J4160" s="3" t="str">
        <f>CONCATENATE("54810745874")</f>
        <v>54810745874</v>
      </c>
      <c r="K4160" s="3" t="s">
        <v>33</v>
      </c>
      <c r="L4160" s="3"/>
      <c r="M4160" s="3" t="s">
        <v>86</v>
      </c>
      <c r="N4160" s="3" t="str">
        <f>CONCATENATE("PNZSVR75M01B474U")</f>
        <v>PNZSVR75M01B474U</v>
      </c>
      <c r="O4160" s="3" t="s">
        <v>3887</v>
      </c>
      <c r="P4160" s="3" t="s">
        <v>36</v>
      </c>
      <c r="Q4160" s="3"/>
      <c r="R4160" s="4">
        <v>45995</v>
      </c>
      <c r="S4160" s="3" t="s">
        <v>37</v>
      </c>
      <c r="T4160" s="3" t="s">
        <v>38</v>
      </c>
      <c r="U4160" s="3" t="s">
        <v>39</v>
      </c>
      <c r="V4160" s="3">
        <v>156.16999999999999</v>
      </c>
      <c r="W4160" s="3">
        <v>66.37</v>
      </c>
      <c r="X4160" s="3">
        <v>62.86</v>
      </c>
      <c r="Y4160" s="3">
        <v>26.94</v>
      </c>
    </row>
    <row r="4161" spans="1:25" ht="36.75" x14ac:dyDescent="0.25">
      <c r="A4161" s="3" t="s">
        <v>26</v>
      </c>
      <c r="B4161" s="3" t="s">
        <v>27</v>
      </c>
      <c r="C4161" s="3" t="s">
        <v>28</v>
      </c>
      <c r="D4161" s="3" t="s">
        <v>91</v>
      </c>
      <c r="E4161" s="3" t="s">
        <v>522</v>
      </c>
      <c r="F4161" s="3" t="s">
        <v>93</v>
      </c>
      <c r="G4161" s="3" t="s">
        <v>522</v>
      </c>
      <c r="H4161" s="3" t="s">
        <v>32</v>
      </c>
      <c r="I4161" s="3">
        <v>2025</v>
      </c>
      <c r="J4161" s="3" t="str">
        <f>CONCATENATE("54810341054")</f>
        <v>54810341054</v>
      </c>
      <c r="K4161" s="3" t="s">
        <v>33</v>
      </c>
      <c r="L4161" s="3"/>
      <c r="M4161" s="3" t="s">
        <v>86</v>
      </c>
      <c r="N4161" s="3" t="str">
        <f>CONCATENATE("02120100439")</f>
        <v>02120100439</v>
      </c>
      <c r="O4161" s="3" t="s">
        <v>4257</v>
      </c>
      <c r="P4161" s="3" t="s">
        <v>36</v>
      </c>
      <c r="Q4161" s="3"/>
      <c r="R4161" s="4">
        <v>45995</v>
      </c>
      <c r="S4161" s="3" t="s">
        <v>37</v>
      </c>
      <c r="T4161" s="3" t="s">
        <v>38</v>
      </c>
      <c r="U4161" s="3" t="s">
        <v>39</v>
      </c>
      <c r="V4161" s="3">
        <v>101.45</v>
      </c>
      <c r="W4161" s="3">
        <v>43.12</v>
      </c>
      <c r="X4161" s="3">
        <v>40.83</v>
      </c>
      <c r="Y4161" s="3">
        <v>17.5</v>
      </c>
    </row>
    <row r="4162" spans="1:25" ht="60.75" x14ac:dyDescent="0.25">
      <c r="A4162" s="3" t="s">
        <v>26</v>
      </c>
      <c r="B4162" s="3" t="s">
        <v>27</v>
      </c>
      <c r="C4162" s="3" t="s">
        <v>28</v>
      </c>
      <c r="D4162" s="3" t="s">
        <v>91</v>
      </c>
      <c r="E4162" s="3" t="s">
        <v>151</v>
      </c>
      <c r="F4162" s="3" t="s">
        <v>93</v>
      </c>
      <c r="G4162" s="3" t="s">
        <v>151</v>
      </c>
      <c r="H4162" s="3" t="s">
        <v>45</v>
      </c>
      <c r="I4162" s="3">
        <v>2025</v>
      </c>
      <c r="J4162" s="3" t="str">
        <f>CONCATENATE("54810633708")</f>
        <v>54810633708</v>
      </c>
      <c r="K4162" s="3" t="s">
        <v>33</v>
      </c>
      <c r="L4162" s="3"/>
      <c r="M4162" s="3" t="s">
        <v>86</v>
      </c>
      <c r="N4162" s="3" t="str">
        <f>CONCATENATE("PRNPLA61C29F347G")</f>
        <v>PRNPLA61C29F347G</v>
      </c>
      <c r="O4162" s="3" t="s">
        <v>4258</v>
      </c>
      <c r="P4162" s="3" t="s">
        <v>36</v>
      </c>
      <c r="Q4162" s="3"/>
      <c r="R4162" s="4">
        <v>45995</v>
      </c>
      <c r="S4162" s="3" t="s">
        <v>37</v>
      </c>
      <c r="T4162" s="3" t="s">
        <v>38</v>
      </c>
      <c r="U4162" s="3" t="s">
        <v>39</v>
      </c>
      <c r="V4162" s="3">
        <v>165.48</v>
      </c>
      <c r="W4162" s="3">
        <v>70.33</v>
      </c>
      <c r="X4162" s="3">
        <v>66.61</v>
      </c>
      <c r="Y4162" s="3">
        <v>28.54</v>
      </c>
    </row>
    <row r="4163" spans="1:25" ht="60.75" x14ac:dyDescent="0.25">
      <c r="A4163" s="3" t="s">
        <v>26</v>
      </c>
      <c r="B4163" s="3" t="s">
        <v>27</v>
      </c>
      <c r="C4163" s="3" t="s">
        <v>28</v>
      </c>
      <c r="D4163" s="3" t="s">
        <v>50</v>
      </c>
      <c r="E4163" s="3" t="s">
        <v>51</v>
      </c>
      <c r="F4163" s="3" t="s">
        <v>52</v>
      </c>
      <c r="G4163" s="3" t="s">
        <v>51</v>
      </c>
      <c r="H4163" s="3" t="s">
        <v>48</v>
      </c>
      <c r="I4163" s="3">
        <v>2025</v>
      </c>
      <c r="J4163" s="3" t="str">
        <f>CONCATENATE("54810944501")</f>
        <v>54810944501</v>
      </c>
      <c r="K4163" s="3" t="s">
        <v>33</v>
      </c>
      <c r="L4163" s="3"/>
      <c r="M4163" s="3" t="s">
        <v>86</v>
      </c>
      <c r="N4163" s="3" t="str">
        <f>CONCATENATE("RZZLNZ77R23E388J")</f>
        <v>RZZLNZ77R23E388J</v>
      </c>
      <c r="O4163" s="3" t="s">
        <v>4259</v>
      </c>
      <c r="P4163" s="3" t="s">
        <v>36</v>
      </c>
      <c r="Q4163" s="3"/>
      <c r="R4163" s="4">
        <v>45995</v>
      </c>
      <c r="S4163" s="3" t="s">
        <v>37</v>
      </c>
      <c r="T4163" s="3" t="s">
        <v>38</v>
      </c>
      <c r="U4163" s="3" t="s">
        <v>39</v>
      </c>
      <c r="V4163" s="3">
        <v>489.66</v>
      </c>
      <c r="W4163" s="3">
        <v>208.11</v>
      </c>
      <c r="X4163" s="3">
        <v>197.09</v>
      </c>
      <c r="Y4163" s="3">
        <v>84.46</v>
      </c>
    </row>
    <row r="4164" spans="1:25" ht="36.75" x14ac:dyDescent="0.25">
      <c r="A4164" s="3" t="s">
        <v>26</v>
      </c>
      <c r="B4164" s="3" t="s">
        <v>27</v>
      </c>
      <c r="C4164" s="3" t="s">
        <v>28</v>
      </c>
      <c r="D4164" s="3" t="s">
        <v>104</v>
      </c>
      <c r="E4164" s="3" t="s">
        <v>141</v>
      </c>
      <c r="F4164" s="3" t="s">
        <v>104</v>
      </c>
      <c r="G4164" s="3" t="s">
        <v>141</v>
      </c>
      <c r="H4164" s="3" t="s">
        <v>96</v>
      </c>
      <c r="I4164" s="3">
        <v>2025</v>
      </c>
      <c r="J4164" s="3" t="str">
        <f>CONCATENATE("54811131769")</f>
        <v>54811131769</v>
      </c>
      <c r="K4164" s="3" t="s">
        <v>33</v>
      </c>
      <c r="L4164" s="3"/>
      <c r="M4164" s="3" t="s">
        <v>86</v>
      </c>
      <c r="N4164" s="3" t="str">
        <f>CONCATENATE("02310530445")</f>
        <v>02310530445</v>
      </c>
      <c r="O4164" s="3" t="s">
        <v>4260</v>
      </c>
      <c r="P4164" s="3" t="s">
        <v>36</v>
      </c>
      <c r="Q4164" s="3"/>
      <c r="R4164" s="4">
        <v>45995</v>
      </c>
      <c r="S4164" s="3" t="s">
        <v>37</v>
      </c>
      <c r="T4164" s="3" t="s">
        <v>38</v>
      </c>
      <c r="U4164" s="3" t="s">
        <v>39</v>
      </c>
      <c r="V4164" s="3">
        <v>356.24</v>
      </c>
      <c r="W4164" s="3">
        <v>151.4</v>
      </c>
      <c r="X4164" s="3">
        <v>143.38999999999999</v>
      </c>
      <c r="Y4164" s="3">
        <v>61.45</v>
      </c>
    </row>
    <row r="4165" spans="1:25" ht="72.75" x14ac:dyDescent="0.25">
      <c r="A4165" s="3" t="s">
        <v>26</v>
      </c>
      <c r="B4165" s="3" t="s">
        <v>27</v>
      </c>
      <c r="C4165" s="3" t="s">
        <v>28</v>
      </c>
      <c r="D4165" s="3" t="s">
        <v>91</v>
      </c>
      <c r="E4165" s="3" t="s">
        <v>95</v>
      </c>
      <c r="F4165" s="3" t="s">
        <v>93</v>
      </c>
      <c r="G4165" s="3" t="s">
        <v>95</v>
      </c>
      <c r="H4165" s="3" t="s">
        <v>96</v>
      </c>
      <c r="I4165" s="3">
        <v>2025</v>
      </c>
      <c r="J4165" s="3" t="str">
        <f>CONCATENATE("54810133857")</f>
        <v>54810133857</v>
      </c>
      <c r="K4165" s="3" t="s">
        <v>33</v>
      </c>
      <c r="L4165" s="3"/>
      <c r="M4165" s="3" t="s">
        <v>86</v>
      </c>
      <c r="N4165" s="3" t="str">
        <f>CONCATENATE("PRSSFN88A23A462D")</f>
        <v>PRSSFN88A23A462D</v>
      </c>
      <c r="O4165" s="3" t="s">
        <v>4261</v>
      </c>
      <c r="P4165" s="3" t="s">
        <v>36</v>
      </c>
      <c r="Q4165" s="3"/>
      <c r="R4165" s="4">
        <v>45995</v>
      </c>
      <c r="S4165" s="3" t="s">
        <v>37</v>
      </c>
      <c r="T4165" s="3" t="s">
        <v>38</v>
      </c>
      <c r="U4165" s="3" t="s">
        <v>39</v>
      </c>
      <c r="V4165" s="3">
        <v>92.8</v>
      </c>
      <c r="W4165" s="3">
        <v>39.44</v>
      </c>
      <c r="X4165" s="3">
        <v>37.35</v>
      </c>
      <c r="Y4165" s="3">
        <v>16.010000000000002</v>
      </c>
    </row>
    <row r="4166" spans="1:25" ht="60.75" x14ac:dyDescent="0.25">
      <c r="A4166" s="3" t="s">
        <v>26</v>
      </c>
      <c r="B4166" s="3" t="s">
        <v>27</v>
      </c>
      <c r="C4166" s="3" t="s">
        <v>28</v>
      </c>
      <c r="D4166" s="3" t="s">
        <v>40</v>
      </c>
      <c r="E4166" s="3" t="s">
        <v>44</v>
      </c>
      <c r="F4166" s="3" t="s">
        <v>42</v>
      </c>
      <c r="G4166" s="3" t="s">
        <v>44</v>
      </c>
      <c r="H4166" s="3" t="s">
        <v>32</v>
      </c>
      <c r="I4166" s="3">
        <v>2025</v>
      </c>
      <c r="J4166" s="3" t="str">
        <f>CONCATENATE("54810083516")</f>
        <v>54810083516</v>
      </c>
      <c r="K4166" s="3" t="s">
        <v>33</v>
      </c>
      <c r="L4166" s="3"/>
      <c r="M4166" s="3" t="s">
        <v>86</v>
      </c>
      <c r="N4166" s="3" t="str">
        <f>CONCATENATE("TSTFBA85E26E783H")</f>
        <v>TSTFBA85E26E783H</v>
      </c>
      <c r="O4166" s="3" t="s">
        <v>4262</v>
      </c>
      <c r="P4166" s="3" t="s">
        <v>36</v>
      </c>
      <c r="Q4166" s="3"/>
      <c r="R4166" s="4">
        <v>45995</v>
      </c>
      <c r="S4166" s="3" t="s">
        <v>37</v>
      </c>
      <c r="T4166" s="3" t="s">
        <v>38</v>
      </c>
      <c r="U4166" s="3" t="s">
        <v>39</v>
      </c>
      <c r="V4166" s="3">
        <v>44.03</v>
      </c>
      <c r="W4166" s="3">
        <v>18.71</v>
      </c>
      <c r="X4166" s="3">
        <v>17.72</v>
      </c>
      <c r="Y4166" s="3">
        <v>7.6</v>
      </c>
    </row>
    <row r="4167" spans="1:25" ht="60.75" x14ac:dyDescent="0.25">
      <c r="A4167" s="3" t="s">
        <v>26</v>
      </c>
      <c r="B4167" s="3" t="s">
        <v>27</v>
      </c>
      <c r="C4167" s="3" t="s">
        <v>28</v>
      </c>
      <c r="D4167" s="3" t="s">
        <v>91</v>
      </c>
      <c r="E4167" s="3" t="s">
        <v>92</v>
      </c>
      <c r="F4167" s="3" t="s">
        <v>93</v>
      </c>
      <c r="G4167" s="3" t="s">
        <v>92</v>
      </c>
      <c r="H4167" s="3" t="s">
        <v>32</v>
      </c>
      <c r="I4167" s="3">
        <v>2025</v>
      </c>
      <c r="J4167" s="3" t="str">
        <f>CONCATENATE("54810088457")</f>
        <v>54810088457</v>
      </c>
      <c r="K4167" s="3" t="s">
        <v>33</v>
      </c>
      <c r="L4167" s="3"/>
      <c r="M4167" s="3" t="s">
        <v>86</v>
      </c>
      <c r="N4167" s="3" t="str">
        <f>CONCATENATE("PSPVNT81T69I324P")</f>
        <v>PSPVNT81T69I324P</v>
      </c>
      <c r="O4167" s="3" t="s">
        <v>4263</v>
      </c>
      <c r="P4167" s="3" t="s">
        <v>36</v>
      </c>
      <c r="Q4167" s="3"/>
      <c r="R4167" s="4">
        <v>45995</v>
      </c>
      <c r="S4167" s="3" t="s">
        <v>37</v>
      </c>
      <c r="T4167" s="3" t="s">
        <v>38</v>
      </c>
      <c r="U4167" s="3" t="s">
        <v>39</v>
      </c>
      <c r="V4167" s="3">
        <v>129.4</v>
      </c>
      <c r="W4167" s="3">
        <v>55</v>
      </c>
      <c r="X4167" s="3">
        <v>52.08</v>
      </c>
      <c r="Y4167" s="3">
        <v>22.32</v>
      </c>
    </row>
    <row r="4168" spans="1:25" ht="60.75" x14ac:dyDescent="0.25">
      <c r="A4168" s="3" t="s">
        <v>26</v>
      </c>
      <c r="B4168" s="3" t="s">
        <v>27</v>
      </c>
      <c r="C4168" s="3" t="s">
        <v>28</v>
      </c>
      <c r="D4168" s="3" t="s">
        <v>312</v>
      </c>
      <c r="E4168" s="3" t="s">
        <v>313</v>
      </c>
      <c r="F4168" s="3" t="s">
        <v>314</v>
      </c>
      <c r="G4168" s="3" t="s">
        <v>313</v>
      </c>
      <c r="H4168" s="3" t="s">
        <v>96</v>
      </c>
      <c r="I4168" s="3">
        <v>2025</v>
      </c>
      <c r="J4168" s="3" t="str">
        <f>CONCATENATE("54810875242")</f>
        <v>54810875242</v>
      </c>
      <c r="K4168" s="3" t="s">
        <v>33</v>
      </c>
      <c r="L4168" s="3"/>
      <c r="M4168" s="3" t="s">
        <v>86</v>
      </c>
      <c r="N4168" s="3" t="str">
        <f>CONCATENATE("CPPGLL97A03A462W")</f>
        <v>CPPGLL97A03A462W</v>
      </c>
      <c r="O4168" s="3" t="s">
        <v>4264</v>
      </c>
      <c r="P4168" s="3" t="s">
        <v>36</v>
      </c>
      <c r="Q4168" s="3"/>
      <c r="R4168" s="4">
        <v>45995</v>
      </c>
      <c r="S4168" s="3" t="s">
        <v>37</v>
      </c>
      <c r="T4168" s="3" t="s">
        <v>38</v>
      </c>
      <c r="U4168" s="3" t="s">
        <v>39</v>
      </c>
      <c r="V4168" s="3">
        <v>118.79</v>
      </c>
      <c r="W4168" s="3">
        <v>50.49</v>
      </c>
      <c r="X4168" s="3">
        <v>47.81</v>
      </c>
      <c r="Y4168" s="3">
        <v>20.49</v>
      </c>
    </row>
    <row r="4169" spans="1:25" ht="60.75" x14ac:dyDescent="0.25">
      <c r="A4169" s="3" t="s">
        <v>26</v>
      </c>
      <c r="B4169" s="3" t="s">
        <v>27</v>
      </c>
      <c r="C4169" s="3" t="s">
        <v>28</v>
      </c>
      <c r="D4169" s="3" t="s">
        <v>40</v>
      </c>
      <c r="E4169" s="3" t="s">
        <v>287</v>
      </c>
      <c r="F4169" s="3" t="s">
        <v>42</v>
      </c>
      <c r="G4169" s="3" t="s">
        <v>287</v>
      </c>
      <c r="H4169" s="3" t="s">
        <v>32</v>
      </c>
      <c r="I4169" s="3">
        <v>2025</v>
      </c>
      <c r="J4169" s="3" t="str">
        <f>CONCATENATE("54810070604")</f>
        <v>54810070604</v>
      </c>
      <c r="K4169" s="3" t="s">
        <v>33</v>
      </c>
      <c r="L4169" s="3"/>
      <c r="M4169" s="3" t="s">
        <v>86</v>
      </c>
      <c r="N4169" s="3" t="str">
        <f>CONCATENATE("SNTRSE84M11E388W")</f>
        <v>SNTRSE84M11E388W</v>
      </c>
      <c r="O4169" s="3" t="s">
        <v>1874</v>
      </c>
      <c r="P4169" s="3" t="s">
        <v>36</v>
      </c>
      <c r="Q4169" s="3"/>
      <c r="R4169" s="4">
        <v>45995</v>
      </c>
      <c r="S4169" s="3" t="s">
        <v>37</v>
      </c>
      <c r="T4169" s="3" t="s">
        <v>38</v>
      </c>
      <c r="U4169" s="3" t="s">
        <v>39</v>
      </c>
      <c r="V4169" s="3">
        <v>82.92</v>
      </c>
      <c r="W4169" s="3">
        <v>35.24</v>
      </c>
      <c r="X4169" s="3">
        <v>33.380000000000003</v>
      </c>
      <c r="Y4169" s="3">
        <v>14.3</v>
      </c>
    </row>
    <row r="4170" spans="1:25" ht="36.75" x14ac:dyDescent="0.25">
      <c r="A4170" s="3" t="s">
        <v>26</v>
      </c>
      <c r="B4170" s="3" t="s">
        <v>27</v>
      </c>
      <c r="C4170" s="3" t="s">
        <v>28</v>
      </c>
      <c r="D4170" s="3" t="s">
        <v>29</v>
      </c>
      <c r="E4170" s="3" t="s">
        <v>101</v>
      </c>
      <c r="F4170" s="3" t="s">
        <v>31</v>
      </c>
      <c r="G4170" s="3" t="s">
        <v>101</v>
      </c>
      <c r="H4170" s="3" t="s">
        <v>32</v>
      </c>
      <c r="I4170" s="3">
        <v>2025</v>
      </c>
      <c r="J4170" s="3" t="str">
        <f>CONCATENATE("54810141439")</f>
        <v>54810141439</v>
      </c>
      <c r="K4170" s="3" t="s">
        <v>33</v>
      </c>
      <c r="L4170" s="3"/>
      <c r="M4170" s="3" t="s">
        <v>86</v>
      </c>
      <c r="N4170" s="3" t="str">
        <f>CONCATENATE("01911060430")</f>
        <v>01911060430</v>
      </c>
      <c r="O4170" s="3" t="s">
        <v>4265</v>
      </c>
      <c r="P4170" s="3" t="s">
        <v>36</v>
      </c>
      <c r="Q4170" s="3"/>
      <c r="R4170" s="4">
        <v>45995</v>
      </c>
      <c r="S4170" s="3" t="s">
        <v>37</v>
      </c>
      <c r="T4170" s="3" t="s">
        <v>38</v>
      </c>
      <c r="U4170" s="3" t="s">
        <v>39</v>
      </c>
      <c r="V4170" s="3">
        <v>50.83</v>
      </c>
      <c r="W4170" s="3">
        <v>21.6</v>
      </c>
      <c r="X4170" s="3">
        <v>20.46</v>
      </c>
      <c r="Y4170" s="3">
        <v>8.77</v>
      </c>
    </row>
    <row r="4171" spans="1:25" ht="60.75" x14ac:dyDescent="0.25">
      <c r="A4171" s="3" t="s">
        <v>26</v>
      </c>
      <c r="B4171" s="3" t="s">
        <v>27</v>
      </c>
      <c r="C4171" s="3" t="s">
        <v>28</v>
      </c>
      <c r="D4171" s="3" t="s">
        <v>29</v>
      </c>
      <c r="E4171" s="3" t="s">
        <v>119</v>
      </c>
      <c r="F4171" s="3" t="s">
        <v>31</v>
      </c>
      <c r="G4171" s="3" t="s">
        <v>119</v>
      </c>
      <c r="H4171" s="3" t="s">
        <v>96</v>
      </c>
      <c r="I4171" s="3">
        <v>2025</v>
      </c>
      <c r="J4171" s="3" t="str">
        <f>CONCATENATE("54810114923")</f>
        <v>54810114923</v>
      </c>
      <c r="K4171" s="3" t="s">
        <v>33</v>
      </c>
      <c r="L4171" s="3"/>
      <c r="M4171" s="3" t="s">
        <v>86</v>
      </c>
      <c r="N4171" s="3" t="str">
        <f>CONCATENATE("GHMMRL68S49Z129X")</f>
        <v>GHMMRL68S49Z129X</v>
      </c>
      <c r="O4171" s="3" t="s">
        <v>4242</v>
      </c>
      <c r="P4171" s="3" t="s">
        <v>36</v>
      </c>
      <c r="Q4171" s="3"/>
      <c r="R4171" s="4">
        <v>45995</v>
      </c>
      <c r="S4171" s="3" t="s">
        <v>37</v>
      </c>
      <c r="T4171" s="3" t="s">
        <v>38</v>
      </c>
      <c r="U4171" s="3" t="s">
        <v>39</v>
      </c>
      <c r="V4171" s="3">
        <v>169.6</v>
      </c>
      <c r="W4171" s="3">
        <v>72.08</v>
      </c>
      <c r="X4171" s="3">
        <v>68.260000000000005</v>
      </c>
      <c r="Y4171" s="3">
        <v>29.26</v>
      </c>
    </row>
    <row r="4172" spans="1:25" ht="36.75" x14ac:dyDescent="0.25">
      <c r="A4172" s="3" t="s">
        <v>26</v>
      </c>
      <c r="B4172" s="3" t="s">
        <v>27</v>
      </c>
      <c r="C4172" s="3" t="s">
        <v>28</v>
      </c>
      <c r="D4172" s="3" t="s">
        <v>50</v>
      </c>
      <c r="E4172" s="3" t="s">
        <v>149</v>
      </c>
      <c r="F4172" s="3" t="s">
        <v>52</v>
      </c>
      <c r="G4172" s="3" t="s">
        <v>149</v>
      </c>
      <c r="H4172" s="3" t="s">
        <v>96</v>
      </c>
      <c r="I4172" s="3">
        <v>2025</v>
      </c>
      <c r="J4172" s="3" t="str">
        <f>CONCATENATE("54810181435")</f>
        <v>54810181435</v>
      </c>
      <c r="K4172" s="3" t="s">
        <v>33</v>
      </c>
      <c r="L4172" s="3"/>
      <c r="M4172" s="3" t="s">
        <v>86</v>
      </c>
      <c r="N4172" s="3" t="str">
        <f>CONCATENATE("02001510441")</f>
        <v>02001510441</v>
      </c>
      <c r="O4172" s="3" t="s">
        <v>4266</v>
      </c>
      <c r="P4172" s="3" t="s">
        <v>36</v>
      </c>
      <c r="Q4172" s="3"/>
      <c r="R4172" s="4">
        <v>45995</v>
      </c>
      <c r="S4172" s="3" t="s">
        <v>37</v>
      </c>
      <c r="T4172" s="3" t="s">
        <v>38</v>
      </c>
      <c r="U4172" s="3" t="s">
        <v>39</v>
      </c>
      <c r="V4172" s="3">
        <v>536.66999999999996</v>
      </c>
      <c r="W4172" s="3">
        <v>228.08</v>
      </c>
      <c r="X4172" s="3">
        <v>216.01</v>
      </c>
      <c r="Y4172" s="3">
        <v>92.58</v>
      </c>
    </row>
    <row r="4173" spans="1:25" ht="60.75" x14ac:dyDescent="0.25">
      <c r="A4173" s="3" t="s">
        <v>26</v>
      </c>
      <c r="B4173" s="3" t="s">
        <v>27</v>
      </c>
      <c r="C4173" s="3" t="s">
        <v>28</v>
      </c>
      <c r="D4173" s="3" t="s">
        <v>40</v>
      </c>
      <c r="E4173" s="3" t="s">
        <v>44</v>
      </c>
      <c r="F4173" s="3" t="s">
        <v>42</v>
      </c>
      <c r="G4173" s="3" t="s">
        <v>44</v>
      </c>
      <c r="H4173" s="3" t="s">
        <v>32</v>
      </c>
      <c r="I4173" s="3">
        <v>2025</v>
      </c>
      <c r="J4173" s="3" t="str">
        <f>CONCATENATE("54810071503")</f>
        <v>54810071503</v>
      </c>
      <c r="K4173" s="3" t="s">
        <v>33</v>
      </c>
      <c r="L4173" s="3"/>
      <c r="M4173" s="3" t="s">
        <v>86</v>
      </c>
      <c r="N4173" s="3" t="str">
        <f>CONCATENATE("DNGPLA74L02I156I")</f>
        <v>DNGPLA74L02I156I</v>
      </c>
      <c r="O4173" s="3" t="s">
        <v>4267</v>
      </c>
      <c r="P4173" s="3" t="s">
        <v>36</v>
      </c>
      <c r="Q4173" s="3"/>
      <c r="R4173" s="4">
        <v>45995</v>
      </c>
      <c r="S4173" s="3" t="s">
        <v>37</v>
      </c>
      <c r="T4173" s="3" t="s">
        <v>38</v>
      </c>
      <c r="U4173" s="3" t="s">
        <v>39</v>
      </c>
      <c r="V4173" s="3">
        <v>132.19999999999999</v>
      </c>
      <c r="W4173" s="3">
        <v>56.19</v>
      </c>
      <c r="X4173" s="3">
        <v>53.21</v>
      </c>
      <c r="Y4173" s="3">
        <v>22.8</v>
      </c>
    </row>
    <row r="4174" spans="1:25" ht="36.75" x14ac:dyDescent="0.25">
      <c r="A4174" s="3" t="s">
        <v>26</v>
      </c>
      <c r="B4174" s="3" t="s">
        <v>27</v>
      </c>
      <c r="C4174" s="3" t="s">
        <v>28</v>
      </c>
      <c r="D4174" s="3" t="s">
        <v>29</v>
      </c>
      <c r="E4174" s="3" t="s">
        <v>68</v>
      </c>
      <c r="F4174" s="3" t="s">
        <v>31</v>
      </c>
      <c r="G4174" s="3" t="s">
        <v>68</v>
      </c>
      <c r="H4174" s="3" t="s">
        <v>32</v>
      </c>
      <c r="I4174" s="3">
        <v>2025</v>
      </c>
      <c r="J4174" s="3" t="str">
        <f>CONCATENATE("54810597606")</f>
        <v>54810597606</v>
      </c>
      <c r="K4174" s="3" t="s">
        <v>33</v>
      </c>
      <c r="L4174" s="3"/>
      <c r="M4174" s="3" t="s">
        <v>86</v>
      </c>
      <c r="N4174" s="3" t="str">
        <f>CONCATENATE("02107800431")</f>
        <v>02107800431</v>
      </c>
      <c r="O4174" s="3" t="s">
        <v>4268</v>
      </c>
      <c r="P4174" s="3" t="s">
        <v>36</v>
      </c>
      <c r="Q4174" s="3"/>
      <c r="R4174" s="4">
        <v>45995</v>
      </c>
      <c r="S4174" s="3" t="s">
        <v>37</v>
      </c>
      <c r="T4174" s="3" t="s">
        <v>38</v>
      </c>
      <c r="U4174" s="3" t="s">
        <v>39</v>
      </c>
      <c r="V4174" s="3">
        <v>70.680000000000007</v>
      </c>
      <c r="W4174" s="3">
        <v>30.04</v>
      </c>
      <c r="X4174" s="3">
        <v>28.45</v>
      </c>
      <c r="Y4174" s="3">
        <v>12.19</v>
      </c>
    </row>
    <row r="4175" spans="1:25" ht="60.75" x14ac:dyDescent="0.25">
      <c r="A4175" s="3" t="s">
        <v>26</v>
      </c>
      <c r="B4175" s="3" t="s">
        <v>27</v>
      </c>
      <c r="C4175" s="3" t="s">
        <v>28</v>
      </c>
      <c r="D4175" s="3" t="s">
        <v>40</v>
      </c>
      <c r="E4175" s="3" t="s">
        <v>99</v>
      </c>
      <c r="F4175" s="3" t="s">
        <v>42</v>
      </c>
      <c r="G4175" s="3" t="s">
        <v>99</v>
      </c>
      <c r="H4175" s="3" t="s">
        <v>32</v>
      </c>
      <c r="I4175" s="3">
        <v>2025</v>
      </c>
      <c r="J4175" s="3" t="str">
        <f>CONCATENATE("54810251360")</f>
        <v>54810251360</v>
      </c>
      <c r="K4175" s="3" t="s">
        <v>33</v>
      </c>
      <c r="L4175" s="3"/>
      <c r="M4175" s="3" t="s">
        <v>86</v>
      </c>
      <c r="N4175" s="3" t="str">
        <f>CONCATENATE("CRDVNT76M18L191O")</f>
        <v>CRDVNT76M18L191O</v>
      </c>
      <c r="O4175" s="3" t="s">
        <v>4269</v>
      </c>
      <c r="P4175" s="3" t="s">
        <v>36</v>
      </c>
      <c r="Q4175" s="3"/>
      <c r="R4175" s="4">
        <v>45995</v>
      </c>
      <c r="S4175" s="3" t="s">
        <v>37</v>
      </c>
      <c r="T4175" s="3" t="s">
        <v>38</v>
      </c>
      <c r="U4175" s="3" t="s">
        <v>39</v>
      </c>
      <c r="V4175" s="3">
        <v>34.840000000000003</v>
      </c>
      <c r="W4175" s="3">
        <v>14.81</v>
      </c>
      <c r="X4175" s="3">
        <v>14.02</v>
      </c>
      <c r="Y4175" s="3">
        <v>6.01</v>
      </c>
    </row>
    <row r="4176" spans="1:25" ht="36.75" x14ac:dyDescent="0.25">
      <c r="A4176" s="3" t="s">
        <v>26</v>
      </c>
      <c r="B4176" s="3" t="s">
        <v>27</v>
      </c>
      <c r="C4176" s="3" t="s">
        <v>28</v>
      </c>
      <c r="D4176" s="3" t="s">
        <v>40</v>
      </c>
      <c r="E4176" s="3" t="s">
        <v>122</v>
      </c>
      <c r="F4176" s="3" t="s">
        <v>42</v>
      </c>
      <c r="G4176" s="3" t="s">
        <v>122</v>
      </c>
      <c r="H4176" s="3" t="s">
        <v>32</v>
      </c>
      <c r="I4176" s="3">
        <v>2025</v>
      </c>
      <c r="J4176" s="3" t="str">
        <f>CONCATENATE("54810975018")</f>
        <v>54810975018</v>
      </c>
      <c r="K4176" s="3" t="s">
        <v>33</v>
      </c>
      <c r="L4176" s="3"/>
      <c r="M4176" s="3" t="s">
        <v>86</v>
      </c>
      <c r="N4176" s="3" t="str">
        <f>CONCATENATE("01112570435")</f>
        <v>01112570435</v>
      </c>
      <c r="O4176" s="3" t="s">
        <v>4270</v>
      </c>
      <c r="P4176" s="3" t="s">
        <v>36</v>
      </c>
      <c r="Q4176" s="3"/>
      <c r="R4176" s="4">
        <v>45995</v>
      </c>
      <c r="S4176" s="3" t="s">
        <v>37</v>
      </c>
      <c r="T4176" s="3" t="s">
        <v>38</v>
      </c>
      <c r="U4176" s="3" t="s">
        <v>39</v>
      </c>
      <c r="V4176" s="3">
        <v>54.33</v>
      </c>
      <c r="W4176" s="3">
        <v>23.09</v>
      </c>
      <c r="X4176" s="3">
        <v>21.87</v>
      </c>
      <c r="Y4176" s="3">
        <v>9.3699999999999992</v>
      </c>
    </row>
    <row r="4177" spans="1:25" ht="60.75" x14ac:dyDescent="0.25">
      <c r="A4177" s="3" t="s">
        <v>26</v>
      </c>
      <c r="B4177" s="3" t="s">
        <v>27</v>
      </c>
      <c r="C4177" s="3" t="s">
        <v>28</v>
      </c>
      <c r="D4177" s="3" t="s">
        <v>40</v>
      </c>
      <c r="E4177" s="3" t="s">
        <v>122</v>
      </c>
      <c r="F4177" s="3" t="s">
        <v>42</v>
      </c>
      <c r="G4177" s="3" t="s">
        <v>122</v>
      </c>
      <c r="H4177" s="3" t="s">
        <v>32</v>
      </c>
      <c r="I4177" s="3">
        <v>2025</v>
      </c>
      <c r="J4177" s="3" t="str">
        <f>CONCATENATE("54810218906")</f>
        <v>54810218906</v>
      </c>
      <c r="K4177" s="3" t="s">
        <v>33</v>
      </c>
      <c r="L4177" s="3"/>
      <c r="M4177" s="3" t="s">
        <v>86</v>
      </c>
      <c r="N4177" s="3" t="str">
        <f>CONCATENATE("BRNCLD75M55C704C")</f>
        <v>BRNCLD75M55C704C</v>
      </c>
      <c r="O4177" s="3" t="s">
        <v>4271</v>
      </c>
      <c r="P4177" s="3" t="s">
        <v>36</v>
      </c>
      <c r="Q4177" s="3"/>
      <c r="R4177" s="4">
        <v>45995</v>
      </c>
      <c r="S4177" s="3" t="s">
        <v>37</v>
      </c>
      <c r="T4177" s="3" t="s">
        <v>38</v>
      </c>
      <c r="U4177" s="3" t="s">
        <v>39</v>
      </c>
      <c r="V4177" s="3">
        <v>76.66</v>
      </c>
      <c r="W4177" s="3">
        <v>32.58</v>
      </c>
      <c r="X4177" s="3">
        <v>30.86</v>
      </c>
      <c r="Y4177" s="3">
        <v>13.22</v>
      </c>
    </row>
    <row r="4178" spans="1:25" ht="72.75" x14ac:dyDescent="0.25">
      <c r="A4178" s="3" t="s">
        <v>26</v>
      </c>
      <c r="B4178" s="3" t="s">
        <v>27</v>
      </c>
      <c r="C4178" s="3" t="s">
        <v>28</v>
      </c>
      <c r="D4178" s="3" t="s">
        <v>29</v>
      </c>
      <c r="E4178" s="3" t="s">
        <v>85</v>
      </c>
      <c r="F4178" s="3" t="s">
        <v>31</v>
      </c>
      <c r="G4178" s="3" t="s">
        <v>85</v>
      </c>
      <c r="H4178" s="3" t="s">
        <v>48</v>
      </c>
      <c r="I4178" s="3">
        <v>2025</v>
      </c>
      <c r="J4178" s="3" t="str">
        <f>CONCATENATE("54810271152")</f>
        <v>54810271152</v>
      </c>
      <c r="K4178" s="3" t="s">
        <v>33</v>
      </c>
      <c r="L4178" s="3"/>
      <c r="M4178" s="3" t="s">
        <v>86</v>
      </c>
      <c r="N4178" s="3" t="str">
        <f>CONCATENATE("FDRGPP57H07D211H")</f>
        <v>FDRGPP57H07D211H</v>
      </c>
      <c r="O4178" s="3" t="s">
        <v>4272</v>
      </c>
      <c r="P4178" s="3" t="s">
        <v>36</v>
      </c>
      <c r="Q4178" s="3"/>
      <c r="R4178" s="4">
        <v>45995</v>
      </c>
      <c r="S4178" s="3" t="s">
        <v>37</v>
      </c>
      <c r="T4178" s="3" t="s">
        <v>38</v>
      </c>
      <c r="U4178" s="3" t="s">
        <v>39</v>
      </c>
      <c r="V4178" s="3">
        <v>171.75</v>
      </c>
      <c r="W4178" s="3">
        <v>72.989999999999995</v>
      </c>
      <c r="X4178" s="3">
        <v>69.13</v>
      </c>
      <c r="Y4178" s="3">
        <v>29.63</v>
      </c>
    </row>
    <row r="4179" spans="1:25" ht="36.75" x14ac:dyDescent="0.25">
      <c r="A4179" s="3" t="s">
        <v>26</v>
      </c>
      <c r="B4179" s="3" t="s">
        <v>27</v>
      </c>
      <c r="C4179" s="3" t="s">
        <v>28</v>
      </c>
      <c r="D4179" s="3" t="s">
        <v>40</v>
      </c>
      <c r="E4179" s="3" t="s">
        <v>44</v>
      </c>
      <c r="F4179" s="3" t="s">
        <v>42</v>
      </c>
      <c r="G4179" s="3" t="s">
        <v>44</v>
      </c>
      <c r="H4179" s="3" t="s">
        <v>32</v>
      </c>
      <c r="I4179" s="3">
        <v>2025</v>
      </c>
      <c r="J4179" s="3" t="str">
        <f>CONCATENATE("54810083490")</f>
        <v>54810083490</v>
      </c>
      <c r="K4179" s="3" t="s">
        <v>33</v>
      </c>
      <c r="L4179" s="3"/>
      <c r="M4179" s="3" t="s">
        <v>86</v>
      </c>
      <c r="N4179" s="3" t="str">
        <f>CONCATENATE("01648480430")</f>
        <v>01648480430</v>
      </c>
      <c r="O4179" s="3" t="s">
        <v>4273</v>
      </c>
      <c r="P4179" s="3" t="s">
        <v>36</v>
      </c>
      <c r="Q4179" s="3"/>
      <c r="R4179" s="4">
        <v>45995</v>
      </c>
      <c r="S4179" s="3" t="s">
        <v>37</v>
      </c>
      <c r="T4179" s="3" t="s">
        <v>38</v>
      </c>
      <c r="U4179" s="3" t="s">
        <v>39</v>
      </c>
      <c r="V4179" s="3">
        <v>90.79</v>
      </c>
      <c r="W4179" s="3">
        <v>38.590000000000003</v>
      </c>
      <c r="X4179" s="3">
        <v>36.54</v>
      </c>
      <c r="Y4179" s="3">
        <v>15.66</v>
      </c>
    </row>
    <row r="4180" spans="1:25" ht="60.75" x14ac:dyDescent="0.25">
      <c r="A4180" s="3" t="s">
        <v>26</v>
      </c>
      <c r="B4180" s="3" t="s">
        <v>27</v>
      </c>
      <c r="C4180" s="3" t="s">
        <v>28</v>
      </c>
      <c r="D4180" s="3" t="s">
        <v>29</v>
      </c>
      <c r="E4180" s="3" t="s">
        <v>85</v>
      </c>
      <c r="F4180" s="3" t="s">
        <v>31</v>
      </c>
      <c r="G4180" s="3" t="s">
        <v>85</v>
      </c>
      <c r="H4180" s="3" t="s">
        <v>48</v>
      </c>
      <c r="I4180" s="3">
        <v>2025</v>
      </c>
      <c r="J4180" s="3" t="str">
        <f>CONCATENATE("54810071636")</f>
        <v>54810071636</v>
      </c>
      <c r="K4180" s="3" t="s">
        <v>33</v>
      </c>
      <c r="L4180" s="3"/>
      <c r="M4180" s="3" t="s">
        <v>86</v>
      </c>
      <c r="N4180" s="3" t="str">
        <f>CONCATENATE("TNTGRG75S17E388V")</f>
        <v>TNTGRG75S17E388V</v>
      </c>
      <c r="O4180" s="3" t="s">
        <v>4274</v>
      </c>
      <c r="P4180" s="3" t="s">
        <v>36</v>
      </c>
      <c r="Q4180" s="3"/>
      <c r="R4180" s="4">
        <v>45995</v>
      </c>
      <c r="S4180" s="3" t="s">
        <v>37</v>
      </c>
      <c r="T4180" s="3" t="s">
        <v>38</v>
      </c>
      <c r="U4180" s="3" t="s">
        <v>39</v>
      </c>
      <c r="V4180" s="3">
        <v>169.59</v>
      </c>
      <c r="W4180" s="3">
        <v>72.08</v>
      </c>
      <c r="X4180" s="3">
        <v>68.260000000000005</v>
      </c>
      <c r="Y4180" s="3">
        <v>29.25</v>
      </c>
    </row>
    <row r="4181" spans="1:25" ht="72.75" x14ac:dyDescent="0.25">
      <c r="A4181" s="3" t="s">
        <v>26</v>
      </c>
      <c r="B4181" s="3" t="s">
        <v>27</v>
      </c>
      <c r="C4181" s="3" t="s">
        <v>28</v>
      </c>
      <c r="D4181" s="3" t="s">
        <v>29</v>
      </c>
      <c r="E4181" s="3" t="s">
        <v>56</v>
      </c>
      <c r="F4181" s="3" t="s">
        <v>31</v>
      </c>
      <c r="G4181" s="3" t="s">
        <v>56</v>
      </c>
      <c r="H4181" s="3" t="s">
        <v>32</v>
      </c>
      <c r="I4181" s="3">
        <v>2025</v>
      </c>
      <c r="J4181" s="3" t="str">
        <f>CONCATENATE("54811063459")</f>
        <v>54811063459</v>
      </c>
      <c r="K4181" s="3" t="s">
        <v>33</v>
      </c>
      <c r="L4181" s="3"/>
      <c r="M4181" s="3" t="s">
        <v>86</v>
      </c>
      <c r="N4181" s="3" t="str">
        <f>CONCATENATE("DMNSML78P22B474R")</f>
        <v>DMNSML78P22B474R</v>
      </c>
      <c r="O4181" s="3" t="s">
        <v>4275</v>
      </c>
      <c r="P4181" s="3" t="s">
        <v>36</v>
      </c>
      <c r="Q4181" s="3"/>
      <c r="R4181" s="4">
        <v>45995</v>
      </c>
      <c r="S4181" s="3" t="s">
        <v>37</v>
      </c>
      <c r="T4181" s="3" t="s">
        <v>38</v>
      </c>
      <c r="U4181" s="3" t="s">
        <v>39</v>
      </c>
      <c r="V4181" s="3">
        <v>161.55000000000001</v>
      </c>
      <c r="W4181" s="3">
        <v>68.66</v>
      </c>
      <c r="X4181" s="3">
        <v>65.02</v>
      </c>
      <c r="Y4181" s="3">
        <v>27.87</v>
      </c>
    </row>
    <row r="4182" spans="1:25" ht="72.75" x14ac:dyDescent="0.25">
      <c r="A4182" s="3" t="s">
        <v>26</v>
      </c>
      <c r="B4182" s="3" t="s">
        <v>27</v>
      </c>
      <c r="C4182" s="3" t="s">
        <v>28</v>
      </c>
      <c r="D4182" s="3" t="s">
        <v>40</v>
      </c>
      <c r="E4182" s="3" t="s">
        <v>44</v>
      </c>
      <c r="F4182" s="3" t="s">
        <v>42</v>
      </c>
      <c r="G4182" s="3" t="s">
        <v>44</v>
      </c>
      <c r="H4182" s="3" t="s">
        <v>32</v>
      </c>
      <c r="I4182" s="3">
        <v>2025</v>
      </c>
      <c r="J4182" s="3" t="str">
        <f>CONCATENATE("54810424868")</f>
        <v>54810424868</v>
      </c>
      <c r="K4182" s="3" t="s">
        <v>33</v>
      </c>
      <c r="L4182" s="3"/>
      <c r="M4182" s="3" t="s">
        <v>86</v>
      </c>
      <c r="N4182" s="3" t="str">
        <f>CONCATENATE("LLRDNL78D15B157W")</f>
        <v>LLRDNL78D15B157W</v>
      </c>
      <c r="O4182" s="3" t="s">
        <v>4276</v>
      </c>
      <c r="P4182" s="3" t="s">
        <v>36</v>
      </c>
      <c r="Q4182" s="3"/>
      <c r="R4182" s="4">
        <v>45995</v>
      </c>
      <c r="S4182" s="3" t="s">
        <v>37</v>
      </c>
      <c r="T4182" s="3" t="s">
        <v>38</v>
      </c>
      <c r="U4182" s="3" t="s">
        <v>39</v>
      </c>
      <c r="V4182" s="3">
        <v>87.36</v>
      </c>
      <c r="W4182" s="3">
        <v>37.130000000000003</v>
      </c>
      <c r="X4182" s="3">
        <v>35.159999999999997</v>
      </c>
      <c r="Y4182" s="3">
        <v>15.07</v>
      </c>
    </row>
    <row r="4183" spans="1:25" ht="60.75" x14ac:dyDescent="0.25">
      <c r="A4183" s="3" t="s">
        <v>26</v>
      </c>
      <c r="B4183" s="3" t="s">
        <v>27</v>
      </c>
      <c r="C4183" s="3" t="s">
        <v>28</v>
      </c>
      <c r="D4183" s="3" t="s">
        <v>157</v>
      </c>
      <c r="E4183" s="3" t="s">
        <v>310</v>
      </c>
      <c r="F4183" s="3" t="s">
        <v>159</v>
      </c>
      <c r="G4183" s="3" t="s">
        <v>310</v>
      </c>
      <c r="H4183" s="3" t="s">
        <v>96</v>
      </c>
      <c r="I4183" s="3">
        <v>2025</v>
      </c>
      <c r="J4183" s="3" t="str">
        <f>CONCATENATE("54810762390")</f>
        <v>54810762390</v>
      </c>
      <c r="K4183" s="3" t="s">
        <v>33</v>
      </c>
      <c r="L4183" s="3"/>
      <c r="M4183" s="3" t="s">
        <v>86</v>
      </c>
      <c r="N4183" s="3" t="str">
        <f>CONCATENATE("SPNSLV85L63H501V")</f>
        <v>SPNSLV85L63H501V</v>
      </c>
      <c r="O4183" s="3" t="s">
        <v>4277</v>
      </c>
      <c r="P4183" s="3" t="s">
        <v>36</v>
      </c>
      <c r="Q4183" s="3"/>
      <c r="R4183" s="4">
        <v>45995</v>
      </c>
      <c r="S4183" s="3" t="s">
        <v>37</v>
      </c>
      <c r="T4183" s="3" t="s">
        <v>38</v>
      </c>
      <c r="U4183" s="3" t="s">
        <v>39</v>
      </c>
      <c r="V4183" s="3">
        <v>230.1</v>
      </c>
      <c r="W4183" s="3">
        <v>97.79</v>
      </c>
      <c r="X4183" s="3">
        <v>92.62</v>
      </c>
      <c r="Y4183" s="3">
        <v>39.69</v>
      </c>
    </row>
    <row r="4184" spans="1:25" ht="36.75" x14ac:dyDescent="0.25">
      <c r="A4184" s="3" t="s">
        <v>26</v>
      </c>
      <c r="B4184" s="3" t="s">
        <v>27</v>
      </c>
      <c r="C4184" s="3" t="s">
        <v>28</v>
      </c>
      <c r="D4184" s="3" t="s">
        <v>91</v>
      </c>
      <c r="E4184" s="3" t="s">
        <v>92</v>
      </c>
      <c r="F4184" s="3" t="s">
        <v>93</v>
      </c>
      <c r="G4184" s="3" t="s">
        <v>92</v>
      </c>
      <c r="H4184" s="3" t="s">
        <v>32</v>
      </c>
      <c r="I4184" s="3">
        <v>2025</v>
      </c>
      <c r="J4184" s="3" t="str">
        <f>CONCATENATE("54810556420")</f>
        <v>54810556420</v>
      </c>
      <c r="K4184" s="3" t="s">
        <v>33</v>
      </c>
      <c r="L4184" s="3"/>
      <c r="M4184" s="3" t="s">
        <v>86</v>
      </c>
      <c r="N4184" s="3" t="str">
        <f>CONCATENATE("01985780434")</f>
        <v>01985780434</v>
      </c>
      <c r="O4184" s="3" t="s">
        <v>4278</v>
      </c>
      <c r="P4184" s="3" t="s">
        <v>36</v>
      </c>
      <c r="Q4184" s="3"/>
      <c r="R4184" s="4">
        <v>45995</v>
      </c>
      <c r="S4184" s="3" t="s">
        <v>37</v>
      </c>
      <c r="T4184" s="3" t="s">
        <v>38</v>
      </c>
      <c r="U4184" s="3" t="s">
        <v>39</v>
      </c>
      <c r="V4184" s="3">
        <v>94.99</v>
      </c>
      <c r="W4184" s="3">
        <v>40.369999999999997</v>
      </c>
      <c r="X4184" s="3">
        <v>38.229999999999997</v>
      </c>
      <c r="Y4184" s="3">
        <v>16.39</v>
      </c>
    </row>
    <row r="4185" spans="1:25" ht="60.75" x14ac:dyDescent="0.25">
      <c r="A4185" s="3" t="s">
        <v>26</v>
      </c>
      <c r="B4185" s="3" t="s">
        <v>27</v>
      </c>
      <c r="C4185" s="3" t="s">
        <v>28</v>
      </c>
      <c r="D4185" s="3" t="s">
        <v>40</v>
      </c>
      <c r="E4185" s="3" t="s">
        <v>44</v>
      </c>
      <c r="F4185" s="3" t="s">
        <v>42</v>
      </c>
      <c r="G4185" s="3" t="s">
        <v>44</v>
      </c>
      <c r="H4185" s="3" t="s">
        <v>32</v>
      </c>
      <c r="I4185" s="3">
        <v>2025</v>
      </c>
      <c r="J4185" s="3" t="str">
        <f>CONCATENATE("54810194982")</f>
        <v>54810194982</v>
      </c>
      <c r="K4185" s="3" t="s">
        <v>33</v>
      </c>
      <c r="L4185" s="3"/>
      <c r="M4185" s="3" t="s">
        <v>86</v>
      </c>
      <c r="N4185" s="3" t="str">
        <f>CONCATENATE("RSLFLV94M30H501X")</f>
        <v>RSLFLV94M30H501X</v>
      </c>
      <c r="O4185" s="3" t="s">
        <v>4279</v>
      </c>
      <c r="P4185" s="3" t="s">
        <v>36</v>
      </c>
      <c r="Q4185" s="3"/>
      <c r="R4185" s="4">
        <v>45995</v>
      </c>
      <c r="S4185" s="3" t="s">
        <v>37</v>
      </c>
      <c r="T4185" s="3" t="s">
        <v>38</v>
      </c>
      <c r="U4185" s="3" t="s">
        <v>39</v>
      </c>
      <c r="V4185" s="3">
        <v>104.72</v>
      </c>
      <c r="W4185" s="3">
        <v>44.51</v>
      </c>
      <c r="X4185" s="3">
        <v>42.15</v>
      </c>
      <c r="Y4185" s="3">
        <v>18.059999999999999</v>
      </c>
    </row>
    <row r="4186" spans="1:25" ht="36.75" x14ac:dyDescent="0.25">
      <c r="A4186" s="3" t="s">
        <v>26</v>
      </c>
      <c r="B4186" s="3" t="s">
        <v>27</v>
      </c>
      <c r="C4186" s="3" t="s">
        <v>28</v>
      </c>
      <c r="D4186" s="3" t="s">
        <v>29</v>
      </c>
      <c r="E4186" s="3" t="s">
        <v>125</v>
      </c>
      <c r="F4186" s="3" t="s">
        <v>31</v>
      </c>
      <c r="G4186" s="3" t="s">
        <v>125</v>
      </c>
      <c r="H4186" s="3" t="s">
        <v>32</v>
      </c>
      <c r="I4186" s="3">
        <v>2025</v>
      </c>
      <c r="J4186" s="3" t="str">
        <f>CONCATENATE("54810801370")</f>
        <v>54810801370</v>
      </c>
      <c r="K4186" s="3" t="s">
        <v>33</v>
      </c>
      <c r="L4186" s="3"/>
      <c r="M4186" s="3" t="s">
        <v>86</v>
      </c>
      <c r="N4186" s="3" t="str">
        <f>CONCATENATE("80005460433")</f>
        <v>80005460433</v>
      </c>
      <c r="O4186" s="3" t="s">
        <v>4280</v>
      </c>
      <c r="P4186" s="3" t="s">
        <v>36</v>
      </c>
      <c r="Q4186" s="3"/>
      <c r="R4186" s="4">
        <v>45995</v>
      </c>
      <c r="S4186" s="3" t="s">
        <v>37</v>
      </c>
      <c r="T4186" s="3" t="s">
        <v>38</v>
      </c>
      <c r="U4186" s="3" t="s">
        <v>39</v>
      </c>
      <c r="V4186" s="3">
        <v>95.97</v>
      </c>
      <c r="W4186" s="3">
        <v>40.79</v>
      </c>
      <c r="X4186" s="3">
        <v>38.630000000000003</v>
      </c>
      <c r="Y4186" s="3">
        <v>16.55</v>
      </c>
    </row>
    <row r="4187" spans="1:25" ht="72.75" x14ac:dyDescent="0.25">
      <c r="A4187" s="3" t="s">
        <v>26</v>
      </c>
      <c r="B4187" s="3" t="s">
        <v>27</v>
      </c>
      <c r="C4187" s="3" t="s">
        <v>28</v>
      </c>
      <c r="D4187" s="3" t="s">
        <v>50</v>
      </c>
      <c r="E4187" s="3" t="s">
        <v>290</v>
      </c>
      <c r="F4187" s="3" t="s">
        <v>52</v>
      </c>
      <c r="G4187" s="3" t="s">
        <v>290</v>
      </c>
      <c r="H4187" s="3" t="s">
        <v>96</v>
      </c>
      <c r="I4187" s="3">
        <v>2025</v>
      </c>
      <c r="J4187" s="3" t="str">
        <f>CONCATENATE("54810077146")</f>
        <v>54810077146</v>
      </c>
      <c r="K4187" s="3" t="s">
        <v>33</v>
      </c>
      <c r="L4187" s="3"/>
      <c r="M4187" s="3" t="s">
        <v>86</v>
      </c>
      <c r="N4187" s="3" t="str">
        <f>CONCATENATE("GRGGNN57H70A271N")</f>
        <v>GRGGNN57H70A271N</v>
      </c>
      <c r="O4187" s="3" t="s">
        <v>4281</v>
      </c>
      <c r="P4187" s="3" t="s">
        <v>36</v>
      </c>
      <c r="Q4187" s="3"/>
      <c r="R4187" s="4">
        <v>45995</v>
      </c>
      <c r="S4187" s="3" t="s">
        <v>37</v>
      </c>
      <c r="T4187" s="3" t="s">
        <v>38</v>
      </c>
      <c r="U4187" s="3" t="s">
        <v>39</v>
      </c>
      <c r="V4187" s="3">
        <v>127.3</v>
      </c>
      <c r="W4187" s="3">
        <v>54.1</v>
      </c>
      <c r="X4187" s="3">
        <v>51.24</v>
      </c>
      <c r="Y4187" s="3">
        <v>21.96</v>
      </c>
    </row>
    <row r="4188" spans="1:25" ht="60.75" x14ac:dyDescent="0.25">
      <c r="A4188" s="3" t="s">
        <v>26</v>
      </c>
      <c r="B4188" s="3" t="s">
        <v>27</v>
      </c>
      <c r="C4188" s="3" t="s">
        <v>28</v>
      </c>
      <c r="D4188" s="3" t="s">
        <v>40</v>
      </c>
      <c r="E4188" s="3" t="s">
        <v>99</v>
      </c>
      <c r="F4188" s="3" t="s">
        <v>42</v>
      </c>
      <c r="G4188" s="3" t="s">
        <v>99</v>
      </c>
      <c r="H4188" s="3" t="s">
        <v>32</v>
      </c>
      <c r="I4188" s="3">
        <v>2025</v>
      </c>
      <c r="J4188" s="3" t="str">
        <f>CONCATENATE("54810858040")</f>
        <v>54810858040</v>
      </c>
      <c r="K4188" s="3" t="s">
        <v>33</v>
      </c>
      <c r="L4188" s="3"/>
      <c r="M4188" s="3" t="s">
        <v>86</v>
      </c>
      <c r="N4188" s="3" t="str">
        <f>CONCATENATE("NCCFLL44L50C704U")</f>
        <v>NCCFLL44L50C704U</v>
      </c>
      <c r="O4188" s="3" t="s">
        <v>4282</v>
      </c>
      <c r="P4188" s="3" t="s">
        <v>36</v>
      </c>
      <c r="Q4188" s="3"/>
      <c r="R4188" s="4">
        <v>45995</v>
      </c>
      <c r="S4188" s="3" t="s">
        <v>37</v>
      </c>
      <c r="T4188" s="3" t="s">
        <v>38</v>
      </c>
      <c r="U4188" s="3" t="s">
        <v>39</v>
      </c>
      <c r="V4188" s="3">
        <v>89.17</v>
      </c>
      <c r="W4188" s="3">
        <v>37.9</v>
      </c>
      <c r="X4188" s="3">
        <v>35.89</v>
      </c>
      <c r="Y4188" s="3">
        <v>15.38</v>
      </c>
    </row>
    <row r="4189" spans="1:25" ht="60.75" x14ac:dyDescent="0.25">
      <c r="A4189" s="3" t="s">
        <v>26</v>
      </c>
      <c r="B4189" s="3" t="s">
        <v>27</v>
      </c>
      <c r="C4189" s="3" t="s">
        <v>28</v>
      </c>
      <c r="D4189" s="3" t="s">
        <v>29</v>
      </c>
      <c r="E4189" s="3" t="s">
        <v>1975</v>
      </c>
      <c r="F4189" s="3" t="s">
        <v>31</v>
      </c>
      <c r="G4189" s="3" t="s">
        <v>1975</v>
      </c>
      <c r="H4189" s="3" t="s">
        <v>32</v>
      </c>
      <c r="I4189" s="3">
        <v>2025</v>
      </c>
      <c r="J4189" s="3" t="str">
        <f>CONCATENATE("54810296530")</f>
        <v>54810296530</v>
      </c>
      <c r="K4189" s="3" t="s">
        <v>33</v>
      </c>
      <c r="L4189" s="3"/>
      <c r="M4189" s="3" t="s">
        <v>86</v>
      </c>
      <c r="N4189" s="3" t="str">
        <f>CONCATENATE("CMBDNS60E41I156K")</f>
        <v>CMBDNS60E41I156K</v>
      </c>
      <c r="O4189" s="3" t="s">
        <v>4283</v>
      </c>
      <c r="P4189" s="3" t="s">
        <v>36</v>
      </c>
      <c r="Q4189" s="3"/>
      <c r="R4189" s="4">
        <v>45995</v>
      </c>
      <c r="S4189" s="3" t="s">
        <v>37</v>
      </c>
      <c r="T4189" s="3" t="s">
        <v>38</v>
      </c>
      <c r="U4189" s="3" t="s">
        <v>39</v>
      </c>
      <c r="V4189" s="3">
        <v>97.51</v>
      </c>
      <c r="W4189" s="3">
        <v>41.44</v>
      </c>
      <c r="X4189" s="3">
        <v>39.25</v>
      </c>
      <c r="Y4189" s="3">
        <v>16.82</v>
      </c>
    </row>
    <row r="4190" spans="1:25" ht="36.75" x14ac:dyDescent="0.25">
      <c r="A4190" s="3" t="s">
        <v>26</v>
      </c>
      <c r="B4190" s="3" t="s">
        <v>27</v>
      </c>
      <c r="C4190" s="3" t="s">
        <v>28</v>
      </c>
      <c r="D4190" s="3" t="s">
        <v>40</v>
      </c>
      <c r="E4190" s="3" t="s">
        <v>44</v>
      </c>
      <c r="F4190" s="3" t="s">
        <v>42</v>
      </c>
      <c r="G4190" s="3" t="s">
        <v>44</v>
      </c>
      <c r="H4190" s="3" t="s">
        <v>32</v>
      </c>
      <c r="I4190" s="3">
        <v>2025</v>
      </c>
      <c r="J4190" s="3" t="str">
        <f>CONCATENATE("54810215696")</f>
        <v>54810215696</v>
      </c>
      <c r="K4190" s="3" t="s">
        <v>33</v>
      </c>
      <c r="L4190" s="3"/>
      <c r="M4190" s="3" t="s">
        <v>86</v>
      </c>
      <c r="N4190" s="3" t="str">
        <f>CONCATENATE("01709190431")</f>
        <v>01709190431</v>
      </c>
      <c r="O4190" s="3" t="s">
        <v>2480</v>
      </c>
      <c r="P4190" s="3" t="s">
        <v>36</v>
      </c>
      <c r="Q4190" s="3"/>
      <c r="R4190" s="4">
        <v>45995</v>
      </c>
      <c r="S4190" s="3" t="s">
        <v>37</v>
      </c>
      <c r="T4190" s="3" t="s">
        <v>38</v>
      </c>
      <c r="U4190" s="3" t="s">
        <v>39</v>
      </c>
      <c r="V4190" s="3">
        <v>579.64</v>
      </c>
      <c r="W4190" s="3">
        <v>246.35</v>
      </c>
      <c r="X4190" s="3">
        <v>233.31</v>
      </c>
      <c r="Y4190" s="3">
        <v>99.98</v>
      </c>
    </row>
    <row r="4191" spans="1:25" ht="60.75" x14ac:dyDescent="0.25">
      <c r="A4191" s="3" t="s">
        <v>26</v>
      </c>
      <c r="B4191" s="3" t="s">
        <v>27</v>
      </c>
      <c r="C4191" s="3" t="s">
        <v>28</v>
      </c>
      <c r="D4191" s="3" t="s">
        <v>40</v>
      </c>
      <c r="E4191" s="3" t="s">
        <v>99</v>
      </c>
      <c r="F4191" s="3" t="s">
        <v>42</v>
      </c>
      <c r="G4191" s="3" t="s">
        <v>99</v>
      </c>
      <c r="H4191" s="3" t="s">
        <v>32</v>
      </c>
      <c r="I4191" s="3">
        <v>2025</v>
      </c>
      <c r="J4191" s="3" t="str">
        <f>CONCATENATE("54810242369")</f>
        <v>54810242369</v>
      </c>
      <c r="K4191" s="3" t="s">
        <v>33</v>
      </c>
      <c r="L4191" s="3"/>
      <c r="M4191" s="3" t="s">
        <v>86</v>
      </c>
      <c r="N4191" s="3" t="str">
        <f>CONCATENATE("BNGGLS75A29L219K")</f>
        <v>BNGGLS75A29L219K</v>
      </c>
      <c r="O4191" s="3" t="s">
        <v>4284</v>
      </c>
      <c r="P4191" s="3" t="s">
        <v>36</v>
      </c>
      <c r="Q4191" s="3"/>
      <c r="R4191" s="4">
        <v>45995</v>
      </c>
      <c r="S4191" s="3" t="s">
        <v>37</v>
      </c>
      <c r="T4191" s="3" t="s">
        <v>38</v>
      </c>
      <c r="U4191" s="3" t="s">
        <v>39</v>
      </c>
      <c r="V4191" s="3">
        <v>25.61</v>
      </c>
      <c r="W4191" s="3">
        <v>10.88</v>
      </c>
      <c r="X4191" s="3">
        <v>10.31</v>
      </c>
      <c r="Y4191" s="3">
        <v>4.42</v>
      </c>
    </row>
    <row r="4192" spans="1:25" ht="72.75" x14ac:dyDescent="0.25">
      <c r="A4192" s="3" t="s">
        <v>26</v>
      </c>
      <c r="B4192" s="3" t="s">
        <v>27</v>
      </c>
      <c r="C4192" s="3" t="s">
        <v>28</v>
      </c>
      <c r="D4192" s="3" t="s">
        <v>40</v>
      </c>
      <c r="E4192" s="3" t="s">
        <v>44</v>
      </c>
      <c r="F4192" s="3" t="s">
        <v>42</v>
      </c>
      <c r="G4192" s="3" t="s">
        <v>44</v>
      </c>
      <c r="H4192" s="3" t="s">
        <v>32</v>
      </c>
      <c r="I4192" s="3">
        <v>2025</v>
      </c>
      <c r="J4192" s="3" t="str">
        <f>CONCATENATE("54810063096")</f>
        <v>54810063096</v>
      </c>
      <c r="K4192" s="3" t="s">
        <v>33</v>
      </c>
      <c r="L4192" s="3"/>
      <c r="M4192" s="3" t="s">
        <v>86</v>
      </c>
      <c r="N4192" s="3" t="str">
        <f>CONCATENATE("NDRMSM73E09H501H")</f>
        <v>NDRMSM73E09H501H</v>
      </c>
      <c r="O4192" s="3" t="s">
        <v>3757</v>
      </c>
      <c r="P4192" s="3" t="s">
        <v>36</v>
      </c>
      <c r="Q4192" s="3"/>
      <c r="R4192" s="4">
        <v>45995</v>
      </c>
      <c r="S4192" s="3" t="s">
        <v>37</v>
      </c>
      <c r="T4192" s="3" t="s">
        <v>38</v>
      </c>
      <c r="U4192" s="3" t="s">
        <v>39</v>
      </c>
      <c r="V4192" s="3">
        <v>137.38</v>
      </c>
      <c r="W4192" s="3">
        <v>58.39</v>
      </c>
      <c r="X4192" s="3">
        <v>55.3</v>
      </c>
      <c r="Y4192" s="3">
        <v>23.69</v>
      </c>
    </row>
    <row r="4193" spans="1:25" ht="60.75" x14ac:dyDescent="0.25">
      <c r="A4193" s="3" t="s">
        <v>26</v>
      </c>
      <c r="B4193" s="3" t="s">
        <v>27</v>
      </c>
      <c r="C4193" s="3" t="s">
        <v>28</v>
      </c>
      <c r="D4193" s="3" t="s">
        <v>40</v>
      </c>
      <c r="E4193" s="3" t="s">
        <v>122</v>
      </c>
      <c r="F4193" s="3" t="s">
        <v>42</v>
      </c>
      <c r="G4193" s="3" t="s">
        <v>122</v>
      </c>
      <c r="H4193" s="3" t="s">
        <v>32</v>
      </c>
      <c r="I4193" s="3">
        <v>2025</v>
      </c>
      <c r="J4193" s="3" t="str">
        <f>CONCATENATE("54810218252")</f>
        <v>54810218252</v>
      </c>
      <c r="K4193" s="3" t="s">
        <v>33</v>
      </c>
      <c r="L4193" s="3"/>
      <c r="M4193" s="3" t="s">
        <v>86</v>
      </c>
      <c r="N4193" s="3" t="str">
        <f>CONCATENATE("LSVGCM51P16F027J")</f>
        <v>LSVGCM51P16F027J</v>
      </c>
      <c r="O4193" s="3" t="s">
        <v>4285</v>
      </c>
      <c r="P4193" s="3" t="s">
        <v>36</v>
      </c>
      <c r="Q4193" s="3"/>
      <c r="R4193" s="4">
        <v>45995</v>
      </c>
      <c r="S4193" s="3" t="s">
        <v>37</v>
      </c>
      <c r="T4193" s="3" t="s">
        <v>38</v>
      </c>
      <c r="U4193" s="3" t="s">
        <v>39</v>
      </c>
      <c r="V4193" s="3">
        <v>231.54</v>
      </c>
      <c r="W4193" s="3">
        <v>98.4</v>
      </c>
      <c r="X4193" s="3">
        <v>93.19</v>
      </c>
      <c r="Y4193" s="3">
        <v>39.950000000000003</v>
      </c>
    </row>
    <row r="4194" spans="1:25" ht="36.75" x14ac:dyDescent="0.25">
      <c r="A4194" s="3" t="s">
        <v>26</v>
      </c>
      <c r="B4194" s="3" t="s">
        <v>27</v>
      </c>
      <c r="C4194" s="3" t="s">
        <v>28</v>
      </c>
      <c r="D4194" s="3" t="s">
        <v>29</v>
      </c>
      <c r="E4194" s="3" t="s">
        <v>1975</v>
      </c>
      <c r="F4194" s="3" t="s">
        <v>31</v>
      </c>
      <c r="G4194" s="3" t="s">
        <v>1975</v>
      </c>
      <c r="H4194" s="3" t="s">
        <v>32</v>
      </c>
      <c r="I4194" s="3">
        <v>2025</v>
      </c>
      <c r="J4194" s="3" t="str">
        <f>CONCATENATE("54810716727")</f>
        <v>54810716727</v>
      </c>
      <c r="K4194" s="3" t="s">
        <v>33</v>
      </c>
      <c r="L4194" s="3"/>
      <c r="M4194" s="3" t="s">
        <v>86</v>
      </c>
      <c r="N4194" s="3" t="str">
        <f>CONCATENATE("01988400436")</f>
        <v>01988400436</v>
      </c>
      <c r="O4194" s="3" t="s">
        <v>2276</v>
      </c>
      <c r="P4194" s="3" t="s">
        <v>36</v>
      </c>
      <c r="Q4194" s="3"/>
      <c r="R4194" s="4">
        <v>45995</v>
      </c>
      <c r="S4194" s="3" t="s">
        <v>37</v>
      </c>
      <c r="T4194" s="3" t="s">
        <v>38</v>
      </c>
      <c r="U4194" s="3" t="s">
        <v>39</v>
      </c>
      <c r="V4194" s="3">
        <v>181.62</v>
      </c>
      <c r="W4194" s="3">
        <v>77.19</v>
      </c>
      <c r="X4194" s="3">
        <v>73.099999999999994</v>
      </c>
      <c r="Y4194" s="3">
        <v>31.33</v>
      </c>
    </row>
    <row r="4195" spans="1:25" ht="36.75" x14ac:dyDescent="0.25">
      <c r="A4195" s="3" t="s">
        <v>26</v>
      </c>
      <c r="B4195" s="3" t="s">
        <v>27</v>
      </c>
      <c r="C4195" s="3" t="s">
        <v>28</v>
      </c>
      <c r="D4195" s="3" t="s">
        <v>29</v>
      </c>
      <c r="E4195" s="3" t="s">
        <v>4286</v>
      </c>
      <c r="F4195" s="3" t="s">
        <v>31</v>
      </c>
      <c r="G4195" s="3" t="s">
        <v>4286</v>
      </c>
      <c r="H4195" s="3" t="s">
        <v>96</v>
      </c>
      <c r="I4195" s="3">
        <v>2025</v>
      </c>
      <c r="J4195" s="3" t="str">
        <f>CONCATENATE("54810566452")</f>
        <v>54810566452</v>
      </c>
      <c r="K4195" s="3" t="s">
        <v>33</v>
      </c>
      <c r="L4195" s="3"/>
      <c r="M4195" s="3" t="s">
        <v>86</v>
      </c>
      <c r="N4195" s="3" t="str">
        <f>CONCATENATE("02329260448")</f>
        <v>02329260448</v>
      </c>
      <c r="O4195" s="3" t="s">
        <v>4287</v>
      </c>
      <c r="P4195" s="3" t="s">
        <v>36</v>
      </c>
      <c r="Q4195" s="3"/>
      <c r="R4195" s="4">
        <v>45995</v>
      </c>
      <c r="S4195" s="3" t="s">
        <v>37</v>
      </c>
      <c r="T4195" s="3" t="s">
        <v>38</v>
      </c>
      <c r="U4195" s="3" t="s">
        <v>39</v>
      </c>
      <c r="V4195" s="3">
        <v>95.7</v>
      </c>
      <c r="W4195" s="3">
        <v>40.67</v>
      </c>
      <c r="X4195" s="3">
        <v>38.520000000000003</v>
      </c>
      <c r="Y4195" s="3">
        <v>16.510000000000002</v>
      </c>
    </row>
    <row r="4196" spans="1:25" ht="36.75" x14ac:dyDescent="0.25">
      <c r="A4196" s="3" t="s">
        <v>26</v>
      </c>
      <c r="B4196" s="3" t="s">
        <v>27</v>
      </c>
      <c r="C4196" s="3" t="s">
        <v>28</v>
      </c>
      <c r="D4196" s="3" t="s">
        <v>50</v>
      </c>
      <c r="E4196" s="3" t="s">
        <v>163</v>
      </c>
      <c r="F4196" s="3" t="s">
        <v>52</v>
      </c>
      <c r="G4196" s="3" t="s">
        <v>163</v>
      </c>
      <c r="H4196" s="3" t="s">
        <v>96</v>
      </c>
      <c r="I4196" s="3">
        <v>2025</v>
      </c>
      <c r="J4196" s="3" t="str">
        <f>CONCATENATE("54811244885")</f>
        <v>54811244885</v>
      </c>
      <c r="K4196" s="3" t="s">
        <v>33</v>
      </c>
      <c r="L4196" s="3"/>
      <c r="M4196" s="3" t="s">
        <v>86</v>
      </c>
      <c r="N4196" s="3" t="str">
        <f>CONCATENATE("02164470441")</f>
        <v>02164470441</v>
      </c>
      <c r="O4196" s="3" t="s">
        <v>3807</v>
      </c>
      <c r="P4196" s="3" t="s">
        <v>36</v>
      </c>
      <c r="Q4196" s="3"/>
      <c r="R4196" s="4">
        <v>45995</v>
      </c>
      <c r="S4196" s="3" t="s">
        <v>37</v>
      </c>
      <c r="T4196" s="3" t="s">
        <v>38</v>
      </c>
      <c r="U4196" s="3" t="s">
        <v>39</v>
      </c>
      <c r="V4196" s="3">
        <v>610.87</v>
      </c>
      <c r="W4196" s="3">
        <v>259.62</v>
      </c>
      <c r="X4196" s="3">
        <v>245.88</v>
      </c>
      <c r="Y4196" s="3">
        <v>105.37</v>
      </c>
    </row>
    <row r="4197" spans="1:25" ht="36.75" x14ac:dyDescent="0.25">
      <c r="A4197" s="3" t="s">
        <v>26</v>
      </c>
      <c r="B4197" s="3" t="s">
        <v>27</v>
      </c>
      <c r="C4197" s="3" t="s">
        <v>28</v>
      </c>
      <c r="D4197" s="3" t="s">
        <v>29</v>
      </c>
      <c r="E4197" s="3" t="s">
        <v>125</v>
      </c>
      <c r="F4197" s="3" t="s">
        <v>31</v>
      </c>
      <c r="G4197" s="3" t="s">
        <v>125</v>
      </c>
      <c r="H4197" s="3" t="s">
        <v>32</v>
      </c>
      <c r="I4197" s="3">
        <v>2025</v>
      </c>
      <c r="J4197" s="3" t="str">
        <f>CONCATENATE("54810161783")</f>
        <v>54810161783</v>
      </c>
      <c r="K4197" s="3" t="s">
        <v>33</v>
      </c>
      <c r="L4197" s="3"/>
      <c r="M4197" s="3" t="s">
        <v>86</v>
      </c>
      <c r="N4197" s="3" t="str">
        <f>CONCATENATE("01588080430")</f>
        <v>01588080430</v>
      </c>
      <c r="O4197" s="3" t="s">
        <v>4288</v>
      </c>
      <c r="P4197" s="3" t="s">
        <v>36</v>
      </c>
      <c r="Q4197" s="3"/>
      <c r="R4197" s="4">
        <v>45995</v>
      </c>
      <c r="S4197" s="3" t="s">
        <v>37</v>
      </c>
      <c r="T4197" s="3" t="s">
        <v>38</v>
      </c>
      <c r="U4197" s="3" t="s">
        <v>39</v>
      </c>
      <c r="V4197" s="3">
        <v>44.77</v>
      </c>
      <c r="W4197" s="3">
        <v>19.03</v>
      </c>
      <c r="X4197" s="3">
        <v>18.02</v>
      </c>
      <c r="Y4197" s="3">
        <v>7.72</v>
      </c>
    </row>
    <row r="4198" spans="1:25" ht="60.75" x14ac:dyDescent="0.25">
      <c r="A4198" s="3" t="s">
        <v>26</v>
      </c>
      <c r="B4198" s="3" t="s">
        <v>27</v>
      </c>
      <c r="C4198" s="3" t="s">
        <v>28</v>
      </c>
      <c r="D4198" s="3" t="s">
        <v>40</v>
      </c>
      <c r="E4198" s="3" t="s">
        <v>99</v>
      </c>
      <c r="F4198" s="3" t="s">
        <v>42</v>
      </c>
      <c r="G4198" s="3" t="s">
        <v>99</v>
      </c>
      <c r="H4198" s="3" t="s">
        <v>32</v>
      </c>
      <c r="I4198" s="3">
        <v>2025</v>
      </c>
      <c r="J4198" s="3" t="str">
        <f>CONCATENATE("54811401469")</f>
        <v>54811401469</v>
      </c>
      <c r="K4198" s="3" t="s">
        <v>33</v>
      </c>
      <c r="L4198" s="3"/>
      <c r="M4198" s="3" t="s">
        <v>86</v>
      </c>
      <c r="N4198" s="3" t="str">
        <f>CONCATENATE("CCCFRC95R05B474W")</f>
        <v>CCCFRC95R05B474W</v>
      </c>
      <c r="O4198" s="3" t="s">
        <v>4289</v>
      </c>
      <c r="P4198" s="3" t="s">
        <v>36</v>
      </c>
      <c r="Q4198" s="3"/>
      <c r="R4198" s="4">
        <v>45995</v>
      </c>
      <c r="S4198" s="3" t="s">
        <v>37</v>
      </c>
      <c r="T4198" s="3" t="s">
        <v>38</v>
      </c>
      <c r="U4198" s="3" t="s">
        <v>39</v>
      </c>
      <c r="V4198" s="3">
        <v>24.73</v>
      </c>
      <c r="W4198" s="3">
        <v>10.51</v>
      </c>
      <c r="X4198" s="3">
        <v>9.9499999999999993</v>
      </c>
      <c r="Y4198" s="3">
        <v>4.2699999999999996</v>
      </c>
    </row>
    <row r="4199" spans="1:25" ht="36.75" x14ac:dyDescent="0.25">
      <c r="A4199" s="3" t="s">
        <v>26</v>
      </c>
      <c r="B4199" s="3" t="s">
        <v>27</v>
      </c>
      <c r="C4199" s="3" t="s">
        <v>28</v>
      </c>
      <c r="D4199" s="3" t="s">
        <v>40</v>
      </c>
      <c r="E4199" s="3" t="s">
        <v>44</v>
      </c>
      <c r="F4199" s="3" t="s">
        <v>42</v>
      </c>
      <c r="G4199" s="3" t="s">
        <v>44</v>
      </c>
      <c r="H4199" s="3" t="s">
        <v>32</v>
      </c>
      <c r="I4199" s="3">
        <v>2025</v>
      </c>
      <c r="J4199" s="3" t="str">
        <f>CONCATENATE("54810417433")</f>
        <v>54810417433</v>
      </c>
      <c r="K4199" s="3" t="s">
        <v>33</v>
      </c>
      <c r="L4199" s="3"/>
      <c r="M4199" s="3" t="s">
        <v>86</v>
      </c>
      <c r="N4199" s="3" t="str">
        <f>CONCATENATE("01913780431")</f>
        <v>01913780431</v>
      </c>
      <c r="O4199" s="3" t="s">
        <v>4238</v>
      </c>
      <c r="P4199" s="3" t="s">
        <v>36</v>
      </c>
      <c r="Q4199" s="3"/>
      <c r="R4199" s="4">
        <v>45995</v>
      </c>
      <c r="S4199" s="3" t="s">
        <v>37</v>
      </c>
      <c r="T4199" s="3" t="s">
        <v>38</v>
      </c>
      <c r="U4199" s="3" t="s">
        <v>39</v>
      </c>
      <c r="V4199" s="3">
        <v>222.82</v>
      </c>
      <c r="W4199" s="3">
        <v>94.7</v>
      </c>
      <c r="X4199" s="3">
        <v>89.69</v>
      </c>
      <c r="Y4199" s="3">
        <v>38.43</v>
      </c>
    </row>
    <row r="4200" spans="1:25" ht="72.75" x14ac:dyDescent="0.25">
      <c r="A4200" s="3" t="s">
        <v>26</v>
      </c>
      <c r="B4200" s="3" t="s">
        <v>27</v>
      </c>
      <c r="C4200" s="3" t="s">
        <v>28</v>
      </c>
      <c r="D4200" s="3" t="s">
        <v>29</v>
      </c>
      <c r="E4200" s="3" t="s">
        <v>125</v>
      </c>
      <c r="F4200" s="3" t="s">
        <v>31</v>
      </c>
      <c r="G4200" s="3" t="s">
        <v>125</v>
      </c>
      <c r="H4200" s="3" t="s">
        <v>32</v>
      </c>
      <c r="I4200" s="3">
        <v>2025</v>
      </c>
      <c r="J4200" s="3" t="str">
        <f>CONCATENATE("54810320967")</f>
        <v>54810320967</v>
      </c>
      <c r="K4200" s="3" t="s">
        <v>33</v>
      </c>
      <c r="L4200" s="3"/>
      <c r="M4200" s="3" t="s">
        <v>86</v>
      </c>
      <c r="N4200" s="3" t="str">
        <f>CONCATENATE("TRDMGR35P43E388Q")</f>
        <v>TRDMGR35P43E388Q</v>
      </c>
      <c r="O4200" s="3" t="s">
        <v>4290</v>
      </c>
      <c r="P4200" s="3" t="s">
        <v>36</v>
      </c>
      <c r="Q4200" s="3"/>
      <c r="R4200" s="4">
        <v>45995</v>
      </c>
      <c r="S4200" s="3" t="s">
        <v>37</v>
      </c>
      <c r="T4200" s="3" t="s">
        <v>38</v>
      </c>
      <c r="U4200" s="3" t="s">
        <v>39</v>
      </c>
      <c r="V4200" s="3">
        <v>16.68</v>
      </c>
      <c r="W4200" s="3">
        <v>7.09</v>
      </c>
      <c r="X4200" s="3">
        <v>6.71</v>
      </c>
      <c r="Y4200" s="3">
        <v>2.88</v>
      </c>
    </row>
    <row r="4201" spans="1:25" ht="36.75" x14ac:dyDescent="0.25">
      <c r="A4201" s="3" t="s">
        <v>26</v>
      </c>
      <c r="B4201" s="3" t="s">
        <v>27</v>
      </c>
      <c r="C4201" s="3" t="s">
        <v>28</v>
      </c>
      <c r="D4201" s="3" t="s">
        <v>40</v>
      </c>
      <c r="E4201" s="3" t="s">
        <v>44</v>
      </c>
      <c r="F4201" s="3" t="s">
        <v>42</v>
      </c>
      <c r="G4201" s="3" t="s">
        <v>44</v>
      </c>
      <c r="H4201" s="3" t="s">
        <v>32</v>
      </c>
      <c r="I4201" s="3">
        <v>2025</v>
      </c>
      <c r="J4201" s="3" t="str">
        <f>CONCATENATE("54810047453")</f>
        <v>54810047453</v>
      </c>
      <c r="K4201" s="3" t="s">
        <v>33</v>
      </c>
      <c r="L4201" s="3"/>
      <c r="M4201" s="3" t="s">
        <v>86</v>
      </c>
      <c r="N4201" s="3" t="str">
        <f>CONCATENATE("01913730436")</f>
        <v>01913730436</v>
      </c>
      <c r="O4201" s="3" t="s">
        <v>3287</v>
      </c>
      <c r="P4201" s="3" t="s">
        <v>36</v>
      </c>
      <c r="Q4201" s="3"/>
      <c r="R4201" s="4">
        <v>45995</v>
      </c>
      <c r="S4201" s="3" t="s">
        <v>37</v>
      </c>
      <c r="T4201" s="3" t="s">
        <v>38</v>
      </c>
      <c r="U4201" s="3" t="s">
        <v>39</v>
      </c>
      <c r="V4201" s="3">
        <v>118.6</v>
      </c>
      <c r="W4201" s="3">
        <v>50.41</v>
      </c>
      <c r="X4201" s="3">
        <v>47.74</v>
      </c>
      <c r="Y4201" s="3">
        <v>20.45</v>
      </c>
    </row>
    <row r="4202" spans="1:25" ht="36.75" x14ac:dyDescent="0.25">
      <c r="A4202" s="3" t="s">
        <v>26</v>
      </c>
      <c r="B4202" s="3" t="s">
        <v>27</v>
      </c>
      <c r="C4202" s="3" t="s">
        <v>28</v>
      </c>
      <c r="D4202" s="3" t="s">
        <v>29</v>
      </c>
      <c r="E4202" s="3" t="s">
        <v>119</v>
      </c>
      <c r="F4202" s="3" t="s">
        <v>31</v>
      </c>
      <c r="G4202" s="3" t="s">
        <v>119</v>
      </c>
      <c r="H4202" s="3" t="s">
        <v>96</v>
      </c>
      <c r="I4202" s="3">
        <v>2025</v>
      </c>
      <c r="J4202" s="3" t="str">
        <f>CONCATENATE("54810210648")</f>
        <v>54810210648</v>
      </c>
      <c r="K4202" s="3" t="s">
        <v>33</v>
      </c>
      <c r="L4202" s="3"/>
      <c r="M4202" s="3" t="s">
        <v>86</v>
      </c>
      <c r="N4202" s="3" t="str">
        <f>CONCATENATE("01688440443")</f>
        <v>01688440443</v>
      </c>
      <c r="O4202" s="3" t="s">
        <v>4291</v>
      </c>
      <c r="P4202" s="3" t="s">
        <v>36</v>
      </c>
      <c r="Q4202" s="3"/>
      <c r="R4202" s="4">
        <v>45995</v>
      </c>
      <c r="S4202" s="3" t="s">
        <v>37</v>
      </c>
      <c r="T4202" s="3" t="s">
        <v>38</v>
      </c>
      <c r="U4202" s="3" t="s">
        <v>39</v>
      </c>
      <c r="V4202" s="3">
        <v>340.67</v>
      </c>
      <c r="W4202" s="3">
        <v>144.78</v>
      </c>
      <c r="X4202" s="3">
        <v>137.12</v>
      </c>
      <c r="Y4202" s="3">
        <v>58.77</v>
      </c>
    </row>
    <row r="4203" spans="1:25" ht="36.75" x14ac:dyDescent="0.25">
      <c r="A4203" s="3" t="s">
        <v>26</v>
      </c>
      <c r="B4203" s="3" t="s">
        <v>27</v>
      </c>
      <c r="C4203" s="3" t="s">
        <v>28</v>
      </c>
      <c r="D4203" s="3" t="s">
        <v>29</v>
      </c>
      <c r="E4203" s="3" t="s">
        <v>403</v>
      </c>
      <c r="F4203" s="3" t="s">
        <v>31</v>
      </c>
      <c r="G4203" s="3" t="s">
        <v>403</v>
      </c>
      <c r="H4203" s="3" t="s">
        <v>96</v>
      </c>
      <c r="I4203" s="3">
        <v>2025</v>
      </c>
      <c r="J4203" s="3" t="str">
        <f>CONCATENATE("54810750304")</f>
        <v>54810750304</v>
      </c>
      <c r="K4203" s="3" t="s">
        <v>33</v>
      </c>
      <c r="L4203" s="3"/>
      <c r="M4203" s="3" t="s">
        <v>86</v>
      </c>
      <c r="N4203" s="3" t="str">
        <f>CONCATENATE("02367360449")</f>
        <v>02367360449</v>
      </c>
      <c r="O4203" s="3" t="s">
        <v>4292</v>
      </c>
      <c r="P4203" s="3" t="s">
        <v>36</v>
      </c>
      <c r="Q4203" s="3"/>
      <c r="R4203" s="4">
        <v>45995</v>
      </c>
      <c r="S4203" s="3" t="s">
        <v>37</v>
      </c>
      <c r="T4203" s="3" t="s">
        <v>38</v>
      </c>
      <c r="U4203" s="3" t="s">
        <v>39</v>
      </c>
      <c r="V4203" s="3">
        <v>201.67</v>
      </c>
      <c r="W4203" s="3">
        <v>85.71</v>
      </c>
      <c r="X4203" s="3">
        <v>81.17</v>
      </c>
      <c r="Y4203" s="3">
        <v>34.79</v>
      </c>
    </row>
    <row r="4204" spans="1:25" ht="60.75" x14ac:dyDescent="0.25">
      <c r="A4204" s="3" t="s">
        <v>26</v>
      </c>
      <c r="B4204" s="3" t="s">
        <v>27</v>
      </c>
      <c r="C4204" s="3" t="s">
        <v>28</v>
      </c>
      <c r="D4204" s="3" t="s">
        <v>91</v>
      </c>
      <c r="E4204" s="3" t="s">
        <v>95</v>
      </c>
      <c r="F4204" s="3" t="s">
        <v>93</v>
      </c>
      <c r="G4204" s="3" t="s">
        <v>95</v>
      </c>
      <c r="H4204" s="3" t="s">
        <v>96</v>
      </c>
      <c r="I4204" s="3">
        <v>2025</v>
      </c>
      <c r="J4204" s="3" t="str">
        <f>CONCATENATE("54810209368")</f>
        <v>54810209368</v>
      </c>
      <c r="K4204" s="3" t="s">
        <v>33</v>
      </c>
      <c r="L4204" s="3"/>
      <c r="M4204" s="3" t="s">
        <v>86</v>
      </c>
      <c r="N4204" s="3" t="str">
        <f>CONCATENATE("CRDTRS63T48H501T")</f>
        <v>CRDTRS63T48H501T</v>
      </c>
      <c r="O4204" s="3" t="s">
        <v>4293</v>
      </c>
      <c r="P4204" s="3" t="s">
        <v>36</v>
      </c>
      <c r="Q4204" s="3"/>
      <c r="R4204" s="4">
        <v>45995</v>
      </c>
      <c r="S4204" s="3" t="s">
        <v>37</v>
      </c>
      <c r="T4204" s="3" t="s">
        <v>38</v>
      </c>
      <c r="U4204" s="3" t="s">
        <v>39</v>
      </c>
      <c r="V4204" s="3">
        <v>119.61</v>
      </c>
      <c r="W4204" s="3">
        <v>50.83</v>
      </c>
      <c r="X4204" s="3">
        <v>48.14</v>
      </c>
      <c r="Y4204" s="3">
        <v>20.64</v>
      </c>
    </row>
    <row r="4205" spans="1:25" ht="60.75" x14ac:dyDescent="0.25">
      <c r="A4205" s="3" t="s">
        <v>26</v>
      </c>
      <c r="B4205" s="3" t="s">
        <v>27</v>
      </c>
      <c r="C4205" s="3" t="s">
        <v>28</v>
      </c>
      <c r="D4205" s="3" t="s">
        <v>29</v>
      </c>
      <c r="E4205" s="3" t="s">
        <v>111</v>
      </c>
      <c r="F4205" s="3" t="s">
        <v>31</v>
      </c>
      <c r="G4205" s="3" t="s">
        <v>111</v>
      </c>
      <c r="H4205" s="3" t="s">
        <v>96</v>
      </c>
      <c r="I4205" s="3">
        <v>2025</v>
      </c>
      <c r="J4205" s="3" t="str">
        <f>CONCATENATE("54810234762")</f>
        <v>54810234762</v>
      </c>
      <c r="K4205" s="3" t="s">
        <v>33</v>
      </c>
      <c r="L4205" s="3"/>
      <c r="M4205" s="3" t="s">
        <v>86</v>
      </c>
      <c r="N4205" s="3" t="str">
        <f>CONCATENATE("BRDRSN69E12D542A")</f>
        <v>BRDRSN69E12D542A</v>
      </c>
      <c r="O4205" s="3" t="s">
        <v>4294</v>
      </c>
      <c r="P4205" s="3" t="s">
        <v>36</v>
      </c>
      <c r="Q4205" s="3"/>
      <c r="R4205" s="4">
        <v>45995</v>
      </c>
      <c r="S4205" s="3" t="s">
        <v>37</v>
      </c>
      <c r="T4205" s="3" t="s">
        <v>38</v>
      </c>
      <c r="U4205" s="3" t="s">
        <v>39</v>
      </c>
      <c r="V4205" s="3">
        <v>32.090000000000003</v>
      </c>
      <c r="W4205" s="3">
        <v>13.64</v>
      </c>
      <c r="X4205" s="3">
        <v>12.92</v>
      </c>
      <c r="Y4205" s="3">
        <v>5.53</v>
      </c>
    </row>
    <row r="4206" spans="1:25" ht="60.75" x14ac:dyDescent="0.25">
      <c r="A4206" s="3" t="s">
        <v>26</v>
      </c>
      <c r="B4206" s="3" t="s">
        <v>27</v>
      </c>
      <c r="C4206" s="3" t="s">
        <v>28</v>
      </c>
      <c r="D4206" s="3" t="s">
        <v>29</v>
      </c>
      <c r="E4206" s="3" t="s">
        <v>233</v>
      </c>
      <c r="F4206" s="3" t="s">
        <v>31</v>
      </c>
      <c r="G4206" s="3" t="s">
        <v>233</v>
      </c>
      <c r="H4206" s="3" t="s">
        <v>96</v>
      </c>
      <c r="I4206" s="3">
        <v>2025</v>
      </c>
      <c r="J4206" s="3" t="str">
        <f>CONCATENATE("54810103686")</f>
        <v>54810103686</v>
      </c>
      <c r="K4206" s="3" t="s">
        <v>33</v>
      </c>
      <c r="L4206" s="3"/>
      <c r="M4206" s="3" t="s">
        <v>86</v>
      </c>
      <c r="N4206" s="3" t="str">
        <f>CONCATENATE("CCCCST68R01A462S")</f>
        <v>CCCCST68R01A462S</v>
      </c>
      <c r="O4206" s="3" t="s">
        <v>4295</v>
      </c>
      <c r="P4206" s="3" t="s">
        <v>36</v>
      </c>
      <c r="Q4206" s="3"/>
      <c r="R4206" s="4">
        <v>45995</v>
      </c>
      <c r="S4206" s="3" t="s">
        <v>37</v>
      </c>
      <c r="T4206" s="3" t="s">
        <v>38</v>
      </c>
      <c r="U4206" s="3" t="s">
        <v>39</v>
      </c>
      <c r="V4206" s="3">
        <v>318.89999999999998</v>
      </c>
      <c r="W4206" s="3">
        <v>135.53</v>
      </c>
      <c r="X4206" s="3">
        <v>128.36000000000001</v>
      </c>
      <c r="Y4206" s="3">
        <v>55.01</v>
      </c>
    </row>
    <row r="4207" spans="1:25" ht="36.75" x14ac:dyDescent="0.25">
      <c r="A4207" s="3" t="s">
        <v>26</v>
      </c>
      <c r="B4207" s="3" t="s">
        <v>27</v>
      </c>
      <c r="C4207" s="3" t="s">
        <v>28</v>
      </c>
      <c r="D4207" s="3" t="s">
        <v>91</v>
      </c>
      <c r="E4207" s="3" t="s">
        <v>92</v>
      </c>
      <c r="F4207" s="3" t="s">
        <v>93</v>
      </c>
      <c r="G4207" s="3" t="s">
        <v>92</v>
      </c>
      <c r="H4207" s="3" t="s">
        <v>48</v>
      </c>
      <c r="I4207" s="3">
        <v>2025</v>
      </c>
      <c r="J4207" s="3" t="str">
        <f>CONCATENATE("54810207412")</f>
        <v>54810207412</v>
      </c>
      <c r="K4207" s="3" t="s">
        <v>33</v>
      </c>
      <c r="L4207" s="3"/>
      <c r="M4207" s="3" t="s">
        <v>86</v>
      </c>
      <c r="N4207" s="3" t="str">
        <f>CONCATENATE("02957610427")</f>
        <v>02957610427</v>
      </c>
      <c r="O4207" s="3" t="s">
        <v>116</v>
      </c>
      <c r="P4207" s="3" t="s">
        <v>36</v>
      </c>
      <c r="Q4207" s="3"/>
      <c r="R4207" s="4">
        <v>45995</v>
      </c>
      <c r="S4207" s="3" t="s">
        <v>37</v>
      </c>
      <c r="T4207" s="3" t="s">
        <v>38</v>
      </c>
      <c r="U4207" s="3" t="s">
        <v>39</v>
      </c>
      <c r="V4207" s="3">
        <v>98.12</v>
      </c>
      <c r="W4207" s="3">
        <v>41.7</v>
      </c>
      <c r="X4207" s="3">
        <v>39.49</v>
      </c>
      <c r="Y4207" s="3">
        <v>16.93</v>
      </c>
    </row>
    <row r="4208" spans="1:25" ht="60.75" x14ac:dyDescent="0.25">
      <c r="A4208" s="3" t="s">
        <v>26</v>
      </c>
      <c r="B4208" s="3" t="s">
        <v>27</v>
      </c>
      <c r="C4208" s="3" t="s">
        <v>28</v>
      </c>
      <c r="D4208" s="3" t="s">
        <v>50</v>
      </c>
      <c r="E4208" s="3" t="s">
        <v>212</v>
      </c>
      <c r="F4208" s="3" t="s">
        <v>52</v>
      </c>
      <c r="G4208" s="3" t="s">
        <v>212</v>
      </c>
      <c r="H4208" s="3" t="s">
        <v>32</v>
      </c>
      <c r="I4208" s="3">
        <v>2025</v>
      </c>
      <c r="J4208" s="3" t="str">
        <f>CONCATENATE("54810273521")</f>
        <v>54810273521</v>
      </c>
      <c r="K4208" s="3" t="s">
        <v>33</v>
      </c>
      <c r="L4208" s="3"/>
      <c r="M4208" s="3" t="s">
        <v>86</v>
      </c>
      <c r="N4208" s="3" t="str">
        <f>CONCATENATE("BLLMLA71A30I156E")</f>
        <v>BLLMLA71A30I156E</v>
      </c>
      <c r="O4208" s="3" t="s">
        <v>4296</v>
      </c>
      <c r="P4208" s="3" t="s">
        <v>36</v>
      </c>
      <c r="Q4208" s="3"/>
      <c r="R4208" s="4">
        <v>45995</v>
      </c>
      <c r="S4208" s="3" t="s">
        <v>37</v>
      </c>
      <c r="T4208" s="3" t="s">
        <v>38</v>
      </c>
      <c r="U4208" s="3" t="s">
        <v>39</v>
      </c>
      <c r="V4208" s="3">
        <v>193.32</v>
      </c>
      <c r="W4208" s="3">
        <v>82.16</v>
      </c>
      <c r="X4208" s="3">
        <v>77.81</v>
      </c>
      <c r="Y4208" s="3">
        <v>33.35</v>
      </c>
    </row>
    <row r="4209" spans="1:25" ht="60.75" x14ac:dyDescent="0.25">
      <c r="A4209" s="3" t="s">
        <v>26</v>
      </c>
      <c r="B4209" s="3" t="s">
        <v>27</v>
      </c>
      <c r="C4209" s="3" t="s">
        <v>28</v>
      </c>
      <c r="D4209" s="3" t="s">
        <v>40</v>
      </c>
      <c r="E4209" s="3" t="s">
        <v>99</v>
      </c>
      <c r="F4209" s="3" t="s">
        <v>42</v>
      </c>
      <c r="G4209" s="3" t="s">
        <v>99</v>
      </c>
      <c r="H4209" s="3" t="s">
        <v>32</v>
      </c>
      <c r="I4209" s="3">
        <v>2025</v>
      </c>
      <c r="J4209" s="3" t="str">
        <f>CONCATENATE("54810523461")</f>
        <v>54810523461</v>
      </c>
      <c r="K4209" s="3" t="s">
        <v>33</v>
      </c>
      <c r="L4209" s="3"/>
      <c r="M4209" s="3" t="s">
        <v>86</v>
      </c>
      <c r="N4209" s="3" t="str">
        <f>CONCATENATE("VSSMRK77B15L191Y")</f>
        <v>VSSMRK77B15L191Y</v>
      </c>
      <c r="O4209" s="3" t="s">
        <v>4297</v>
      </c>
      <c r="P4209" s="3" t="s">
        <v>36</v>
      </c>
      <c r="Q4209" s="3"/>
      <c r="R4209" s="4">
        <v>45995</v>
      </c>
      <c r="S4209" s="3" t="s">
        <v>37</v>
      </c>
      <c r="T4209" s="3" t="s">
        <v>38</v>
      </c>
      <c r="U4209" s="3" t="s">
        <v>39</v>
      </c>
      <c r="V4209" s="3">
        <v>30.13</v>
      </c>
      <c r="W4209" s="3">
        <v>12.81</v>
      </c>
      <c r="X4209" s="3">
        <v>12.13</v>
      </c>
      <c r="Y4209" s="3">
        <v>5.19</v>
      </c>
    </row>
    <row r="4210" spans="1:25" ht="60.75" x14ac:dyDescent="0.25">
      <c r="A4210" s="3" t="s">
        <v>26</v>
      </c>
      <c r="B4210" s="3" t="s">
        <v>27</v>
      </c>
      <c r="C4210" s="3" t="s">
        <v>28</v>
      </c>
      <c r="D4210" s="3" t="s">
        <v>157</v>
      </c>
      <c r="E4210" s="3" t="s">
        <v>310</v>
      </c>
      <c r="F4210" s="3" t="s">
        <v>159</v>
      </c>
      <c r="G4210" s="3" t="s">
        <v>310</v>
      </c>
      <c r="H4210" s="3" t="s">
        <v>96</v>
      </c>
      <c r="I4210" s="3">
        <v>2025</v>
      </c>
      <c r="J4210" s="3" t="str">
        <f>CONCATENATE("54810815487")</f>
        <v>54810815487</v>
      </c>
      <c r="K4210" s="3" t="s">
        <v>33</v>
      </c>
      <c r="L4210" s="3"/>
      <c r="M4210" s="3" t="s">
        <v>86</v>
      </c>
      <c r="N4210" s="3" t="str">
        <f>CONCATENATE("VTISMN91C08C770O")</f>
        <v>VTISMN91C08C770O</v>
      </c>
      <c r="O4210" s="3" t="s">
        <v>4298</v>
      </c>
      <c r="P4210" s="3" t="s">
        <v>36</v>
      </c>
      <c r="Q4210" s="3"/>
      <c r="R4210" s="4">
        <v>45995</v>
      </c>
      <c r="S4210" s="3" t="s">
        <v>37</v>
      </c>
      <c r="T4210" s="3" t="s">
        <v>38</v>
      </c>
      <c r="U4210" s="3" t="s">
        <v>39</v>
      </c>
      <c r="V4210" s="3">
        <v>264.77</v>
      </c>
      <c r="W4210" s="3">
        <v>112.53</v>
      </c>
      <c r="X4210" s="3">
        <v>106.57</v>
      </c>
      <c r="Y4210" s="3">
        <v>45.67</v>
      </c>
    </row>
    <row r="4211" spans="1:25" ht="60.75" x14ac:dyDescent="0.25">
      <c r="A4211" s="3" t="s">
        <v>26</v>
      </c>
      <c r="B4211" s="3" t="s">
        <v>27</v>
      </c>
      <c r="C4211" s="3" t="s">
        <v>28</v>
      </c>
      <c r="D4211" s="3" t="s">
        <v>104</v>
      </c>
      <c r="E4211" s="3" t="s">
        <v>1726</v>
      </c>
      <c r="F4211" s="3" t="s">
        <v>104</v>
      </c>
      <c r="G4211" s="3" t="s">
        <v>1726</v>
      </c>
      <c r="H4211" s="3" t="s">
        <v>48</v>
      </c>
      <c r="I4211" s="3">
        <v>2025</v>
      </c>
      <c r="J4211" s="3" t="str">
        <f>CONCATENATE("54810400587")</f>
        <v>54810400587</v>
      </c>
      <c r="K4211" s="3" t="s">
        <v>33</v>
      </c>
      <c r="L4211" s="3"/>
      <c r="M4211" s="3" t="s">
        <v>86</v>
      </c>
      <c r="N4211" s="3" t="str">
        <f>CONCATENATE("GNNGRG89D13A271T")</f>
        <v>GNNGRG89D13A271T</v>
      </c>
      <c r="O4211" s="3" t="s">
        <v>4299</v>
      </c>
      <c r="P4211" s="3" t="s">
        <v>36</v>
      </c>
      <c r="Q4211" s="3"/>
      <c r="R4211" s="4">
        <v>45995</v>
      </c>
      <c r="S4211" s="3" t="s">
        <v>37</v>
      </c>
      <c r="T4211" s="3" t="s">
        <v>38</v>
      </c>
      <c r="U4211" s="3" t="s">
        <v>39</v>
      </c>
      <c r="V4211" s="3">
        <v>314.81</v>
      </c>
      <c r="W4211" s="3">
        <v>133.79</v>
      </c>
      <c r="X4211" s="3">
        <v>126.71</v>
      </c>
      <c r="Y4211" s="3">
        <v>54.31</v>
      </c>
    </row>
    <row r="4212" spans="1:25" ht="72.75" x14ac:dyDescent="0.25">
      <c r="A4212" s="3" t="s">
        <v>26</v>
      </c>
      <c r="B4212" s="3" t="s">
        <v>27</v>
      </c>
      <c r="C4212" s="3" t="s">
        <v>28</v>
      </c>
      <c r="D4212" s="3" t="s">
        <v>29</v>
      </c>
      <c r="E4212" s="3" t="s">
        <v>111</v>
      </c>
      <c r="F4212" s="3" t="s">
        <v>31</v>
      </c>
      <c r="G4212" s="3" t="s">
        <v>111</v>
      </c>
      <c r="H4212" s="3" t="s">
        <v>96</v>
      </c>
      <c r="I4212" s="3">
        <v>2025</v>
      </c>
      <c r="J4212" s="3" t="str">
        <f>CONCATENATE("54810449220")</f>
        <v>54810449220</v>
      </c>
      <c r="K4212" s="3" t="s">
        <v>33</v>
      </c>
      <c r="L4212" s="3"/>
      <c r="M4212" s="3" t="s">
        <v>86</v>
      </c>
      <c r="N4212" s="3" t="str">
        <f>CONCATENATE("REXGPP34M56H501A")</f>
        <v>REXGPP34M56H501A</v>
      </c>
      <c r="O4212" s="3" t="s">
        <v>4300</v>
      </c>
      <c r="P4212" s="3" t="s">
        <v>36</v>
      </c>
      <c r="Q4212" s="3"/>
      <c r="R4212" s="4">
        <v>45995</v>
      </c>
      <c r="S4212" s="3" t="s">
        <v>37</v>
      </c>
      <c r="T4212" s="3" t="s">
        <v>38</v>
      </c>
      <c r="U4212" s="3" t="s">
        <v>39</v>
      </c>
      <c r="V4212" s="3">
        <v>146.1</v>
      </c>
      <c r="W4212" s="3">
        <v>62.09</v>
      </c>
      <c r="X4212" s="3">
        <v>58.81</v>
      </c>
      <c r="Y4212" s="3">
        <v>25.2</v>
      </c>
    </row>
    <row r="4213" spans="1:25" ht="36.75" x14ac:dyDescent="0.25">
      <c r="A4213" s="3" t="s">
        <v>26</v>
      </c>
      <c r="B4213" s="3" t="s">
        <v>27</v>
      </c>
      <c r="C4213" s="3" t="s">
        <v>28</v>
      </c>
      <c r="D4213" s="3" t="s">
        <v>312</v>
      </c>
      <c r="E4213" s="3" t="s">
        <v>313</v>
      </c>
      <c r="F4213" s="3" t="s">
        <v>314</v>
      </c>
      <c r="G4213" s="3" t="s">
        <v>313</v>
      </c>
      <c r="H4213" s="3" t="s">
        <v>96</v>
      </c>
      <c r="I4213" s="3">
        <v>2025</v>
      </c>
      <c r="J4213" s="3" t="str">
        <f>CONCATENATE("54810909678")</f>
        <v>54810909678</v>
      </c>
      <c r="K4213" s="3" t="s">
        <v>33</v>
      </c>
      <c r="L4213" s="3"/>
      <c r="M4213" s="3" t="s">
        <v>86</v>
      </c>
      <c r="N4213" s="3" t="str">
        <f>CONCATENATE("02240270443")</f>
        <v>02240270443</v>
      </c>
      <c r="O4213" s="3" t="s">
        <v>4301</v>
      </c>
      <c r="P4213" s="3" t="s">
        <v>36</v>
      </c>
      <c r="Q4213" s="3"/>
      <c r="R4213" s="4">
        <v>45995</v>
      </c>
      <c r="S4213" s="3" t="s">
        <v>37</v>
      </c>
      <c r="T4213" s="3" t="s">
        <v>38</v>
      </c>
      <c r="U4213" s="3" t="s">
        <v>39</v>
      </c>
      <c r="V4213" s="3">
        <v>109.16</v>
      </c>
      <c r="W4213" s="3">
        <v>46.39</v>
      </c>
      <c r="X4213" s="3">
        <v>43.94</v>
      </c>
      <c r="Y4213" s="3">
        <v>18.829999999999998</v>
      </c>
    </row>
    <row r="4214" spans="1:25" ht="36.75" x14ac:dyDescent="0.25">
      <c r="A4214" s="3" t="s">
        <v>26</v>
      </c>
      <c r="B4214" s="3" t="s">
        <v>27</v>
      </c>
      <c r="C4214" s="3" t="s">
        <v>28</v>
      </c>
      <c r="D4214" s="3" t="s">
        <v>91</v>
      </c>
      <c r="E4214" s="3" t="s">
        <v>151</v>
      </c>
      <c r="F4214" s="3" t="s">
        <v>93</v>
      </c>
      <c r="G4214" s="3" t="s">
        <v>151</v>
      </c>
      <c r="H4214" s="3" t="s">
        <v>45</v>
      </c>
      <c r="I4214" s="3">
        <v>2025</v>
      </c>
      <c r="J4214" s="3" t="str">
        <f>CONCATENATE("54810741626")</f>
        <v>54810741626</v>
      </c>
      <c r="K4214" s="3" t="s">
        <v>33</v>
      </c>
      <c r="L4214" s="3"/>
      <c r="M4214" s="3" t="s">
        <v>86</v>
      </c>
      <c r="N4214" s="3" t="str">
        <f>CONCATENATE("02788850416")</f>
        <v>02788850416</v>
      </c>
      <c r="O4214" s="3" t="s">
        <v>180</v>
      </c>
      <c r="P4214" s="3" t="s">
        <v>36</v>
      </c>
      <c r="Q4214" s="3"/>
      <c r="R4214" s="4">
        <v>45995</v>
      </c>
      <c r="S4214" s="3" t="s">
        <v>37</v>
      </c>
      <c r="T4214" s="3" t="s">
        <v>38</v>
      </c>
      <c r="U4214" s="3" t="s">
        <v>39</v>
      </c>
      <c r="V4214" s="3">
        <v>271.64</v>
      </c>
      <c r="W4214" s="3">
        <v>115.45</v>
      </c>
      <c r="X4214" s="3">
        <v>109.34</v>
      </c>
      <c r="Y4214" s="3">
        <v>46.85</v>
      </c>
    </row>
    <row r="4215" spans="1:25" ht="72.75" x14ac:dyDescent="0.25">
      <c r="A4215" s="3" t="s">
        <v>26</v>
      </c>
      <c r="B4215" s="3" t="s">
        <v>27</v>
      </c>
      <c r="C4215" s="3" t="s">
        <v>28</v>
      </c>
      <c r="D4215" s="3" t="s">
        <v>29</v>
      </c>
      <c r="E4215" s="3" t="s">
        <v>101</v>
      </c>
      <c r="F4215" s="3" t="s">
        <v>31</v>
      </c>
      <c r="G4215" s="3" t="s">
        <v>101</v>
      </c>
      <c r="H4215" s="3" t="s">
        <v>32</v>
      </c>
      <c r="I4215" s="3">
        <v>2025</v>
      </c>
      <c r="J4215" s="3" t="str">
        <f>CONCATENATE("54810981289")</f>
        <v>54810981289</v>
      </c>
      <c r="K4215" s="3" t="s">
        <v>33</v>
      </c>
      <c r="L4215" s="3"/>
      <c r="M4215" s="3" t="s">
        <v>86</v>
      </c>
      <c r="N4215" s="3" t="str">
        <f>CONCATENATE("SNTNMR53B51I651G")</f>
        <v>SNTNMR53B51I651G</v>
      </c>
      <c r="O4215" s="3" t="s">
        <v>2976</v>
      </c>
      <c r="P4215" s="3" t="s">
        <v>36</v>
      </c>
      <c r="Q4215" s="3"/>
      <c r="R4215" s="4">
        <v>45995</v>
      </c>
      <c r="S4215" s="3" t="s">
        <v>37</v>
      </c>
      <c r="T4215" s="3" t="s">
        <v>38</v>
      </c>
      <c r="U4215" s="3" t="s">
        <v>39</v>
      </c>
      <c r="V4215" s="3">
        <v>37.840000000000003</v>
      </c>
      <c r="W4215" s="3">
        <v>16.079999999999998</v>
      </c>
      <c r="X4215" s="3">
        <v>15.23</v>
      </c>
      <c r="Y4215" s="3">
        <v>6.53</v>
      </c>
    </row>
    <row r="4216" spans="1:25" ht="60.75" x14ac:dyDescent="0.25">
      <c r="A4216" s="3" t="s">
        <v>26</v>
      </c>
      <c r="B4216" s="3" t="s">
        <v>27</v>
      </c>
      <c r="C4216" s="3" t="s">
        <v>28</v>
      </c>
      <c r="D4216" s="3" t="s">
        <v>29</v>
      </c>
      <c r="E4216" s="3" t="s">
        <v>85</v>
      </c>
      <c r="F4216" s="3" t="s">
        <v>31</v>
      </c>
      <c r="G4216" s="3" t="s">
        <v>85</v>
      </c>
      <c r="H4216" s="3" t="s">
        <v>48</v>
      </c>
      <c r="I4216" s="3">
        <v>2025</v>
      </c>
      <c r="J4216" s="3" t="str">
        <f>CONCATENATE("54810059896")</f>
        <v>54810059896</v>
      </c>
      <c r="K4216" s="3" t="s">
        <v>33</v>
      </c>
      <c r="L4216" s="3"/>
      <c r="M4216" s="3" t="s">
        <v>86</v>
      </c>
      <c r="N4216" s="3" t="str">
        <f>CONCATENATE("PCRMTT81S03E388F")</f>
        <v>PCRMTT81S03E388F</v>
      </c>
      <c r="O4216" s="3" t="s">
        <v>4302</v>
      </c>
      <c r="P4216" s="3" t="s">
        <v>36</v>
      </c>
      <c r="Q4216" s="3"/>
      <c r="R4216" s="4">
        <v>45995</v>
      </c>
      <c r="S4216" s="3" t="s">
        <v>37</v>
      </c>
      <c r="T4216" s="3" t="s">
        <v>38</v>
      </c>
      <c r="U4216" s="3" t="s">
        <v>39</v>
      </c>
      <c r="V4216" s="3">
        <v>119.87</v>
      </c>
      <c r="W4216" s="3">
        <v>50.94</v>
      </c>
      <c r="X4216" s="3">
        <v>48.25</v>
      </c>
      <c r="Y4216" s="3">
        <v>20.68</v>
      </c>
    </row>
    <row r="4217" spans="1:25" ht="60.75" x14ac:dyDescent="0.25">
      <c r="A4217" s="3" t="s">
        <v>26</v>
      </c>
      <c r="B4217" s="3" t="s">
        <v>27</v>
      </c>
      <c r="C4217" s="3" t="s">
        <v>28</v>
      </c>
      <c r="D4217" s="3" t="s">
        <v>40</v>
      </c>
      <c r="E4217" s="3" t="s">
        <v>44</v>
      </c>
      <c r="F4217" s="3" t="s">
        <v>42</v>
      </c>
      <c r="G4217" s="3" t="s">
        <v>44</v>
      </c>
      <c r="H4217" s="3" t="s">
        <v>32</v>
      </c>
      <c r="I4217" s="3">
        <v>2025</v>
      </c>
      <c r="J4217" s="3" t="str">
        <f>CONCATENATE("54810128485")</f>
        <v>54810128485</v>
      </c>
      <c r="K4217" s="3" t="s">
        <v>33</v>
      </c>
      <c r="L4217" s="3"/>
      <c r="M4217" s="3" t="s">
        <v>86</v>
      </c>
      <c r="N4217" s="3" t="str">
        <f>CONCATENATE("SLVGNN58D26C886F")</f>
        <v>SLVGNN58D26C886F</v>
      </c>
      <c r="O4217" s="3" t="s">
        <v>4303</v>
      </c>
      <c r="P4217" s="3" t="s">
        <v>36</v>
      </c>
      <c r="Q4217" s="3"/>
      <c r="R4217" s="4">
        <v>45995</v>
      </c>
      <c r="S4217" s="3" t="s">
        <v>37</v>
      </c>
      <c r="T4217" s="3" t="s">
        <v>38</v>
      </c>
      <c r="U4217" s="3" t="s">
        <v>39</v>
      </c>
      <c r="V4217" s="3">
        <v>63.34</v>
      </c>
      <c r="W4217" s="3">
        <v>26.92</v>
      </c>
      <c r="X4217" s="3">
        <v>25.49</v>
      </c>
      <c r="Y4217" s="3">
        <v>10.93</v>
      </c>
    </row>
    <row r="4218" spans="1:25" ht="60.75" x14ac:dyDescent="0.25">
      <c r="A4218" s="3" t="s">
        <v>26</v>
      </c>
      <c r="B4218" s="3" t="s">
        <v>27</v>
      </c>
      <c r="C4218" s="3" t="s">
        <v>28</v>
      </c>
      <c r="D4218" s="3" t="s">
        <v>50</v>
      </c>
      <c r="E4218" s="3" t="s">
        <v>107</v>
      </c>
      <c r="F4218" s="3" t="s">
        <v>52</v>
      </c>
      <c r="G4218" s="3" t="s">
        <v>107</v>
      </c>
      <c r="H4218" s="3" t="s">
        <v>48</v>
      </c>
      <c r="I4218" s="3">
        <v>2025</v>
      </c>
      <c r="J4218" s="3" t="str">
        <f>CONCATENATE("54810186897")</f>
        <v>54810186897</v>
      </c>
      <c r="K4218" s="3" t="s">
        <v>33</v>
      </c>
      <c r="L4218" s="3"/>
      <c r="M4218" s="3" t="s">
        <v>86</v>
      </c>
      <c r="N4218" s="3" t="str">
        <f>CONCATENATE("FRTLRT54E03C248P")</f>
        <v>FRTLRT54E03C248P</v>
      </c>
      <c r="O4218" s="3" t="s">
        <v>4304</v>
      </c>
      <c r="P4218" s="3" t="s">
        <v>36</v>
      </c>
      <c r="Q4218" s="3"/>
      <c r="R4218" s="4">
        <v>45995</v>
      </c>
      <c r="S4218" s="3" t="s">
        <v>37</v>
      </c>
      <c r="T4218" s="3" t="s">
        <v>38</v>
      </c>
      <c r="U4218" s="3" t="s">
        <v>39</v>
      </c>
      <c r="V4218" s="3">
        <v>69.42</v>
      </c>
      <c r="W4218" s="3">
        <v>29.5</v>
      </c>
      <c r="X4218" s="3">
        <v>27.94</v>
      </c>
      <c r="Y4218" s="3">
        <v>11.98</v>
      </c>
    </row>
    <row r="4219" spans="1:25" ht="60.75" x14ac:dyDescent="0.25">
      <c r="A4219" s="3" t="s">
        <v>26</v>
      </c>
      <c r="B4219" s="3" t="s">
        <v>27</v>
      </c>
      <c r="C4219" s="3" t="s">
        <v>28</v>
      </c>
      <c r="D4219" s="3" t="s">
        <v>29</v>
      </c>
      <c r="E4219" s="3" t="s">
        <v>68</v>
      </c>
      <c r="F4219" s="3" t="s">
        <v>31</v>
      </c>
      <c r="G4219" s="3" t="s">
        <v>68</v>
      </c>
      <c r="H4219" s="3" t="s">
        <v>32</v>
      </c>
      <c r="I4219" s="3">
        <v>2025</v>
      </c>
      <c r="J4219" s="3" t="str">
        <f>CONCATENATE("54810837895")</f>
        <v>54810837895</v>
      </c>
      <c r="K4219" s="3" t="s">
        <v>33</v>
      </c>
      <c r="L4219" s="3"/>
      <c r="M4219" s="3" t="s">
        <v>86</v>
      </c>
      <c r="N4219" s="3" t="str">
        <f>CONCATENATE("BCCMRC81R17C770Y")</f>
        <v>BCCMRC81R17C770Y</v>
      </c>
      <c r="O4219" s="3" t="s">
        <v>4305</v>
      </c>
      <c r="P4219" s="3" t="s">
        <v>36</v>
      </c>
      <c r="Q4219" s="3"/>
      <c r="R4219" s="4">
        <v>45995</v>
      </c>
      <c r="S4219" s="3" t="s">
        <v>37</v>
      </c>
      <c r="T4219" s="3" t="s">
        <v>38</v>
      </c>
      <c r="U4219" s="3" t="s">
        <v>39</v>
      </c>
      <c r="V4219" s="3">
        <v>118.78</v>
      </c>
      <c r="W4219" s="3">
        <v>50.48</v>
      </c>
      <c r="X4219" s="3">
        <v>47.81</v>
      </c>
      <c r="Y4219" s="3">
        <v>20.49</v>
      </c>
    </row>
    <row r="4220" spans="1:25" ht="60.75" x14ac:dyDescent="0.25">
      <c r="A4220" s="3" t="s">
        <v>26</v>
      </c>
      <c r="B4220" s="3" t="s">
        <v>27</v>
      </c>
      <c r="C4220" s="3" t="s">
        <v>28</v>
      </c>
      <c r="D4220" s="3" t="s">
        <v>91</v>
      </c>
      <c r="E4220" s="3" t="s">
        <v>95</v>
      </c>
      <c r="F4220" s="3" t="s">
        <v>93</v>
      </c>
      <c r="G4220" s="3" t="s">
        <v>95</v>
      </c>
      <c r="H4220" s="3" t="s">
        <v>96</v>
      </c>
      <c r="I4220" s="3">
        <v>2025</v>
      </c>
      <c r="J4220" s="3" t="str">
        <f>CONCATENATE("54810110061")</f>
        <v>54810110061</v>
      </c>
      <c r="K4220" s="3" t="s">
        <v>33</v>
      </c>
      <c r="L4220" s="3"/>
      <c r="M4220" s="3" t="s">
        <v>86</v>
      </c>
      <c r="N4220" s="3" t="str">
        <f>CONCATENATE("MRCNDR69B13D542E")</f>
        <v>MRCNDR69B13D542E</v>
      </c>
      <c r="O4220" s="3" t="s">
        <v>4306</v>
      </c>
      <c r="P4220" s="3" t="s">
        <v>36</v>
      </c>
      <c r="Q4220" s="3"/>
      <c r="R4220" s="4">
        <v>45995</v>
      </c>
      <c r="S4220" s="3" t="s">
        <v>37</v>
      </c>
      <c r="T4220" s="3" t="s">
        <v>38</v>
      </c>
      <c r="U4220" s="3" t="s">
        <v>39</v>
      </c>
      <c r="V4220" s="3">
        <v>130.66</v>
      </c>
      <c r="W4220" s="3">
        <v>55.53</v>
      </c>
      <c r="X4220" s="3">
        <v>52.59</v>
      </c>
      <c r="Y4220" s="3">
        <v>22.54</v>
      </c>
    </row>
    <row r="4221" spans="1:25" ht="60.75" x14ac:dyDescent="0.25">
      <c r="A4221" s="3" t="s">
        <v>26</v>
      </c>
      <c r="B4221" s="3" t="s">
        <v>27</v>
      </c>
      <c r="C4221" s="3" t="s">
        <v>28</v>
      </c>
      <c r="D4221" s="3" t="s">
        <v>50</v>
      </c>
      <c r="E4221" s="3" t="s">
        <v>163</v>
      </c>
      <c r="F4221" s="3" t="s">
        <v>52</v>
      </c>
      <c r="G4221" s="3" t="s">
        <v>163</v>
      </c>
      <c r="H4221" s="3" t="s">
        <v>96</v>
      </c>
      <c r="I4221" s="3">
        <v>2025</v>
      </c>
      <c r="J4221" s="3" t="str">
        <f>CONCATENATE("54810306081")</f>
        <v>54810306081</v>
      </c>
      <c r="K4221" s="3" t="s">
        <v>33</v>
      </c>
      <c r="L4221" s="3"/>
      <c r="M4221" s="3" t="s">
        <v>86</v>
      </c>
      <c r="N4221" s="3" t="str">
        <f>CONCATENATE("DCRTZN85L13D542D")</f>
        <v>DCRTZN85L13D542D</v>
      </c>
      <c r="O4221" s="3" t="s">
        <v>4307</v>
      </c>
      <c r="P4221" s="3" t="s">
        <v>36</v>
      </c>
      <c r="Q4221" s="3"/>
      <c r="R4221" s="4">
        <v>45995</v>
      </c>
      <c r="S4221" s="3" t="s">
        <v>37</v>
      </c>
      <c r="T4221" s="3" t="s">
        <v>38</v>
      </c>
      <c r="U4221" s="3" t="s">
        <v>39</v>
      </c>
      <c r="V4221" s="3">
        <v>228.11</v>
      </c>
      <c r="W4221" s="3">
        <v>96.95</v>
      </c>
      <c r="X4221" s="3">
        <v>91.81</v>
      </c>
      <c r="Y4221" s="3">
        <v>39.35</v>
      </c>
    </row>
    <row r="4222" spans="1:25" ht="60.75" x14ac:dyDescent="0.25">
      <c r="A4222" s="3" t="s">
        <v>26</v>
      </c>
      <c r="B4222" s="3" t="s">
        <v>27</v>
      </c>
      <c r="C4222" s="3" t="s">
        <v>28</v>
      </c>
      <c r="D4222" s="3" t="s">
        <v>40</v>
      </c>
      <c r="E4222" s="3" t="s">
        <v>41</v>
      </c>
      <c r="F4222" s="3" t="s">
        <v>42</v>
      </c>
      <c r="G4222" s="3" t="s">
        <v>41</v>
      </c>
      <c r="H4222" s="3" t="s">
        <v>32</v>
      </c>
      <c r="I4222" s="3">
        <v>2025</v>
      </c>
      <c r="J4222" s="3" t="str">
        <f>CONCATENATE("54810197654")</f>
        <v>54810197654</v>
      </c>
      <c r="K4222" s="3" t="s">
        <v>33</v>
      </c>
      <c r="L4222" s="3"/>
      <c r="M4222" s="3" t="s">
        <v>86</v>
      </c>
      <c r="N4222" s="3" t="str">
        <f>CONCATENATE("RMTSMN92C15E783F")</f>
        <v>RMTSMN92C15E783F</v>
      </c>
      <c r="O4222" s="3" t="s">
        <v>4308</v>
      </c>
      <c r="P4222" s="3" t="s">
        <v>36</v>
      </c>
      <c r="Q4222" s="3"/>
      <c r="R4222" s="4">
        <v>45995</v>
      </c>
      <c r="S4222" s="3" t="s">
        <v>37</v>
      </c>
      <c r="T4222" s="3" t="s">
        <v>38</v>
      </c>
      <c r="U4222" s="3" t="s">
        <v>39</v>
      </c>
      <c r="V4222" s="3">
        <v>149.33000000000001</v>
      </c>
      <c r="W4222" s="3">
        <v>63.47</v>
      </c>
      <c r="X4222" s="3">
        <v>60.11</v>
      </c>
      <c r="Y4222" s="3">
        <v>25.75</v>
      </c>
    </row>
    <row r="4223" spans="1:25" ht="36.75" x14ac:dyDescent="0.25">
      <c r="A4223" s="3" t="s">
        <v>26</v>
      </c>
      <c r="B4223" s="3" t="s">
        <v>27</v>
      </c>
      <c r="C4223" s="3" t="s">
        <v>28</v>
      </c>
      <c r="D4223" s="3" t="s">
        <v>91</v>
      </c>
      <c r="E4223" s="3" t="s">
        <v>522</v>
      </c>
      <c r="F4223" s="3" t="s">
        <v>93</v>
      </c>
      <c r="G4223" s="3" t="s">
        <v>522</v>
      </c>
      <c r="H4223" s="3" t="s">
        <v>32</v>
      </c>
      <c r="I4223" s="3">
        <v>2025</v>
      </c>
      <c r="J4223" s="3" t="str">
        <f>CONCATENATE("54810270808")</f>
        <v>54810270808</v>
      </c>
      <c r="K4223" s="3" t="s">
        <v>33</v>
      </c>
      <c r="L4223" s="3"/>
      <c r="M4223" s="3" t="s">
        <v>86</v>
      </c>
      <c r="N4223" s="3" t="str">
        <f>CONCATENATE("01003530431")</f>
        <v>01003530431</v>
      </c>
      <c r="O4223" s="3" t="s">
        <v>4309</v>
      </c>
      <c r="P4223" s="3" t="s">
        <v>36</v>
      </c>
      <c r="Q4223" s="3"/>
      <c r="R4223" s="4">
        <v>45995</v>
      </c>
      <c r="S4223" s="3" t="s">
        <v>37</v>
      </c>
      <c r="T4223" s="3" t="s">
        <v>38</v>
      </c>
      <c r="U4223" s="3" t="s">
        <v>39</v>
      </c>
      <c r="V4223" s="3">
        <v>28.45</v>
      </c>
      <c r="W4223" s="3">
        <v>12.09</v>
      </c>
      <c r="X4223" s="3">
        <v>11.45</v>
      </c>
      <c r="Y4223" s="3">
        <v>4.91</v>
      </c>
    </row>
    <row r="4224" spans="1:25" ht="36.75" x14ac:dyDescent="0.25">
      <c r="A4224" s="3" t="s">
        <v>26</v>
      </c>
      <c r="B4224" s="3" t="s">
        <v>27</v>
      </c>
      <c r="C4224" s="3" t="s">
        <v>28</v>
      </c>
      <c r="D4224" s="3" t="s">
        <v>40</v>
      </c>
      <c r="E4224" s="3" t="s">
        <v>99</v>
      </c>
      <c r="F4224" s="3" t="s">
        <v>42</v>
      </c>
      <c r="G4224" s="3" t="s">
        <v>99</v>
      </c>
      <c r="H4224" s="3" t="s">
        <v>32</v>
      </c>
      <c r="I4224" s="3">
        <v>2025</v>
      </c>
      <c r="J4224" s="3" t="str">
        <f>CONCATENATE("54810356789")</f>
        <v>54810356789</v>
      </c>
      <c r="K4224" s="3" t="s">
        <v>33</v>
      </c>
      <c r="L4224" s="3"/>
      <c r="M4224" s="3" t="s">
        <v>86</v>
      </c>
      <c r="N4224" s="3" t="str">
        <f>CONCATENATE("02068560438")</f>
        <v>02068560438</v>
      </c>
      <c r="O4224" s="3" t="s">
        <v>4310</v>
      </c>
      <c r="P4224" s="3" t="s">
        <v>36</v>
      </c>
      <c r="Q4224" s="3"/>
      <c r="R4224" s="4">
        <v>45995</v>
      </c>
      <c r="S4224" s="3" t="s">
        <v>37</v>
      </c>
      <c r="T4224" s="3" t="s">
        <v>38</v>
      </c>
      <c r="U4224" s="3" t="s">
        <v>39</v>
      </c>
      <c r="V4224" s="3">
        <v>59.66</v>
      </c>
      <c r="W4224" s="3">
        <v>25.36</v>
      </c>
      <c r="X4224" s="3">
        <v>24.01</v>
      </c>
      <c r="Y4224" s="3">
        <v>10.29</v>
      </c>
    </row>
    <row r="4225" spans="1:25" ht="60.75" x14ac:dyDescent="0.25">
      <c r="A4225" s="3" t="s">
        <v>26</v>
      </c>
      <c r="B4225" s="3" t="s">
        <v>27</v>
      </c>
      <c r="C4225" s="3" t="s">
        <v>28</v>
      </c>
      <c r="D4225" s="3" t="s">
        <v>29</v>
      </c>
      <c r="E4225" s="3" t="s">
        <v>119</v>
      </c>
      <c r="F4225" s="3" t="s">
        <v>31</v>
      </c>
      <c r="G4225" s="3" t="s">
        <v>119</v>
      </c>
      <c r="H4225" s="3" t="s">
        <v>96</v>
      </c>
      <c r="I4225" s="3">
        <v>2025</v>
      </c>
      <c r="J4225" s="3" t="str">
        <f>CONCATENATE("54810538220")</f>
        <v>54810538220</v>
      </c>
      <c r="K4225" s="3" t="s">
        <v>33</v>
      </c>
      <c r="L4225" s="3"/>
      <c r="M4225" s="3" t="s">
        <v>86</v>
      </c>
      <c r="N4225" s="3" t="str">
        <f>CONCATENATE("ZNTMLS71M41E507C")</f>
        <v>ZNTMLS71M41E507C</v>
      </c>
      <c r="O4225" s="3" t="s">
        <v>4311</v>
      </c>
      <c r="P4225" s="3" t="s">
        <v>36</v>
      </c>
      <c r="Q4225" s="3"/>
      <c r="R4225" s="4">
        <v>45995</v>
      </c>
      <c r="S4225" s="3" t="s">
        <v>37</v>
      </c>
      <c r="T4225" s="3" t="s">
        <v>38</v>
      </c>
      <c r="U4225" s="3" t="s">
        <v>39</v>
      </c>
      <c r="V4225" s="3">
        <v>111.28</v>
      </c>
      <c r="W4225" s="3">
        <v>47.29</v>
      </c>
      <c r="X4225" s="3">
        <v>44.79</v>
      </c>
      <c r="Y4225" s="3">
        <v>19.2</v>
      </c>
    </row>
    <row r="4226" spans="1:25" ht="60.75" x14ac:dyDescent="0.25">
      <c r="A4226" s="3" t="s">
        <v>26</v>
      </c>
      <c r="B4226" s="3" t="s">
        <v>27</v>
      </c>
      <c r="C4226" s="3" t="s">
        <v>28</v>
      </c>
      <c r="D4226" s="3" t="s">
        <v>29</v>
      </c>
      <c r="E4226" s="3" t="s">
        <v>3007</v>
      </c>
      <c r="F4226" s="3" t="s">
        <v>31</v>
      </c>
      <c r="G4226" s="3" t="s">
        <v>3007</v>
      </c>
      <c r="H4226" s="3" t="s">
        <v>32</v>
      </c>
      <c r="I4226" s="3">
        <v>2025</v>
      </c>
      <c r="J4226" s="3" t="str">
        <f>CONCATENATE("54810485455")</f>
        <v>54810485455</v>
      </c>
      <c r="K4226" s="3" t="s">
        <v>33</v>
      </c>
      <c r="L4226" s="3"/>
      <c r="M4226" s="3" t="s">
        <v>86</v>
      </c>
      <c r="N4226" s="3" t="str">
        <f>CONCATENATE("SBSJNN77S06E783Y")</f>
        <v>SBSJNN77S06E783Y</v>
      </c>
      <c r="O4226" s="3" t="s">
        <v>4312</v>
      </c>
      <c r="P4226" s="3" t="s">
        <v>36</v>
      </c>
      <c r="Q4226" s="3"/>
      <c r="R4226" s="4">
        <v>45995</v>
      </c>
      <c r="S4226" s="3" t="s">
        <v>37</v>
      </c>
      <c r="T4226" s="3" t="s">
        <v>38</v>
      </c>
      <c r="U4226" s="3" t="s">
        <v>39</v>
      </c>
      <c r="V4226" s="3">
        <v>288.97000000000003</v>
      </c>
      <c r="W4226" s="3">
        <v>122.81</v>
      </c>
      <c r="X4226" s="3">
        <v>116.31</v>
      </c>
      <c r="Y4226" s="3">
        <v>49.85</v>
      </c>
    </row>
    <row r="4227" spans="1:25" ht="60.75" x14ac:dyDescent="0.25">
      <c r="A4227" s="3" t="s">
        <v>26</v>
      </c>
      <c r="B4227" s="3" t="s">
        <v>27</v>
      </c>
      <c r="C4227" s="3" t="s">
        <v>28</v>
      </c>
      <c r="D4227" s="3" t="s">
        <v>29</v>
      </c>
      <c r="E4227" s="3" t="s">
        <v>1398</v>
      </c>
      <c r="F4227" s="3" t="s">
        <v>31</v>
      </c>
      <c r="G4227" s="3" t="s">
        <v>1398</v>
      </c>
      <c r="H4227" s="3" t="s">
        <v>32</v>
      </c>
      <c r="I4227" s="3">
        <v>2025</v>
      </c>
      <c r="J4227" s="3" t="str">
        <f>CONCATENATE("54810400843")</f>
        <v>54810400843</v>
      </c>
      <c r="K4227" s="3" t="s">
        <v>33</v>
      </c>
      <c r="L4227" s="3"/>
      <c r="M4227" s="3" t="s">
        <v>86</v>
      </c>
      <c r="N4227" s="3" t="str">
        <f>CONCATENATE("CHRLRA62S07L366U")</f>
        <v>CHRLRA62S07L366U</v>
      </c>
      <c r="O4227" s="3" t="s">
        <v>4313</v>
      </c>
      <c r="P4227" s="3" t="s">
        <v>36</v>
      </c>
      <c r="Q4227" s="3"/>
      <c r="R4227" s="4">
        <v>45995</v>
      </c>
      <c r="S4227" s="3" t="s">
        <v>37</v>
      </c>
      <c r="T4227" s="3" t="s">
        <v>38</v>
      </c>
      <c r="U4227" s="3" t="s">
        <v>39</v>
      </c>
      <c r="V4227" s="3">
        <v>551.32000000000005</v>
      </c>
      <c r="W4227" s="3">
        <v>234.31</v>
      </c>
      <c r="X4227" s="3">
        <v>221.91</v>
      </c>
      <c r="Y4227" s="3">
        <v>95.1</v>
      </c>
    </row>
    <row r="4228" spans="1:25" ht="36.75" x14ac:dyDescent="0.25">
      <c r="A4228" s="3" t="s">
        <v>26</v>
      </c>
      <c r="B4228" s="3" t="s">
        <v>27</v>
      </c>
      <c r="C4228" s="3" t="s">
        <v>28</v>
      </c>
      <c r="D4228" s="3" t="s">
        <v>29</v>
      </c>
      <c r="E4228" s="3" t="s">
        <v>341</v>
      </c>
      <c r="F4228" s="3" t="s">
        <v>31</v>
      </c>
      <c r="G4228" s="3" t="s">
        <v>341</v>
      </c>
      <c r="H4228" s="3" t="s">
        <v>45</v>
      </c>
      <c r="I4228" s="3">
        <v>2025</v>
      </c>
      <c r="J4228" s="3" t="str">
        <f>CONCATENATE("54811024527")</f>
        <v>54811024527</v>
      </c>
      <c r="K4228" s="3" t="s">
        <v>33</v>
      </c>
      <c r="L4228" s="3"/>
      <c r="M4228" s="3" t="s">
        <v>86</v>
      </c>
      <c r="N4228" s="3" t="str">
        <f>CONCATENATE("02787510417")</f>
        <v>02787510417</v>
      </c>
      <c r="O4228" s="3" t="s">
        <v>4314</v>
      </c>
      <c r="P4228" s="3" t="s">
        <v>36</v>
      </c>
      <c r="Q4228" s="3"/>
      <c r="R4228" s="4">
        <v>45995</v>
      </c>
      <c r="S4228" s="3" t="s">
        <v>37</v>
      </c>
      <c r="T4228" s="3" t="s">
        <v>38</v>
      </c>
      <c r="U4228" s="3" t="s">
        <v>39</v>
      </c>
      <c r="V4228" s="3">
        <v>26.37</v>
      </c>
      <c r="W4228" s="3">
        <v>11.21</v>
      </c>
      <c r="X4228" s="3">
        <v>10.61</v>
      </c>
      <c r="Y4228" s="3">
        <v>4.55</v>
      </c>
    </row>
    <row r="4229" spans="1:25" ht="60.75" x14ac:dyDescent="0.25">
      <c r="A4229" s="3" t="s">
        <v>26</v>
      </c>
      <c r="B4229" s="3" t="s">
        <v>27</v>
      </c>
      <c r="C4229" s="3" t="s">
        <v>28</v>
      </c>
      <c r="D4229" s="3" t="s">
        <v>29</v>
      </c>
      <c r="E4229" s="3" t="s">
        <v>68</v>
      </c>
      <c r="F4229" s="3" t="s">
        <v>31</v>
      </c>
      <c r="G4229" s="3" t="s">
        <v>68</v>
      </c>
      <c r="H4229" s="3" t="s">
        <v>32</v>
      </c>
      <c r="I4229" s="3">
        <v>2025</v>
      </c>
      <c r="J4229" s="3" t="str">
        <f>CONCATENATE("54811248126")</f>
        <v>54811248126</v>
      </c>
      <c r="K4229" s="3" t="s">
        <v>33</v>
      </c>
      <c r="L4229" s="3"/>
      <c r="M4229" s="3" t="s">
        <v>86</v>
      </c>
      <c r="N4229" s="3" t="str">
        <f>CONCATENATE("LLNLCU85L04I156G")</f>
        <v>LLNLCU85L04I156G</v>
      </c>
      <c r="O4229" s="3" t="s">
        <v>4315</v>
      </c>
      <c r="P4229" s="3" t="s">
        <v>36</v>
      </c>
      <c r="Q4229" s="3"/>
      <c r="R4229" s="4">
        <v>45995</v>
      </c>
      <c r="S4229" s="3" t="s">
        <v>37</v>
      </c>
      <c r="T4229" s="3" t="s">
        <v>38</v>
      </c>
      <c r="U4229" s="3" t="s">
        <v>39</v>
      </c>
      <c r="V4229" s="3">
        <v>67.760000000000005</v>
      </c>
      <c r="W4229" s="3">
        <v>28.8</v>
      </c>
      <c r="X4229" s="3">
        <v>27.27</v>
      </c>
      <c r="Y4229" s="3">
        <v>11.69</v>
      </c>
    </row>
    <row r="4230" spans="1:25" ht="60.75" x14ac:dyDescent="0.25">
      <c r="A4230" s="3" t="s">
        <v>26</v>
      </c>
      <c r="B4230" s="3" t="s">
        <v>27</v>
      </c>
      <c r="C4230" s="3" t="s">
        <v>28</v>
      </c>
      <c r="D4230" s="3" t="s">
        <v>40</v>
      </c>
      <c r="E4230" s="3" t="s">
        <v>99</v>
      </c>
      <c r="F4230" s="3" t="s">
        <v>42</v>
      </c>
      <c r="G4230" s="3" t="s">
        <v>99</v>
      </c>
      <c r="H4230" s="3" t="s">
        <v>32</v>
      </c>
      <c r="I4230" s="3">
        <v>2025</v>
      </c>
      <c r="J4230" s="3" t="str">
        <f>CONCATENATE("54810832201")</f>
        <v>54810832201</v>
      </c>
      <c r="K4230" s="3" t="s">
        <v>33</v>
      </c>
      <c r="L4230" s="3"/>
      <c r="M4230" s="3" t="s">
        <v>86</v>
      </c>
      <c r="N4230" s="3" t="str">
        <f>CONCATENATE("GTTTTR51P08C704G")</f>
        <v>GTTTTR51P08C704G</v>
      </c>
      <c r="O4230" s="3" t="s">
        <v>4316</v>
      </c>
      <c r="P4230" s="3" t="s">
        <v>36</v>
      </c>
      <c r="Q4230" s="3"/>
      <c r="R4230" s="4">
        <v>45995</v>
      </c>
      <c r="S4230" s="3" t="s">
        <v>37</v>
      </c>
      <c r="T4230" s="3" t="s">
        <v>38</v>
      </c>
      <c r="U4230" s="3" t="s">
        <v>39</v>
      </c>
      <c r="V4230" s="3">
        <v>62.52</v>
      </c>
      <c r="W4230" s="3">
        <v>26.57</v>
      </c>
      <c r="X4230" s="3">
        <v>25.16</v>
      </c>
      <c r="Y4230" s="3">
        <v>10.79</v>
      </c>
    </row>
    <row r="4231" spans="1:25" ht="36.75" x14ac:dyDescent="0.25">
      <c r="A4231" s="3" t="s">
        <v>26</v>
      </c>
      <c r="B4231" s="3" t="s">
        <v>27</v>
      </c>
      <c r="C4231" s="3" t="s">
        <v>28</v>
      </c>
      <c r="D4231" s="3" t="s">
        <v>40</v>
      </c>
      <c r="E4231" s="3" t="s">
        <v>99</v>
      </c>
      <c r="F4231" s="3" t="s">
        <v>42</v>
      </c>
      <c r="G4231" s="3" t="s">
        <v>99</v>
      </c>
      <c r="H4231" s="3" t="s">
        <v>32</v>
      </c>
      <c r="I4231" s="3">
        <v>2025</v>
      </c>
      <c r="J4231" s="3" t="str">
        <f>CONCATENATE("54811325973")</f>
        <v>54811325973</v>
      </c>
      <c r="K4231" s="3" t="s">
        <v>33</v>
      </c>
      <c r="L4231" s="3"/>
      <c r="M4231" s="3" t="s">
        <v>86</v>
      </c>
      <c r="N4231" s="3" t="str">
        <f>CONCATENATE("02031400431")</f>
        <v>02031400431</v>
      </c>
      <c r="O4231" s="3" t="s">
        <v>4317</v>
      </c>
      <c r="P4231" s="3" t="s">
        <v>36</v>
      </c>
      <c r="Q4231" s="3"/>
      <c r="R4231" s="4">
        <v>45995</v>
      </c>
      <c r="S4231" s="3" t="s">
        <v>37</v>
      </c>
      <c r="T4231" s="3" t="s">
        <v>38</v>
      </c>
      <c r="U4231" s="3" t="s">
        <v>39</v>
      </c>
      <c r="V4231" s="3">
        <v>68.59</v>
      </c>
      <c r="W4231" s="3">
        <v>29.15</v>
      </c>
      <c r="X4231" s="3">
        <v>27.61</v>
      </c>
      <c r="Y4231" s="3">
        <v>11.83</v>
      </c>
    </row>
    <row r="4232" spans="1:25" ht="60.75" x14ac:dyDescent="0.25">
      <c r="A4232" s="3" t="s">
        <v>26</v>
      </c>
      <c r="B4232" s="3" t="s">
        <v>27</v>
      </c>
      <c r="C4232" s="3" t="s">
        <v>28</v>
      </c>
      <c r="D4232" s="3" t="s">
        <v>50</v>
      </c>
      <c r="E4232" s="3" t="s">
        <v>107</v>
      </c>
      <c r="F4232" s="3" t="s">
        <v>52</v>
      </c>
      <c r="G4232" s="3" t="s">
        <v>107</v>
      </c>
      <c r="H4232" s="3" t="s">
        <v>48</v>
      </c>
      <c r="I4232" s="3">
        <v>2025</v>
      </c>
      <c r="J4232" s="3" t="str">
        <f>CONCATENATE("54810738663")</f>
        <v>54810738663</v>
      </c>
      <c r="K4232" s="3" t="s">
        <v>33</v>
      </c>
      <c r="L4232" s="3"/>
      <c r="M4232" s="3" t="s">
        <v>86</v>
      </c>
      <c r="N4232" s="3" t="str">
        <f>CONCATENATE("TRNGZN61P09F745Q")</f>
        <v>TRNGZN61P09F745Q</v>
      </c>
      <c r="O4232" s="3" t="s">
        <v>4318</v>
      </c>
      <c r="P4232" s="3" t="s">
        <v>36</v>
      </c>
      <c r="Q4232" s="3"/>
      <c r="R4232" s="4">
        <v>45995</v>
      </c>
      <c r="S4232" s="3" t="s">
        <v>37</v>
      </c>
      <c r="T4232" s="3" t="s">
        <v>38</v>
      </c>
      <c r="U4232" s="3" t="s">
        <v>39</v>
      </c>
      <c r="V4232" s="3">
        <v>75.599999999999994</v>
      </c>
      <c r="W4232" s="3">
        <v>32.130000000000003</v>
      </c>
      <c r="X4232" s="3">
        <v>30.43</v>
      </c>
      <c r="Y4232" s="3">
        <v>13.04</v>
      </c>
    </row>
    <row r="4233" spans="1:25" ht="60.75" x14ac:dyDescent="0.25">
      <c r="A4233" s="3" t="s">
        <v>26</v>
      </c>
      <c r="B4233" s="3" t="s">
        <v>27</v>
      </c>
      <c r="C4233" s="3" t="s">
        <v>28</v>
      </c>
      <c r="D4233" s="3" t="s">
        <v>40</v>
      </c>
      <c r="E4233" s="3" t="s">
        <v>44</v>
      </c>
      <c r="F4233" s="3" t="s">
        <v>42</v>
      </c>
      <c r="G4233" s="3" t="s">
        <v>44</v>
      </c>
      <c r="H4233" s="3" t="s">
        <v>32</v>
      </c>
      <c r="I4233" s="3">
        <v>2025</v>
      </c>
      <c r="J4233" s="3" t="str">
        <f>CONCATENATE("54810083532")</f>
        <v>54810083532</v>
      </c>
      <c r="K4233" s="3" t="s">
        <v>33</v>
      </c>
      <c r="L4233" s="3"/>
      <c r="M4233" s="3" t="s">
        <v>86</v>
      </c>
      <c r="N4233" s="3" t="str">
        <f>CONCATENATE("SLRMCR52E48H501C")</f>
        <v>SLRMCR52E48H501C</v>
      </c>
      <c r="O4233" s="3" t="s">
        <v>4319</v>
      </c>
      <c r="P4233" s="3" t="s">
        <v>36</v>
      </c>
      <c r="Q4233" s="3"/>
      <c r="R4233" s="4">
        <v>45995</v>
      </c>
      <c r="S4233" s="3" t="s">
        <v>37</v>
      </c>
      <c r="T4233" s="3" t="s">
        <v>38</v>
      </c>
      <c r="U4233" s="3" t="s">
        <v>39</v>
      </c>
      <c r="V4233" s="3">
        <v>130.87</v>
      </c>
      <c r="W4233" s="3">
        <v>55.62</v>
      </c>
      <c r="X4233" s="3">
        <v>52.68</v>
      </c>
      <c r="Y4233" s="3">
        <v>22.57</v>
      </c>
    </row>
    <row r="4234" spans="1:25" ht="36.75" x14ac:dyDescent="0.25">
      <c r="A4234" s="3" t="s">
        <v>26</v>
      </c>
      <c r="B4234" s="3" t="s">
        <v>27</v>
      </c>
      <c r="C4234" s="3" t="s">
        <v>28</v>
      </c>
      <c r="D4234" s="3" t="s">
        <v>29</v>
      </c>
      <c r="E4234" s="3" t="s">
        <v>403</v>
      </c>
      <c r="F4234" s="3" t="s">
        <v>31</v>
      </c>
      <c r="G4234" s="3" t="s">
        <v>403</v>
      </c>
      <c r="H4234" s="3" t="s">
        <v>96</v>
      </c>
      <c r="I4234" s="3">
        <v>2025</v>
      </c>
      <c r="J4234" s="3" t="str">
        <f>CONCATENATE("54810257862")</f>
        <v>54810257862</v>
      </c>
      <c r="K4234" s="3" t="s">
        <v>33</v>
      </c>
      <c r="L4234" s="3"/>
      <c r="M4234" s="3" t="s">
        <v>86</v>
      </c>
      <c r="N4234" s="3" t="str">
        <f>CONCATENATE("01507720447")</f>
        <v>01507720447</v>
      </c>
      <c r="O4234" s="3" t="s">
        <v>4320</v>
      </c>
      <c r="P4234" s="3" t="s">
        <v>36</v>
      </c>
      <c r="Q4234" s="3"/>
      <c r="R4234" s="4">
        <v>45995</v>
      </c>
      <c r="S4234" s="3" t="s">
        <v>37</v>
      </c>
      <c r="T4234" s="3" t="s">
        <v>38</v>
      </c>
      <c r="U4234" s="3" t="s">
        <v>39</v>
      </c>
      <c r="V4234" s="3">
        <v>347.59</v>
      </c>
      <c r="W4234" s="3">
        <v>147.72999999999999</v>
      </c>
      <c r="X4234" s="3">
        <v>139.9</v>
      </c>
      <c r="Y4234" s="3">
        <v>59.96</v>
      </c>
    </row>
    <row r="4235" spans="1:25" ht="36.75" x14ac:dyDescent="0.25">
      <c r="A4235" s="3" t="s">
        <v>26</v>
      </c>
      <c r="B4235" s="3" t="s">
        <v>27</v>
      </c>
      <c r="C4235" s="3" t="s">
        <v>28</v>
      </c>
      <c r="D4235" s="3" t="s">
        <v>40</v>
      </c>
      <c r="E4235" s="3" t="s">
        <v>99</v>
      </c>
      <c r="F4235" s="3" t="s">
        <v>42</v>
      </c>
      <c r="G4235" s="3" t="s">
        <v>99</v>
      </c>
      <c r="H4235" s="3" t="s">
        <v>96</v>
      </c>
      <c r="I4235" s="3">
        <v>2025</v>
      </c>
      <c r="J4235" s="3" t="str">
        <f>CONCATENATE("54811187407")</f>
        <v>54811187407</v>
      </c>
      <c r="K4235" s="3" t="s">
        <v>33</v>
      </c>
      <c r="L4235" s="3"/>
      <c r="M4235" s="3" t="s">
        <v>86</v>
      </c>
      <c r="N4235" s="3" t="str">
        <f>CONCATENATE("02481430441")</f>
        <v>02481430441</v>
      </c>
      <c r="O4235" s="3" t="s">
        <v>2223</v>
      </c>
      <c r="P4235" s="3" t="s">
        <v>36</v>
      </c>
      <c r="Q4235" s="3"/>
      <c r="R4235" s="4">
        <v>45995</v>
      </c>
      <c r="S4235" s="3" t="s">
        <v>37</v>
      </c>
      <c r="T4235" s="3" t="s">
        <v>38</v>
      </c>
      <c r="U4235" s="3" t="s">
        <v>39</v>
      </c>
      <c r="V4235" s="3">
        <v>73.540000000000006</v>
      </c>
      <c r="W4235" s="3">
        <v>31.25</v>
      </c>
      <c r="X4235" s="3">
        <v>29.6</v>
      </c>
      <c r="Y4235" s="3">
        <v>12.69</v>
      </c>
    </row>
    <row r="4236" spans="1:25" ht="60.75" x14ac:dyDescent="0.25">
      <c r="A4236" s="3" t="s">
        <v>26</v>
      </c>
      <c r="B4236" s="3" t="s">
        <v>27</v>
      </c>
      <c r="C4236" s="3" t="s">
        <v>28</v>
      </c>
      <c r="D4236" s="3" t="s">
        <v>91</v>
      </c>
      <c r="E4236" s="3" t="s">
        <v>95</v>
      </c>
      <c r="F4236" s="3" t="s">
        <v>93</v>
      </c>
      <c r="G4236" s="3" t="s">
        <v>95</v>
      </c>
      <c r="H4236" s="3" t="s">
        <v>96</v>
      </c>
      <c r="I4236" s="3">
        <v>2025</v>
      </c>
      <c r="J4236" s="3" t="str">
        <f>CONCATENATE("54810212164")</f>
        <v>54810212164</v>
      </c>
      <c r="K4236" s="3" t="s">
        <v>33</v>
      </c>
      <c r="L4236" s="3"/>
      <c r="M4236" s="3" t="s">
        <v>86</v>
      </c>
      <c r="N4236" s="3" t="str">
        <f>CONCATENATE("GBRMFR62C60A335O")</f>
        <v>GBRMFR62C60A335O</v>
      </c>
      <c r="O4236" s="3" t="s">
        <v>4321</v>
      </c>
      <c r="P4236" s="3" t="s">
        <v>36</v>
      </c>
      <c r="Q4236" s="3"/>
      <c r="R4236" s="4">
        <v>45995</v>
      </c>
      <c r="S4236" s="3" t="s">
        <v>37</v>
      </c>
      <c r="T4236" s="3" t="s">
        <v>38</v>
      </c>
      <c r="U4236" s="3" t="s">
        <v>39</v>
      </c>
      <c r="V4236" s="3">
        <v>213.91</v>
      </c>
      <c r="W4236" s="3">
        <v>90.91</v>
      </c>
      <c r="X4236" s="3">
        <v>86.1</v>
      </c>
      <c r="Y4236" s="3">
        <v>36.9</v>
      </c>
    </row>
    <row r="4237" spans="1:25" ht="60.75" x14ac:dyDescent="0.25">
      <c r="A4237" s="3" t="s">
        <v>26</v>
      </c>
      <c r="B4237" s="3" t="s">
        <v>27</v>
      </c>
      <c r="C4237" s="3" t="s">
        <v>28</v>
      </c>
      <c r="D4237" s="3" t="s">
        <v>29</v>
      </c>
      <c r="E4237" s="3" t="s">
        <v>125</v>
      </c>
      <c r="F4237" s="3" t="s">
        <v>31</v>
      </c>
      <c r="G4237" s="3" t="s">
        <v>125</v>
      </c>
      <c r="H4237" s="3" t="s">
        <v>32</v>
      </c>
      <c r="I4237" s="3">
        <v>2025</v>
      </c>
      <c r="J4237" s="3" t="str">
        <f>CONCATENATE("54810172392")</f>
        <v>54810172392</v>
      </c>
      <c r="K4237" s="3" t="s">
        <v>33</v>
      </c>
      <c r="L4237" s="3"/>
      <c r="M4237" s="3" t="s">
        <v>86</v>
      </c>
      <c r="N4237" s="3" t="str">
        <f>CONCATENATE("MSCGPP53A30C704K")</f>
        <v>MSCGPP53A30C704K</v>
      </c>
      <c r="O4237" s="3" t="s">
        <v>4322</v>
      </c>
      <c r="P4237" s="3" t="s">
        <v>36</v>
      </c>
      <c r="Q4237" s="3"/>
      <c r="R4237" s="4">
        <v>45995</v>
      </c>
      <c r="S4237" s="3" t="s">
        <v>37</v>
      </c>
      <c r="T4237" s="3" t="s">
        <v>38</v>
      </c>
      <c r="U4237" s="3" t="s">
        <v>39</v>
      </c>
      <c r="V4237" s="3">
        <v>281.49</v>
      </c>
      <c r="W4237" s="3">
        <v>119.63</v>
      </c>
      <c r="X4237" s="3">
        <v>113.3</v>
      </c>
      <c r="Y4237" s="3">
        <v>48.56</v>
      </c>
    </row>
    <row r="4238" spans="1:25" ht="72.75" x14ac:dyDescent="0.25">
      <c r="A4238" s="3" t="s">
        <v>26</v>
      </c>
      <c r="B4238" s="3" t="s">
        <v>27</v>
      </c>
      <c r="C4238" s="3" t="s">
        <v>28</v>
      </c>
      <c r="D4238" s="3" t="s">
        <v>312</v>
      </c>
      <c r="E4238" s="3" t="s">
        <v>313</v>
      </c>
      <c r="F4238" s="3" t="s">
        <v>314</v>
      </c>
      <c r="G4238" s="3" t="s">
        <v>313</v>
      </c>
      <c r="H4238" s="3" t="s">
        <v>96</v>
      </c>
      <c r="I4238" s="3">
        <v>2025</v>
      </c>
      <c r="J4238" s="3" t="str">
        <f>CONCATENATE("54810857240")</f>
        <v>54810857240</v>
      </c>
      <c r="K4238" s="3" t="s">
        <v>33</v>
      </c>
      <c r="L4238" s="3"/>
      <c r="M4238" s="3" t="s">
        <v>86</v>
      </c>
      <c r="N4238" s="3" t="str">
        <f>CONCATENATE("BCHMRA81D23A462R")</f>
        <v>BCHMRA81D23A462R</v>
      </c>
      <c r="O4238" s="3" t="s">
        <v>4323</v>
      </c>
      <c r="P4238" s="3" t="s">
        <v>36</v>
      </c>
      <c r="Q4238" s="3"/>
      <c r="R4238" s="4">
        <v>45995</v>
      </c>
      <c r="S4238" s="3" t="s">
        <v>37</v>
      </c>
      <c r="T4238" s="3" t="s">
        <v>38</v>
      </c>
      <c r="U4238" s="3" t="s">
        <v>39</v>
      </c>
      <c r="V4238" s="3">
        <v>47.86</v>
      </c>
      <c r="W4238" s="3">
        <v>20.34</v>
      </c>
      <c r="X4238" s="3">
        <v>19.260000000000002</v>
      </c>
      <c r="Y4238" s="3">
        <v>8.26</v>
      </c>
    </row>
    <row r="4239" spans="1:25" ht="60.75" x14ac:dyDescent="0.25">
      <c r="A4239" s="3" t="s">
        <v>26</v>
      </c>
      <c r="B4239" s="3" t="s">
        <v>27</v>
      </c>
      <c r="C4239" s="3" t="s">
        <v>28</v>
      </c>
      <c r="D4239" s="3" t="s">
        <v>312</v>
      </c>
      <c r="E4239" s="3" t="s">
        <v>313</v>
      </c>
      <c r="F4239" s="3" t="s">
        <v>314</v>
      </c>
      <c r="G4239" s="3" t="s">
        <v>313</v>
      </c>
      <c r="H4239" s="3" t="s">
        <v>96</v>
      </c>
      <c r="I4239" s="3">
        <v>2025</v>
      </c>
      <c r="J4239" s="3" t="str">
        <f>CONCATENATE("54810909868")</f>
        <v>54810909868</v>
      </c>
      <c r="K4239" s="3" t="s">
        <v>33</v>
      </c>
      <c r="L4239" s="3"/>
      <c r="M4239" s="3" t="s">
        <v>86</v>
      </c>
      <c r="N4239" s="3" t="str">
        <f>CONCATENATE("PSCGCM86S10A462E")</f>
        <v>PSCGCM86S10A462E</v>
      </c>
      <c r="O4239" s="3" t="s">
        <v>4324</v>
      </c>
      <c r="P4239" s="3" t="s">
        <v>36</v>
      </c>
      <c r="Q4239" s="3"/>
      <c r="R4239" s="4">
        <v>45995</v>
      </c>
      <c r="S4239" s="3" t="s">
        <v>37</v>
      </c>
      <c r="T4239" s="3" t="s">
        <v>38</v>
      </c>
      <c r="U4239" s="3" t="s">
        <v>39</v>
      </c>
      <c r="V4239" s="3">
        <v>130.43</v>
      </c>
      <c r="W4239" s="3">
        <v>55.43</v>
      </c>
      <c r="X4239" s="3">
        <v>52.5</v>
      </c>
      <c r="Y4239" s="3">
        <v>22.5</v>
      </c>
    </row>
    <row r="4240" spans="1:25" ht="60.75" x14ac:dyDescent="0.25">
      <c r="A4240" s="3" t="s">
        <v>26</v>
      </c>
      <c r="B4240" s="3" t="s">
        <v>27</v>
      </c>
      <c r="C4240" s="3" t="s">
        <v>28</v>
      </c>
      <c r="D4240" s="3" t="s">
        <v>29</v>
      </c>
      <c r="E4240" s="3" t="s">
        <v>101</v>
      </c>
      <c r="F4240" s="3" t="s">
        <v>31</v>
      </c>
      <c r="G4240" s="3" t="s">
        <v>101</v>
      </c>
      <c r="H4240" s="3" t="s">
        <v>32</v>
      </c>
      <c r="I4240" s="3">
        <v>2025</v>
      </c>
      <c r="J4240" s="3" t="str">
        <f>CONCATENATE("54810813623")</f>
        <v>54810813623</v>
      </c>
      <c r="K4240" s="3" t="s">
        <v>33</v>
      </c>
      <c r="L4240" s="3"/>
      <c r="M4240" s="3" t="s">
        <v>86</v>
      </c>
      <c r="N4240" s="3" t="str">
        <f>CONCATENATE("PNZTRS46L61F839B")</f>
        <v>PNZTRS46L61F839B</v>
      </c>
      <c r="O4240" s="3" t="s">
        <v>4325</v>
      </c>
      <c r="P4240" s="3" t="s">
        <v>36</v>
      </c>
      <c r="Q4240" s="3"/>
      <c r="R4240" s="4">
        <v>45995</v>
      </c>
      <c r="S4240" s="3" t="s">
        <v>37</v>
      </c>
      <c r="T4240" s="3" t="s">
        <v>38</v>
      </c>
      <c r="U4240" s="3" t="s">
        <v>39</v>
      </c>
      <c r="V4240" s="3">
        <v>135.02000000000001</v>
      </c>
      <c r="W4240" s="3">
        <v>57.38</v>
      </c>
      <c r="X4240" s="3">
        <v>54.35</v>
      </c>
      <c r="Y4240" s="3">
        <v>23.29</v>
      </c>
    </row>
    <row r="4241" spans="1:25" ht="60.75" x14ac:dyDescent="0.25">
      <c r="A4241" s="3" t="s">
        <v>26</v>
      </c>
      <c r="B4241" s="3" t="s">
        <v>27</v>
      </c>
      <c r="C4241" s="3" t="s">
        <v>28</v>
      </c>
      <c r="D4241" s="3" t="s">
        <v>29</v>
      </c>
      <c r="E4241" s="3" t="s">
        <v>1398</v>
      </c>
      <c r="F4241" s="3" t="s">
        <v>31</v>
      </c>
      <c r="G4241" s="3" t="s">
        <v>1398</v>
      </c>
      <c r="H4241" s="3" t="s">
        <v>32</v>
      </c>
      <c r="I4241" s="3">
        <v>2025</v>
      </c>
      <c r="J4241" s="3" t="str">
        <f>CONCATENATE("54810968385")</f>
        <v>54810968385</v>
      </c>
      <c r="K4241" s="3" t="s">
        <v>33</v>
      </c>
      <c r="L4241" s="3"/>
      <c r="M4241" s="3" t="s">
        <v>86</v>
      </c>
      <c r="N4241" s="3" t="str">
        <f>CONCATENATE("SLTCRN44D41C704I")</f>
        <v>SLTCRN44D41C704I</v>
      </c>
      <c r="O4241" s="3" t="s">
        <v>4326</v>
      </c>
      <c r="P4241" s="3" t="s">
        <v>36</v>
      </c>
      <c r="Q4241" s="3"/>
      <c r="R4241" s="4">
        <v>45995</v>
      </c>
      <c r="S4241" s="3" t="s">
        <v>37</v>
      </c>
      <c r="T4241" s="3" t="s">
        <v>38</v>
      </c>
      <c r="U4241" s="3" t="s">
        <v>39</v>
      </c>
      <c r="V4241" s="3">
        <v>42.03</v>
      </c>
      <c r="W4241" s="3">
        <v>17.86</v>
      </c>
      <c r="X4241" s="3">
        <v>16.920000000000002</v>
      </c>
      <c r="Y4241" s="3">
        <v>7.25</v>
      </c>
    </row>
    <row r="4242" spans="1:25" ht="60.75" x14ac:dyDescent="0.25">
      <c r="A4242" s="3" t="s">
        <v>26</v>
      </c>
      <c r="B4242" s="3" t="s">
        <v>27</v>
      </c>
      <c r="C4242" s="3" t="s">
        <v>28</v>
      </c>
      <c r="D4242" s="3" t="s">
        <v>50</v>
      </c>
      <c r="E4242" s="3" t="s">
        <v>51</v>
      </c>
      <c r="F4242" s="3" t="s">
        <v>52</v>
      </c>
      <c r="G4242" s="3" t="s">
        <v>51</v>
      </c>
      <c r="H4242" s="3" t="s">
        <v>48</v>
      </c>
      <c r="I4242" s="3">
        <v>2025</v>
      </c>
      <c r="J4242" s="3" t="str">
        <f>CONCATENATE("54810945060")</f>
        <v>54810945060</v>
      </c>
      <c r="K4242" s="3" t="s">
        <v>33</v>
      </c>
      <c r="L4242" s="3"/>
      <c r="M4242" s="3" t="s">
        <v>86</v>
      </c>
      <c r="N4242" s="3" t="str">
        <f>CONCATENATE("RSOMRA61S22D007J")</f>
        <v>RSOMRA61S22D007J</v>
      </c>
      <c r="O4242" s="3" t="s">
        <v>4327</v>
      </c>
      <c r="P4242" s="3" t="s">
        <v>36</v>
      </c>
      <c r="Q4242" s="3"/>
      <c r="R4242" s="4">
        <v>45995</v>
      </c>
      <c r="S4242" s="3" t="s">
        <v>37</v>
      </c>
      <c r="T4242" s="3" t="s">
        <v>38</v>
      </c>
      <c r="U4242" s="3" t="s">
        <v>39</v>
      </c>
      <c r="V4242" s="3">
        <v>402.98</v>
      </c>
      <c r="W4242" s="3">
        <v>171.27</v>
      </c>
      <c r="X4242" s="3">
        <v>162.19999999999999</v>
      </c>
      <c r="Y4242" s="3">
        <v>69.510000000000005</v>
      </c>
    </row>
    <row r="4243" spans="1:25" ht="60.75" x14ac:dyDescent="0.25">
      <c r="A4243" s="3" t="s">
        <v>26</v>
      </c>
      <c r="B4243" s="3" t="s">
        <v>27</v>
      </c>
      <c r="C4243" s="3" t="s">
        <v>28</v>
      </c>
      <c r="D4243" s="3" t="s">
        <v>29</v>
      </c>
      <c r="E4243" s="3" t="s">
        <v>101</v>
      </c>
      <c r="F4243" s="3" t="s">
        <v>31</v>
      </c>
      <c r="G4243" s="3" t="s">
        <v>101</v>
      </c>
      <c r="H4243" s="3" t="s">
        <v>32</v>
      </c>
      <c r="I4243" s="3">
        <v>2025</v>
      </c>
      <c r="J4243" s="3" t="str">
        <f>CONCATENATE("54810866118")</f>
        <v>54810866118</v>
      </c>
      <c r="K4243" s="3" t="s">
        <v>33</v>
      </c>
      <c r="L4243" s="3"/>
      <c r="M4243" s="3" t="s">
        <v>86</v>
      </c>
      <c r="N4243" s="3" t="str">
        <f>CONCATENATE("GBBBRN60S09L191C")</f>
        <v>GBBBRN60S09L191C</v>
      </c>
      <c r="O4243" s="3" t="s">
        <v>4328</v>
      </c>
      <c r="P4243" s="3" t="s">
        <v>36</v>
      </c>
      <c r="Q4243" s="3"/>
      <c r="R4243" s="4">
        <v>45995</v>
      </c>
      <c r="S4243" s="3" t="s">
        <v>37</v>
      </c>
      <c r="T4243" s="3" t="s">
        <v>38</v>
      </c>
      <c r="U4243" s="3" t="s">
        <v>39</v>
      </c>
      <c r="V4243" s="3">
        <v>44.71</v>
      </c>
      <c r="W4243" s="3">
        <v>19</v>
      </c>
      <c r="X4243" s="3">
        <v>18</v>
      </c>
      <c r="Y4243" s="3">
        <v>7.71</v>
      </c>
    </row>
    <row r="4244" spans="1:25" ht="36.75" x14ac:dyDescent="0.25">
      <c r="A4244" s="3" t="s">
        <v>26</v>
      </c>
      <c r="B4244" s="3" t="s">
        <v>27</v>
      </c>
      <c r="C4244" s="3" t="s">
        <v>28</v>
      </c>
      <c r="D4244" s="3" t="s">
        <v>40</v>
      </c>
      <c r="E4244" s="3" t="s">
        <v>99</v>
      </c>
      <c r="F4244" s="3" t="s">
        <v>42</v>
      </c>
      <c r="G4244" s="3" t="s">
        <v>99</v>
      </c>
      <c r="H4244" s="3" t="s">
        <v>32</v>
      </c>
      <c r="I4244" s="3">
        <v>2025</v>
      </c>
      <c r="J4244" s="3" t="str">
        <f>CONCATENATE("54811064572")</f>
        <v>54811064572</v>
      </c>
      <c r="K4244" s="3" t="s">
        <v>33</v>
      </c>
      <c r="L4244" s="3"/>
      <c r="M4244" s="3" t="s">
        <v>86</v>
      </c>
      <c r="N4244" s="3" t="str">
        <f>CONCATENATE("01990470435")</f>
        <v>01990470435</v>
      </c>
      <c r="O4244" s="3" t="s">
        <v>1710</v>
      </c>
      <c r="P4244" s="3" t="s">
        <v>36</v>
      </c>
      <c r="Q4244" s="3"/>
      <c r="R4244" s="4">
        <v>45995</v>
      </c>
      <c r="S4244" s="3" t="s">
        <v>37</v>
      </c>
      <c r="T4244" s="3" t="s">
        <v>38</v>
      </c>
      <c r="U4244" s="3" t="s">
        <v>39</v>
      </c>
      <c r="V4244" s="3">
        <v>90.26</v>
      </c>
      <c r="W4244" s="3">
        <v>38.36</v>
      </c>
      <c r="X4244" s="3">
        <v>36.33</v>
      </c>
      <c r="Y4244" s="3">
        <v>15.57</v>
      </c>
    </row>
    <row r="4245" spans="1:25" ht="60.75" x14ac:dyDescent="0.25">
      <c r="A4245" s="3" t="s">
        <v>26</v>
      </c>
      <c r="B4245" s="3" t="s">
        <v>27</v>
      </c>
      <c r="C4245" s="3" t="s">
        <v>28</v>
      </c>
      <c r="D4245" s="3" t="s">
        <v>40</v>
      </c>
      <c r="E4245" s="3" t="s">
        <v>99</v>
      </c>
      <c r="F4245" s="3" t="s">
        <v>42</v>
      </c>
      <c r="G4245" s="3" t="s">
        <v>99</v>
      </c>
      <c r="H4245" s="3" t="s">
        <v>32</v>
      </c>
      <c r="I4245" s="3">
        <v>2025</v>
      </c>
      <c r="J4245" s="3" t="str">
        <f>CONCATENATE("54810268166")</f>
        <v>54810268166</v>
      </c>
      <c r="K4245" s="3" t="s">
        <v>33</v>
      </c>
      <c r="L4245" s="3"/>
      <c r="M4245" s="3" t="s">
        <v>86</v>
      </c>
      <c r="N4245" s="3" t="str">
        <f>CONCATENATE("DLLDVD92P30I156S")</f>
        <v>DLLDVD92P30I156S</v>
      </c>
      <c r="O4245" s="3" t="s">
        <v>4329</v>
      </c>
      <c r="P4245" s="3" t="s">
        <v>36</v>
      </c>
      <c r="Q4245" s="3"/>
      <c r="R4245" s="4">
        <v>45995</v>
      </c>
      <c r="S4245" s="3" t="s">
        <v>37</v>
      </c>
      <c r="T4245" s="3" t="s">
        <v>38</v>
      </c>
      <c r="U4245" s="3" t="s">
        <v>39</v>
      </c>
      <c r="V4245" s="3">
        <v>87.99</v>
      </c>
      <c r="W4245" s="3">
        <v>37.4</v>
      </c>
      <c r="X4245" s="3">
        <v>35.42</v>
      </c>
      <c r="Y4245" s="3">
        <v>15.17</v>
      </c>
    </row>
    <row r="4246" spans="1:25" ht="36.75" x14ac:dyDescent="0.25">
      <c r="A4246" s="3" t="s">
        <v>26</v>
      </c>
      <c r="B4246" s="3" t="s">
        <v>27</v>
      </c>
      <c r="C4246" s="3" t="s">
        <v>28</v>
      </c>
      <c r="D4246" s="3" t="s">
        <v>40</v>
      </c>
      <c r="E4246" s="3" t="s">
        <v>44</v>
      </c>
      <c r="F4246" s="3" t="s">
        <v>42</v>
      </c>
      <c r="G4246" s="3" t="s">
        <v>44</v>
      </c>
      <c r="H4246" s="3" t="s">
        <v>32</v>
      </c>
      <c r="I4246" s="3">
        <v>2025</v>
      </c>
      <c r="J4246" s="3" t="str">
        <f>CONCATENATE("54810229739")</f>
        <v>54810229739</v>
      </c>
      <c r="K4246" s="3" t="s">
        <v>33</v>
      </c>
      <c r="L4246" s="3"/>
      <c r="M4246" s="3" t="s">
        <v>86</v>
      </c>
      <c r="N4246" s="3" t="str">
        <f>CONCATENATE("01912770433")</f>
        <v>01912770433</v>
      </c>
      <c r="O4246" s="3" t="s">
        <v>4330</v>
      </c>
      <c r="P4246" s="3" t="s">
        <v>36</v>
      </c>
      <c r="Q4246" s="3"/>
      <c r="R4246" s="4">
        <v>45995</v>
      </c>
      <c r="S4246" s="3" t="s">
        <v>37</v>
      </c>
      <c r="T4246" s="3" t="s">
        <v>38</v>
      </c>
      <c r="U4246" s="3" t="s">
        <v>39</v>
      </c>
      <c r="V4246" s="3">
        <v>209.24</v>
      </c>
      <c r="W4246" s="3">
        <v>88.93</v>
      </c>
      <c r="X4246" s="3">
        <v>84.22</v>
      </c>
      <c r="Y4246" s="3">
        <v>36.090000000000003</v>
      </c>
    </row>
    <row r="4247" spans="1:25" ht="60.75" x14ac:dyDescent="0.25">
      <c r="A4247" s="3" t="s">
        <v>26</v>
      </c>
      <c r="B4247" s="3" t="s">
        <v>27</v>
      </c>
      <c r="C4247" s="3" t="s">
        <v>28</v>
      </c>
      <c r="D4247" s="3" t="s">
        <v>40</v>
      </c>
      <c r="E4247" s="3" t="s">
        <v>44</v>
      </c>
      <c r="F4247" s="3" t="s">
        <v>42</v>
      </c>
      <c r="G4247" s="3" t="s">
        <v>44</v>
      </c>
      <c r="H4247" s="3" t="s">
        <v>32</v>
      </c>
      <c r="I4247" s="3">
        <v>2025</v>
      </c>
      <c r="J4247" s="3" t="str">
        <f>CONCATENATE("54810377397")</f>
        <v>54810377397</v>
      </c>
      <c r="K4247" s="3" t="s">
        <v>33</v>
      </c>
      <c r="L4247" s="3"/>
      <c r="M4247" s="3" t="s">
        <v>86</v>
      </c>
      <c r="N4247" s="3" t="str">
        <f>CONCATENATE("GLLNDR84M05E783B")</f>
        <v>GLLNDR84M05E783B</v>
      </c>
      <c r="O4247" s="3" t="s">
        <v>4331</v>
      </c>
      <c r="P4247" s="3" t="s">
        <v>36</v>
      </c>
      <c r="Q4247" s="3"/>
      <c r="R4247" s="4">
        <v>45995</v>
      </c>
      <c r="S4247" s="3" t="s">
        <v>37</v>
      </c>
      <c r="T4247" s="3" t="s">
        <v>38</v>
      </c>
      <c r="U4247" s="3" t="s">
        <v>39</v>
      </c>
      <c r="V4247" s="3">
        <v>89.97</v>
      </c>
      <c r="W4247" s="3">
        <v>38.24</v>
      </c>
      <c r="X4247" s="3">
        <v>36.21</v>
      </c>
      <c r="Y4247" s="3">
        <v>15.52</v>
      </c>
    </row>
    <row r="4248" spans="1:25" ht="60.75" x14ac:dyDescent="0.25">
      <c r="A4248" s="3" t="s">
        <v>26</v>
      </c>
      <c r="B4248" s="3" t="s">
        <v>27</v>
      </c>
      <c r="C4248" s="3" t="s">
        <v>28</v>
      </c>
      <c r="D4248" s="3" t="s">
        <v>29</v>
      </c>
      <c r="E4248" s="3" t="s">
        <v>125</v>
      </c>
      <c r="F4248" s="3" t="s">
        <v>31</v>
      </c>
      <c r="G4248" s="3" t="s">
        <v>125</v>
      </c>
      <c r="H4248" s="3" t="s">
        <v>32</v>
      </c>
      <c r="I4248" s="3">
        <v>2025</v>
      </c>
      <c r="J4248" s="3" t="str">
        <f>CONCATENATE("54810169075")</f>
        <v>54810169075</v>
      </c>
      <c r="K4248" s="3" t="s">
        <v>33</v>
      </c>
      <c r="L4248" s="3"/>
      <c r="M4248" s="3" t="s">
        <v>86</v>
      </c>
      <c r="N4248" s="3" t="str">
        <f>CONCATENATE("CNCMRC86D27E690V")</f>
        <v>CNCMRC86D27E690V</v>
      </c>
      <c r="O4248" s="3" t="s">
        <v>4332</v>
      </c>
      <c r="P4248" s="3" t="s">
        <v>36</v>
      </c>
      <c r="Q4248" s="3"/>
      <c r="R4248" s="4">
        <v>45995</v>
      </c>
      <c r="S4248" s="3" t="s">
        <v>37</v>
      </c>
      <c r="T4248" s="3" t="s">
        <v>38</v>
      </c>
      <c r="U4248" s="3" t="s">
        <v>39</v>
      </c>
      <c r="V4248" s="3">
        <v>335.84</v>
      </c>
      <c r="W4248" s="3">
        <v>142.72999999999999</v>
      </c>
      <c r="X4248" s="3">
        <v>135.18</v>
      </c>
      <c r="Y4248" s="3">
        <v>57.93</v>
      </c>
    </row>
    <row r="4249" spans="1:25" ht="36.75" x14ac:dyDescent="0.25">
      <c r="A4249" s="3" t="s">
        <v>26</v>
      </c>
      <c r="B4249" s="3" t="s">
        <v>27</v>
      </c>
      <c r="C4249" s="3" t="s">
        <v>28</v>
      </c>
      <c r="D4249" s="3" t="s">
        <v>50</v>
      </c>
      <c r="E4249" s="3" t="s">
        <v>212</v>
      </c>
      <c r="F4249" s="3" t="s">
        <v>52</v>
      </c>
      <c r="G4249" s="3" t="s">
        <v>212</v>
      </c>
      <c r="H4249" s="3" t="s">
        <v>32</v>
      </c>
      <c r="I4249" s="3">
        <v>2025</v>
      </c>
      <c r="J4249" s="3" t="str">
        <f>CONCATENATE("54810627593")</f>
        <v>54810627593</v>
      </c>
      <c r="K4249" s="3" t="s">
        <v>33</v>
      </c>
      <c r="L4249" s="3"/>
      <c r="M4249" s="3" t="s">
        <v>86</v>
      </c>
      <c r="N4249" s="3" t="str">
        <f>CONCATENATE("01914620438")</f>
        <v>01914620438</v>
      </c>
      <c r="O4249" s="3" t="s">
        <v>4333</v>
      </c>
      <c r="P4249" s="3" t="s">
        <v>36</v>
      </c>
      <c r="Q4249" s="3"/>
      <c r="R4249" s="4">
        <v>45995</v>
      </c>
      <c r="S4249" s="3" t="s">
        <v>37</v>
      </c>
      <c r="T4249" s="3" t="s">
        <v>38</v>
      </c>
      <c r="U4249" s="3" t="s">
        <v>39</v>
      </c>
      <c r="V4249" s="3">
        <v>60.78</v>
      </c>
      <c r="W4249" s="3">
        <v>25.83</v>
      </c>
      <c r="X4249" s="3">
        <v>24.46</v>
      </c>
      <c r="Y4249" s="3">
        <v>10.49</v>
      </c>
    </row>
    <row r="4250" spans="1:25" ht="36.75" x14ac:dyDescent="0.25">
      <c r="A4250" s="3" t="s">
        <v>26</v>
      </c>
      <c r="B4250" s="3" t="s">
        <v>27</v>
      </c>
      <c r="C4250" s="3" t="s">
        <v>28</v>
      </c>
      <c r="D4250" s="3" t="s">
        <v>91</v>
      </c>
      <c r="E4250" s="3" t="s">
        <v>522</v>
      </c>
      <c r="F4250" s="3" t="s">
        <v>93</v>
      </c>
      <c r="G4250" s="3" t="s">
        <v>522</v>
      </c>
      <c r="H4250" s="3" t="s">
        <v>32</v>
      </c>
      <c r="I4250" s="3">
        <v>2025</v>
      </c>
      <c r="J4250" s="3" t="str">
        <f>CONCATENATE("54810442878")</f>
        <v>54810442878</v>
      </c>
      <c r="K4250" s="3" t="s">
        <v>33</v>
      </c>
      <c r="L4250" s="3"/>
      <c r="M4250" s="3" t="s">
        <v>86</v>
      </c>
      <c r="N4250" s="3" t="str">
        <f>CONCATENATE("01429600438")</f>
        <v>01429600438</v>
      </c>
      <c r="O4250" s="3" t="s">
        <v>2030</v>
      </c>
      <c r="P4250" s="3" t="s">
        <v>36</v>
      </c>
      <c r="Q4250" s="3"/>
      <c r="R4250" s="4">
        <v>45995</v>
      </c>
      <c r="S4250" s="3" t="s">
        <v>37</v>
      </c>
      <c r="T4250" s="3" t="s">
        <v>38</v>
      </c>
      <c r="U4250" s="3" t="s">
        <v>39</v>
      </c>
      <c r="V4250" s="3">
        <v>129.38</v>
      </c>
      <c r="W4250" s="3">
        <v>54.99</v>
      </c>
      <c r="X4250" s="3">
        <v>52.08</v>
      </c>
      <c r="Y4250" s="3">
        <v>22.31</v>
      </c>
    </row>
    <row r="4251" spans="1:25" ht="60.75" x14ac:dyDescent="0.25">
      <c r="A4251" s="3" t="s">
        <v>26</v>
      </c>
      <c r="B4251" s="3" t="s">
        <v>27</v>
      </c>
      <c r="C4251" s="3" t="s">
        <v>28</v>
      </c>
      <c r="D4251" s="3" t="s">
        <v>50</v>
      </c>
      <c r="E4251" s="3" t="s">
        <v>513</v>
      </c>
      <c r="F4251" s="3" t="s">
        <v>52</v>
      </c>
      <c r="G4251" s="3" t="s">
        <v>513</v>
      </c>
      <c r="H4251" s="3" t="s">
        <v>96</v>
      </c>
      <c r="I4251" s="3">
        <v>2025</v>
      </c>
      <c r="J4251" s="3" t="str">
        <f>CONCATENATE("54810433059")</f>
        <v>54810433059</v>
      </c>
      <c r="K4251" s="3" t="s">
        <v>33</v>
      </c>
      <c r="L4251" s="3"/>
      <c r="M4251" s="3" t="s">
        <v>86</v>
      </c>
      <c r="N4251" s="3" t="str">
        <f>CONCATENATE("VTLLLL63S42F697O")</f>
        <v>VTLLLL63S42F697O</v>
      </c>
      <c r="O4251" s="3" t="s">
        <v>4334</v>
      </c>
      <c r="P4251" s="3" t="s">
        <v>36</v>
      </c>
      <c r="Q4251" s="3"/>
      <c r="R4251" s="4">
        <v>45995</v>
      </c>
      <c r="S4251" s="3" t="s">
        <v>37</v>
      </c>
      <c r="T4251" s="3" t="s">
        <v>38</v>
      </c>
      <c r="U4251" s="3" t="s">
        <v>39</v>
      </c>
      <c r="V4251" s="3">
        <v>110.68</v>
      </c>
      <c r="W4251" s="3">
        <v>47.04</v>
      </c>
      <c r="X4251" s="3">
        <v>44.55</v>
      </c>
      <c r="Y4251" s="3">
        <v>19.09</v>
      </c>
    </row>
    <row r="4252" spans="1:25" ht="60.75" x14ac:dyDescent="0.25">
      <c r="A4252" s="3" t="s">
        <v>26</v>
      </c>
      <c r="B4252" s="3" t="s">
        <v>27</v>
      </c>
      <c r="C4252" s="3" t="s">
        <v>28</v>
      </c>
      <c r="D4252" s="3" t="s">
        <v>91</v>
      </c>
      <c r="E4252" s="3" t="s">
        <v>95</v>
      </c>
      <c r="F4252" s="3" t="s">
        <v>93</v>
      </c>
      <c r="G4252" s="3" t="s">
        <v>95</v>
      </c>
      <c r="H4252" s="3" t="s">
        <v>96</v>
      </c>
      <c r="I4252" s="3">
        <v>2025</v>
      </c>
      <c r="J4252" s="3" t="str">
        <f>CONCATENATE("54810597226")</f>
        <v>54810597226</v>
      </c>
      <c r="K4252" s="3" t="s">
        <v>33</v>
      </c>
      <c r="L4252" s="3"/>
      <c r="M4252" s="3" t="s">
        <v>86</v>
      </c>
      <c r="N4252" s="3" t="str">
        <f>CONCATENATE("RBZPLA78A17L736L")</f>
        <v>RBZPLA78A17L736L</v>
      </c>
      <c r="O4252" s="3" t="s">
        <v>4335</v>
      </c>
      <c r="P4252" s="3" t="s">
        <v>36</v>
      </c>
      <c r="Q4252" s="3"/>
      <c r="R4252" s="4">
        <v>45995</v>
      </c>
      <c r="S4252" s="3" t="s">
        <v>37</v>
      </c>
      <c r="T4252" s="3" t="s">
        <v>38</v>
      </c>
      <c r="U4252" s="3" t="s">
        <v>39</v>
      </c>
      <c r="V4252" s="3">
        <v>144.80000000000001</v>
      </c>
      <c r="W4252" s="3">
        <v>61.54</v>
      </c>
      <c r="X4252" s="3">
        <v>58.28</v>
      </c>
      <c r="Y4252" s="3">
        <v>24.98</v>
      </c>
    </row>
    <row r="4253" spans="1:25" ht="60.75" x14ac:dyDescent="0.25">
      <c r="A4253" s="3" t="s">
        <v>26</v>
      </c>
      <c r="B4253" s="3" t="s">
        <v>27</v>
      </c>
      <c r="C4253" s="3" t="s">
        <v>28</v>
      </c>
      <c r="D4253" s="3" t="s">
        <v>50</v>
      </c>
      <c r="E4253" s="3" t="s">
        <v>107</v>
      </c>
      <c r="F4253" s="3" t="s">
        <v>52</v>
      </c>
      <c r="G4253" s="3" t="s">
        <v>107</v>
      </c>
      <c r="H4253" s="3" t="s">
        <v>48</v>
      </c>
      <c r="I4253" s="3">
        <v>2025</v>
      </c>
      <c r="J4253" s="3" t="str">
        <f>CONCATENATE("54811042636")</f>
        <v>54811042636</v>
      </c>
      <c r="K4253" s="3" t="s">
        <v>33</v>
      </c>
      <c r="L4253" s="3"/>
      <c r="M4253" s="3" t="s">
        <v>86</v>
      </c>
      <c r="N4253" s="3" t="str">
        <f>CONCATENATE("DTTDRD90S22E388C")</f>
        <v>DTTDRD90S22E388C</v>
      </c>
      <c r="O4253" s="3" t="s">
        <v>4336</v>
      </c>
      <c r="P4253" s="3" t="s">
        <v>36</v>
      </c>
      <c r="Q4253" s="3"/>
      <c r="R4253" s="4">
        <v>45995</v>
      </c>
      <c r="S4253" s="3" t="s">
        <v>37</v>
      </c>
      <c r="T4253" s="3" t="s">
        <v>38</v>
      </c>
      <c r="U4253" s="3" t="s">
        <v>39</v>
      </c>
      <c r="V4253" s="3">
        <v>41.68</v>
      </c>
      <c r="W4253" s="3">
        <v>17.71</v>
      </c>
      <c r="X4253" s="3">
        <v>16.78</v>
      </c>
      <c r="Y4253" s="3">
        <v>7.19</v>
      </c>
    </row>
    <row r="4254" spans="1:25" ht="60.75" x14ac:dyDescent="0.25">
      <c r="A4254" s="3" t="s">
        <v>26</v>
      </c>
      <c r="B4254" s="3" t="s">
        <v>27</v>
      </c>
      <c r="C4254" s="3" t="s">
        <v>28</v>
      </c>
      <c r="D4254" s="3" t="s">
        <v>312</v>
      </c>
      <c r="E4254" s="3" t="s">
        <v>313</v>
      </c>
      <c r="F4254" s="3" t="s">
        <v>314</v>
      </c>
      <c r="G4254" s="3" t="s">
        <v>313</v>
      </c>
      <c r="H4254" s="3" t="s">
        <v>96</v>
      </c>
      <c r="I4254" s="3">
        <v>2025</v>
      </c>
      <c r="J4254" s="3" t="str">
        <f>CONCATENATE("54811140067")</f>
        <v>54811140067</v>
      </c>
      <c r="K4254" s="3" t="s">
        <v>33</v>
      </c>
      <c r="L4254" s="3"/>
      <c r="M4254" s="3" t="s">
        <v>86</v>
      </c>
      <c r="N4254" s="3" t="str">
        <f>CONCATENATE("TLLMTT92E11A462X")</f>
        <v>TLLMTT92E11A462X</v>
      </c>
      <c r="O4254" s="3" t="s">
        <v>4337</v>
      </c>
      <c r="P4254" s="3" t="s">
        <v>36</v>
      </c>
      <c r="Q4254" s="3"/>
      <c r="R4254" s="4">
        <v>45995</v>
      </c>
      <c r="S4254" s="3" t="s">
        <v>37</v>
      </c>
      <c r="T4254" s="3" t="s">
        <v>38</v>
      </c>
      <c r="U4254" s="3" t="s">
        <v>39</v>
      </c>
      <c r="V4254" s="3">
        <v>30.9</v>
      </c>
      <c r="W4254" s="3">
        <v>13.13</v>
      </c>
      <c r="X4254" s="3">
        <v>12.44</v>
      </c>
      <c r="Y4254" s="3">
        <v>5.33</v>
      </c>
    </row>
    <row r="4255" spans="1:25" ht="60.75" x14ac:dyDescent="0.25">
      <c r="A4255" s="3" t="s">
        <v>26</v>
      </c>
      <c r="B4255" s="3" t="s">
        <v>27</v>
      </c>
      <c r="C4255" s="3" t="s">
        <v>28</v>
      </c>
      <c r="D4255" s="3" t="s">
        <v>29</v>
      </c>
      <c r="E4255" s="3" t="s">
        <v>101</v>
      </c>
      <c r="F4255" s="3" t="s">
        <v>31</v>
      </c>
      <c r="G4255" s="3" t="s">
        <v>101</v>
      </c>
      <c r="H4255" s="3" t="s">
        <v>32</v>
      </c>
      <c r="I4255" s="3">
        <v>2025</v>
      </c>
      <c r="J4255" s="3" t="str">
        <f>CONCATENATE("54810866613")</f>
        <v>54810866613</v>
      </c>
      <c r="K4255" s="3" t="s">
        <v>33</v>
      </c>
      <c r="L4255" s="3"/>
      <c r="M4255" s="3" t="s">
        <v>86</v>
      </c>
      <c r="N4255" s="3" t="str">
        <f>CONCATENATE("PRSFNC50T21B398U")</f>
        <v>PRSFNC50T21B398U</v>
      </c>
      <c r="O4255" s="3" t="s">
        <v>3182</v>
      </c>
      <c r="P4255" s="3" t="s">
        <v>36</v>
      </c>
      <c r="Q4255" s="3"/>
      <c r="R4255" s="4">
        <v>45995</v>
      </c>
      <c r="S4255" s="3" t="s">
        <v>37</v>
      </c>
      <c r="T4255" s="3" t="s">
        <v>38</v>
      </c>
      <c r="U4255" s="3" t="s">
        <v>39</v>
      </c>
      <c r="V4255" s="3">
        <v>79.959999999999994</v>
      </c>
      <c r="W4255" s="3">
        <v>33.979999999999997</v>
      </c>
      <c r="X4255" s="3">
        <v>32.18</v>
      </c>
      <c r="Y4255" s="3">
        <v>13.8</v>
      </c>
    </row>
    <row r="4256" spans="1:25" ht="60.75" x14ac:dyDescent="0.25">
      <c r="A4256" s="3" t="s">
        <v>26</v>
      </c>
      <c r="B4256" s="3" t="s">
        <v>27</v>
      </c>
      <c r="C4256" s="3" t="s">
        <v>28</v>
      </c>
      <c r="D4256" s="3" t="s">
        <v>29</v>
      </c>
      <c r="E4256" s="3" t="s">
        <v>101</v>
      </c>
      <c r="F4256" s="3" t="s">
        <v>31</v>
      </c>
      <c r="G4256" s="3" t="s">
        <v>101</v>
      </c>
      <c r="H4256" s="3" t="s">
        <v>32</v>
      </c>
      <c r="I4256" s="3">
        <v>2025</v>
      </c>
      <c r="J4256" s="3" t="str">
        <f>CONCATENATE("54810867108")</f>
        <v>54810867108</v>
      </c>
      <c r="K4256" s="3" t="s">
        <v>33</v>
      </c>
      <c r="L4256" s="3"/>
      <c r="M4256" s="3" t="s">
        <v>86</v>
      </c>
      <c r="N4256" s="3" t="str">
        <f>CONCATENATE("MRZMLS47T69B398D")</f>
        <v>MRZMLS47T69B398D</v>
      </c>
      <c r="O4256" s="3" t="s">
        <v>439</v>
      </c>
      <c r="P4256" s="3" t="s">
        <v>36</v>
      </c>
      <c r="Q4256" s="3"/>
      <c r="R4256" s="4">
        <v>45995</v>
      </c>
      <c r="S4256" s="3" t="s">
        <v>37</v>
      </c>
      <c r="T4256" s="3" t="s">
        <v>38</v>
      </c>
      <c r="U4256" s="3" t="s">
        <v>39</v>
      </c>
      <c r="V4256" s="3">
        <v>107.95</v>
      </c>
      <c r="W4256" s="3">
        <v>45.88</v>
      </c>
      <c r="X4256" s="3">
        <v>43.45</v>
      </c>
      <c r="Y4256" s="3">
        <v>18.62</v>
      </c>
    </row>
    <row r="4257" spans="1:25" ht="36.75" x14ac:dyDescent="0.25">
      <c r="A4257" s="3" t="s">
        <v>26</v>
      </c>
      <c r="B4257" s="3" t="s">
        <v>27</v>
      </c>
      <c r="C4257" s="3" t="s">
        <v>28</v>
      </c>
      <c r="D4257" s="3" t="s">
        <v>91</v>
      </c>
      <c r="E4257" s="3" t="s">
        <v>95</v>
      </c>
      <c r="F4257" s="3" t="s">
        <v>93</v>
      </c>
      <c r="G4257" s="3" t="s">
        <v>95</v>
      </c>
      <c r="H4257" s="3" t="s">
        <v>96</v>
      </c>
      <c r="I4257" s="3">
        <v>2025</v>
      </c>
      <c r="J4257" s="3" t="str">
        <f>CONCATENATE("54810465655")</f>
        <v>54810465655</v>
      </c>
      <c r="K4257" s="3" t="s">
        <v>33</v>
      </c>
      <c r="L4257" s="3"/>
      <c r="M4257" s="3" t="s">
        <v>86</v>
      </c>
      <c r="N4257" s="3" t="str">
        <f>CONCATENATE("02139620443")</f>
        <v>02139620443</v>
      </c>
      <c r="O4257" s="3" t="s">
        <v>4338</v>
      </c>
      <c r="P4257" s="3" t="s">
        <v>36</v>
      </c>
      <c r="Q4257" s="3"/>
      <c r="R4257" s="4">
        <v>45995</v>
      </c>
      <c r="S4257" s="3" t="s">
        <v>37</v>
      </c>
      <c r="T4257" s="3" t="s">
        <v>38</v>
      </c>
      <c r="U4257" s="3" t="s">
        <v>39</v>
      </c>
      <c r="V4257" s="3">
        <v>182.09</v>
      </c>
      <c r="W4257" s="3">
        <v>77.39</v>
      </c>
      <c r="X4257" s="3">
        <v>73.290000000000006</v>
      </c>
      <c r="Y4257" s="3">
        <v>31.41</v>
      </c>
    </row>
    <row r="4258" spans="1:25" ht="60.75" x14ac:dyDescent="0.25">
      <c r="A4258" s="3" t="s">
        <v>26</v>
      </c>
      <c r="B4258" s="3" t="s">
        <v>27</v>
      </c>
      <c r="C4258" s="3" t="s">
        <v>28</v>
      </c>
      <c r="D4258" s="3" t="s">
        <v>29</v>
      </c>
      <c r="E4258" s="3" t="s">
        <v>1975</v>
      </c>
      <c r="F4258" s="3" t="s">
        <v>31</v>
      </c>
      <c r="G4258" s="3" t="s">
        <v>1975</v>
      </c>
      <c r="H4258" s="3" t="s">
        <v>32</v>
      </c>
      <c r="I4258" s="3">
        <v>2025</v>
      </c>
      <c r="J4258" s="3" t="str">
        <f>CONCATENATE("54810210036")</f>
        <v>54810210036</v>
      </c>
      <c r="K4258" s="3" t="s">
        <v>33</v>
      </c>
      <c r="L4258" s="3"/>
      <c r="M4258" s="3" t="s">
        <v>86</v>
      </c>
      <c r="N4258" s="3" t="str">
        <f>CONCATENATE("MRNFNC81T03B041Z")</f>
        <v>MRNFNC81T03B041Z</v>
      </c>
      <c r="O4258" s="3" t="s">
        <v>4339</v>
      </c>
      <c r="P4258" s="3" t="s">
        <v>36</v>
      </c>
      <c r="Q4258" s="3"/>
      <c r="R4258" s="4">
        <v>45995</v>
      </c>
      <c r="S4258" s="3" t="s">
        <v>37</v>
      </c>
      <c r="T4258" s="3" t="s">
        <v>38</v>
      </c>
      <c r="U4258" s="3" t="s">
        <v>39</v>
      </c>
      <c r="V4258" s="3">
        <v>258.31</v>
      </c>
      <c r="W4258" s="3">
        <v>109.78</v>
      </c>
      <c r="X4258" s="3">
        <v>103.97</v>
      </c>
      <c r="Y4258" s="3">
        <v>44.56</v>
      </c>
    </row>
    <row r="4259" spans="1:25" ht="60.75" x14ac:dyDescent="0.25">
      <c r="A4259" s="3" t="s">
        <v>26</v>
      </c>
      <c r="B4259" s="3" t="s">
        <v>27</v>
      </c>
      <c r="C4259" s="3" t="s">
        <v>28</v>
      </c>
      <c r="D4259" s="3" t="s">
        <v>29</v>
      </c>
      <c r="E4259" s="3" t="s">
        <v>101</v>
      </c>
      <c r="F4259" s="3" t="s">
        <v>31</v>
      </c>
      <c r="G4259" s="3" t="s">
        <v>101</v>
      </c>
      <c r="H4259" s="3" t="s">
        <v>32</v>
      </c>
      <c r="I4259" s="3">
        <v>2025</v>
      </c>
      <c r="J4259" s="3" t="str">
        <f>CONCATENATE("54810870177")</f>
        <v>54810870177</v>
      </c>
      <c r="K4259" s="3" t="s">
        <v>33</v>
      </c>
      <c r="L4259" s="3"/>
      <c r="M4259" s="3" t="s">
        <v>86</v>
      </c>
      <c r="N4259" s="3" t="str">
        <f>CONCATENATE("SPRPRZ79S08B474K")</f>
        <v>SPRPRZ79S08B474K</v>
      </c>
      <c r="O4259" s="3" t="s">
        <v>2540</v>
      </c>
      <c r="P4259" s="3" t="s">
        <v>36</v>
      </c>
      <c r="Q4259" s="3"/>
      <c r="R4259" s="4">
        <v>45995</v>
      </c>
      <c r="S4259" s="3" t="s">
        <v>37</v>
      </c>
      <c r="T4259" s="3" t="s">
        <v>38</v>
      </c>
      <c r="U4259" s="3" t="s">
        <v>39</v>
      </c>
      <c r="V4259" s="3">
        <v>123.79</v>
      </c>
      <c r="W4259" s="3">
        <v>52.61</v>
      </c>
      <c r="X4259" s="3">
        <v>49.83</v>
      </c>
      <c r="Y4259" s="3">
        <v>21.35</v>
      </c>
    </row>
    <row r="4260" spans="1:25" ht="60.75" x14ac:dyDescent="0.25">
      <c r="A4260" s="3" t="s">
        <v>26</v>
      </c>
      <c r="B4260" s="3" t="s">
        <v>27</v>
      </c>
      <c r="C4260" s="3" t="s">
        <v>28</v>
      </c>
      <c r="D4260" s="3" t="s">
        <v>104</v>
      </c>
      <c r="E4260" s="3" t="s">
        <v>691</v>
      </c>
      <c r="F4260" s="3" t="s">
        <v>104</v>
      </c>
      <c r="G4260" s="3" t="s">
        <v>691</v>
      </c>
      <c r="H4260" s="3" t="s">
        <v>48</v>
      </c>
      <c r="I4260" s="3">
        <v>2025</v>
      </c>
      <c r="J4260" s="3" t="str">
        <f>CONCATENATE("54811104725")</f>
        <v>54811104725</v>
      </c>
      <c r="K4260" s="3" t="s">
        <v>33</v>
      </c>
      <c r="L4260" s="3"/>
      <c r="M4260" s="3" t="s">
        <v>86</v>
      </c>
      <c r="N4260" s="3" t="str">
        <f>CONCATENATE("SRGGDN00B21I156X")</f>
        <v>SRGGDN00B21I156X</v>
      </c>
      <c r="O4260" s="3" t="s">
        <v>4340</v>
      </c>
      <c r="P4260" s="3" t="s">
        <v>36</v>
      </c>
      <c r="Q4260" s="3"/>
      <c r="R4260" s="4">
        <v>45995</v>
      </c>
      <c r="S4260" s="3" t="s">
        <v>37</v>
      </c>
      <c r="T4260" s="3" t="s">
        <v>38</v>
      </c>
      <c r="U4260" s="3" t="s">
        <v>39</v>
      </c>
      <c r="V4260" s="3">
        <v>87.75</v>
      </c>
      <c r="W4260" s="3">
        <v>37.29</v>
      </c>
      <c r="X4260" s="3">
        <v>35.32</v>
      </c>
      <c r="Y4260" s="3">
        <v>15.14</v>
      </c>
    </row>
    <row r="4261" spans="1:25" ht="36.75" x14ac:dyDescent="0.25">
      <c r="A4261" s="3" t="s">
        <v>26</v>
      </c>
      <c r="B4261" s="3" t="s">
        <v>27</v>
      </c>
      <c r="C4261" s="3" t="s">
        <v>28</v>
      </c>
      <c r="D4261" s="3" t="s">
        <v>40</v>
      </c>
      <c r="E4261" s="3" t="s">
        <v>41</v>
      </c>
      <c r="F4261" s="3" t="s">
        <v>42</v>
      </c>
      <c r="G4261" s="3" t="s">
        <v>41</v>
      </c>
      <c r="H4261" s="3" t="s">
        <v>32</v>
      </c>
      <c r="I4261" s="3">
        <v>2025</v>
      </c>
      <c r="J4261" s="3" t="str">
        <f>CONCATENATE("54810149440")</f>
        <v>54810149440</v>
      </c>
      <c r="K4261" s="3" t="s">
        <v>33</v>
      </c>
      <c r="L4261" s="3"/>
      <c r="M4261" s="3" t="s">
        <v>86</v>
      </c>
      <c r="N4261" s="3" t="str">
        <f>CONCATENATE("00898770433")</f>
        <v>00898770433</v>
      </c>
      <c r="O4261" s="3" t="s">
        <v>4341</v>
      </c>
      <c r="P4261" s="3" t="s">
        <v>36</v>
      </c>
      <c r="Q4261" s="3"/>
      <c r="R4261" s="4">
        <v>45995</v>
      </c>
      <c r="S4261" s="3" t="s">
        <v>37</v>
      </c>
      <c r="T4261" s="3" t="s">
        <v>38</v>
      </c>
      <c r="U4261" s="3" t="s">
        <v>39</v>
      </c>
      <c r="V4261" s="3">
        <v>131.68</v>
      </c>
      <c r="W4261" s="3">
        <v>55.96</v>
      </c>
      <c r="X4261" s="3">
        <v>53</v>
      </c>
      <c r="Y4261" s="3">
        <v>22.72</v>
      </c>
    </row>
    <row r="4262" spans="1:25" ht="36.75" x14ac:dyDescent="0.25">
      <c r="A4262" s="3" t="s">
        <v>26</v>
      </c>
      <c r="B4262" s="3" t="s">
        <v>27</v>
      </c>
      <c r="C4262" s="3" t="s">
        <v>28</v>
      </c>
      <c r="D4262" s="3" t="s">
        <v>50</v>
      </c>
      <c r="E4262" s="3" t="s">
        <v>4342</v>
      </c>
      <c r="F4262" s="3" t="s">
        <v>52</v>
      </c>
      <c r="G4262" s="3" t="s">
        <v>4342</v>
      </c>
      <c r="H4262" s="3" t="s">
        <v>48</v>
      </c>
      <c r="I4262" s="3">
        <v>2025</v>
      </c>
      <c r="J4262" s="3" t="str">
        <f>CONCATENATE("54810445889")</f>
        <v>54810445889</v>
      </c>
      <c r="K4262" s="3" t="s">
        <v>33</v>
      </c>
      <c r="L4262" s="3"/>
      <c r="M4262" s="3" t="s">
        <v>86</v>
      </c>
      <c r="N4262" s="3" t="str">
        <f>CONCATENATE("02788490429")</f>
        <v>02788490429</v>
      </c>
      <c r="O4262" s="3" t="s">
        <v>4343</v>
      </c>
      <c r="P4262" s="3" t="s">
        <v>36</v>
      </c>
      <c r="Q4262" s="3"/>
      <c r="R4262" s="4">
        <v>45995</v>
      </c>
      <c r="S4262" s="3" t="s">
        <v>37</v>
      </c>
      <c r="T4262" s="3" t="s">
        <v>38</v>
      </c>
      <c r="U4262" s="3" t="s">
        <v>39</v>
      </c>
      <c r="V4262" s="3">
        <v>158.44</v>
      </c>
      <c r="W4262" s="3">
        <v>67.34</v>
      </c>
      <c r="X4262" s="3">
        <v>63.77</v>
      </c>
      <c r="Y4262" s="3">
        <v>27.33</v>
      </c>
    </row>
    <row r="4263" spans="1:25" ht="60.75" x14ac:dyDescent="0.25">
      <c r="A4263" s="3" t="s">
        <v>26</v>
      </c>
      <c r="B4263" s="3" t="s">
        <v>27</v>
      </c>
      <c r="C4263" s="3" t="s">
        <v>28</v>
      </c>
      <c r="D4263" s="3" t="s">
        <v>40</v>
      </c>
      <c r="E4263" s="3" t="s">
        <v>44</v>
      </c>
      <c r="F4263" s="3" t="s">
        <v>42</v>
      </c>
      <c r="G4263" s="3" t="s">
        <v>44</v>
      </c>
      <c r="H4263" s="3" t="s">
        <v>32</v>
      </c>
      <c r="I4263" s="3">
        <v>2025</v>
      </c>
      <c r="J4263" s="3" t="str">
        <f>CONCATENATE("54810427747")</f>
        <v>54810427747</v>
      </c>
      <c r="K4263" s="3" t="s">
        <v>33</v>
      </c>
      <c r="L4263" s="3"/>
      <c r="M4263" s="3" t="s">
        <v>86</v>
      </c>
      <c r="N4263" s="3" t="str">
        <f>CONCATENATE("PRMJRU95S23I156U")</f>
        <v>PRMJRU95S23I156U</v>
      </c>
      <c r="O4263" s="3" t="s">
        <v>4344</v>
      </c>
      <c r="P4263" s="3" t="s">
        <v>36</v>
      </c>
      <c r="Q4263" s="3"/>
      <c r="R4263" s="4">
        <v>45995</v>
      </c>
      <c r="S4263" s="3" t="s">
        <v>37</v>
      </c>
      <c r="T4263" s="3" t="s">
        <v>38</v>
      </c>
      <c r="U4263" s="3" t="s">
        <v>39</v>
      </c>
      <c r="V4263" s="3">
        <v>105.56</v>
      </c>
      <c r="W4263" s="3">
        <v>44.86</v>
      </c>
      <c r="X4263" s="3">
        <v>42.49</v>
      </c>
      <c r="Y4263" s="3">
        <v>18.21</v>
      </c>
    </row>
    <row r="4264" spans="1:25" ht="36.75" x14ac:dyDescent="0.25">
      <c r="A4264" s="3" t="s">
        <v>26</v>
      </c>
      <c r="B4264" s="3" t="s">
        <v>27</v>
      </c>
      <c r="C4264" s="3" t="s">
        <v>28</v>
      </c>
      <c r="D4264" s="3" t="s">
        <v>312</v>
      </c>
      <c r="E4264" s="3" t="s">
        <v>313</v>
      </c>
      <c r="F4264" s="3" t="s">
        <v>314</v>
      </c>
      <c r="G4264" s="3" t="s">
        <v>313</v>
      </c>
      <c r="H4264" s="3" t="s">
        <v>96</v>
      </c>
      <c r="I4264" s="3">
        <v>2025</v>
      </c>
      <c r="J4264" s="3" t="str">
        <f>CONCATENATE("54810852357")</f>
        <v>54810852357</v>
      </c>
      <c r="K4264" s="3" t="s">
        <v>33</v>
      </c>
      <c r="L4264" s="3"/>
      <c r="M4264" s="3" t="s">
        <v>86</v>
      </c>
      <c r="N4264" s="3" t="str">
        <f>CONCATENATE("02349760443")</f>
        <v>02349760443</v>
      </c>
      <c r="O4264" s="3" t="s">
        <v>4345</v>
      </c>
      <c r="P4264" s="3" t="s">
        <v>36</v>
      </c>
      <c r="Q4264" s="3"/>
      <c r="R4264" s="4">
        <v>45995</v>
      </c>
      <c r="S4264" s="3" t="s">
        <v>37</v>
      </c>
      <c r="T4264" s="3" t="s">
        <v>38</v>
      </c>
      <c r="U4264" s="3" t="s">
        <v>39</v>
      </c>
      <c r="V4264" s="3">
        <v>58.56</v>
      </c>
      <c r="W4264" s="3">
        <v>24.89</v>
      </c>
      <c r="X4264" s="3">
        <v>23.57</v>
      </c>
      <c r="Y4264" s="3">
        <v>10.1</v>
      </c>
    </row>
    <row r="4265" spans="1:25" ht="48.75" x14ac:dyDescent="0.25">
      <c r="A4265" s="3" t="s">
        <v>26</v>
      </c>
      <c r="B4265" s="3" t="s">
        <v>27</v>
      </c>
      <c r="C4265" s="3" t="s">
        <v>28</v>
      </c>
      <c r="D4265" s="3" t="s">
        <v>40</v>
      </c>
      <c r="E4265" s="3" t="s">
        <v>99</v>
      </c>
      <c r="F4265" s="3" t="s">
        <v>42</v>
      </c>
      <c r="G4265" s="3" t="s">
        <v>99</v>
      </c>
      <c r="H4265" s="3" t="s">
        <v>32</v>
      </c>
      <c r="I4265" s="3">
        <v>2025</v>
      </c>
      <c r="J4265" s="3" t="str">
        <f>CONCATENATE("54810270188")</f>
        <v>54810270188</v>
      </c>
      <c r="K4265" s="3" t="s">
        <v>33</v>
      </c>
      <c r="L4265" s="3"/>
      <c r="M4265" s="3" t="s">
        <v>86</v>
      </c>
      <c r="N4265" s="3" t="str">
        <f>CONCATENATE("RCLCST84L21E783I")</f>
        <v>RCLCST84L21E783I</v>
      </c>
      <c r="O4265" s="3" t="s">
        <v>4346</v>
      </c>
      <c r="P4265" s="3" t="s">
        <v>36</v>
      </c>
      <c r="Q4265" s="3"/>
      <c r="R4265" s="4">
        <v>45995</v>
      </c>
      <c r="S4265" s="3" t="s">
        <v>37</v>
      </c>
      <c r="T4265" s="3" t="s">
        <v>38</v>
      </c>
      <c r="U4265" s="3" t="s">
        <v>39</v>
      </c>
      <c r="V4265" s="3">
        <v>95.9</v>
      </c>
      <c r="W4265" s="3">
        <v>40.76</v>
      </c>
      <c r="X4265" s="3">
        <v>38.6</v>
      </c>
      <c r="Y4265" s="3">
        <v>16.54</v>
      </c>
    </row>
    <row r="4266" spans="1:25" ht="60.75" x14ac:dyDescent="0.25">
      <c r="A4266" s="3" t="s">
        <v>26</v>
      </c>
      <c r="B4266" s="3" t="s">
        <v>27</v>
      </c>
      <c r="C4266" s="3" t="s">
        <v>28</v>
      </c>
      <c r="D4266" s="3" t="s">
        <v>50</v>
      </c>
      <c r="E4266" s="3" t="s">
        <v>513</v>
      </c>
      <c r="F4266" s="3" t="s">
        <v>52</v>
      </c>
      <c r="G4266" s="3" t="s">
        <v>513</v>
      </c>
      <c r="H4266" s="3" t="s">
        <v>96</v>
      </c>
      <c r="I4266" s="3">
        <v>2025</v>
      </c>
      <c r="J4266" s="3" t="str">
        <f>CONCATENATE("54810421765")</f>
        <v>54810421765</v>
      </c>
      <c r="K4266" s="3" t="s">
        <v>33</v>
      </c>
      <c r="L4266" s="3"/>
      <c r="M4266" s="3" t="s">
        <v>86</v>
      </c>
      <c r="N4266" s="3" t="str">
        <f>CONCATENATE("FLPDVD92M27A462T")</f>
        <v>FLPDVD92M27A462T</v>
      </c>
      <c r="O4266" s="3" t="s">
        <v>4347</v>
      </c>
      <c r="P4266" s="3" t="s">
        <v>36</v>
      </c>
      <c r="Q4266" s="3"/>
      <c r="R4266" s="4">
        <v>45995</v>
      </c>
      <c r="S4266" s="3" t="s">
        <v>37</v>
      </c>
      <c r="T4266" s="3" t="s">
        <v>38</v>
      </c>
      <c r="U4266" s="3" t="s">
        <v>39</v>
      </c>
      <c r="V4266" s="3">
        <v>274.88</v>
      </c>
      <c r="W4266" s="3">
        <v>116.82</v>
      </c>
      <c r="X4266" s="3">
        <v>110.64</v>
      </c>
      <c r="Y4266" s="3">
        <v>47.42</v>
      </c>
    </row>
    <row r="4267" spans="1:25" ht="60.75" x14ac:dyDescent="0.25">
      <c r="A4267" s="3" t="s">
        <v>26</v>
      </c>
      <c r="B4267" s="3" t="s">
        <v>27</v>
      </c>
      <c r="C4267" s="3" t="s">
        <v>28</v>
      </c>
      <c r="D4267" s="3" t="s">
        <v>29</v>
      </c>
      <c r="E4267" s="3" t="s">
        <v>101</v>
      </c>
      <c r="F4267" s="3" t="s">
        <v>31</v>
      </c>
      <c r="G4267" s="3" t="s">
        <v>101</v>
      </c>
      <c r="H4267" s="3" t="s">
        <v>32</v>
      </c>
      <c r="I4267" s="3">
        <v>2025</v>
      </c>
      <c r="J4267" s="3" t="str">
        <f>CONCATENATE("54810866308")</f>
        <v>54810866308</v>
      </c>
      <c r="K4267" s="3" t="s">
        <v>33</v>
      </c>
      <c r="L4267" s="3"/>
      <c r="M4267" s="3" t="s">
        <v>86</v>
      </c>
      <c r="N4267" s="3" t="str">
        <f>CONCATENATE("HRBMRA73E63Z138N")</f>
        <v>HRBMRA73E63Z138N</v>
      </c>
      <c r="O4267" s="3" t="s">
        <v>4348</v>
      </c>
      <c r="P4267" s="3" t="s">
        <v>36</v>
      </c>
      <c r="Q4267" s="3"/>
      <c r="R4267" s="4">
        <v>45995</v>
      </c>
      <c r="S4267" s="3" t="s">
        <v>37</v>
      </c>
      <c r="T4267" s="3" t="s">
        <v>38</v>
      </c>
      <c r="U4267" s="3" t="s">
        <v>39</v>
      </c>
      <c r="V4267" s="3">
        <v>78.94</v>
      </c>
      <c r="W4267" s="3">
        <v>33.549999999999997</v>
      </c>
      <c r="X4267" s="3">
        <v>31.77</v>
      </c>
      <c r="Y4267" s="3">
        <v>13.62</v>
      </c>
    </row>
    <row r="4268" spans="1:25" ht="60.75" x14ac:dyDescent="0.25">
      <c r="A4268" s="3" t="s">
        <v>26</v>
      </c>
      <c r="B4268" s="3" t="s">
        <v>27</v>
      </c>
      <c r="C4268" s="3" t="s">
        <v>28</v>
      </c>
      <c r="D4268" s="3" t="s">
        <v>40</v>
      </c>
      <c r="E4268" s="3" t="s">
        <v>496</v>
      </c>
      <c r="F4268" s="3" t="s">
        <v>42</v>
      </c>
      <c r="G4268" s="3" t="s">
        <v>496</v>
      </c>
      <c r="H4268" s="3" t="s">
        <v>32</v>
      </c>
      <c r="I4268" s="3">
        <v>2025</v>
      </c>
      <c r="J4268" s="3" t="str">
        <f>CONCATENATE("54811290532")</f>
        <v>54811290532</v>
      </c>
      <c r="K4268" s="3" t="s">
        <v>33</v>
      </c>
      <c r="L4268" s="3"/>
      <c r="M4268" s="3" t="s">
        <v>86</v>
      </c>
      <c r="N4268" s="3" t="str">
        <f>CONCATENATE("GVNMRZ55L26C582M")</f>
        <v>GVNMRZ55L26C582M</v>
      </c>
      <c r="O4268" s="3" t="s">
        <v>4013</v>
      </c>
      <c r="P4268" s="3" t="s">
        <v>36</v>
      </c>
      <c r="Q4268" s="3"/>
      <c r="R4268" s="4">
        <v>45995</v>
      </c>
      <c r="S4268" s="3" t="s">
        <v>37</v>
      </c>
      <c r="T4268" s="3" t="s">
        <v>38</v>
      </c>
      <c r="U4268" s="3" t="s">
        <v>39</v>
      </c>
      <c r="V4268" s="3">
        <v>46.44</v>
      </c>
      <c r="W4268" s="3">
        <v>19.739999999999998</v>
      </c>
      <c r="X4268" s="3">
        <v>18.690000000000001</v>
      </c>
      <c r="Y4268" s="3">
        <v>8.01</v>
      </c>
    </row>
    <row r="4269" spans="1:25" ht="60.75" x14ac:dyDescent="0.25">
      <c r="A4269" s="3" t="s">
        <v>26</v>
      </c>
      <c r="B4269" s="3" t="s">
        <v>27</v>
      </c>
      <c r="C4269" s="3" t="s">
        <v>28</v>
      </c>
      <c r="D4269" s="3" t="s">
        <v>312</v>
      </c>
      <c r="E4269" s="3" t="s">
        <v>313</v>
      </c>
      <c r="F4269" s="3" t="s">
        <v>314</v>
      </c>
      <c r="G4269" s="3" t="s">
        <v>313</v>
      </c>
      <c r="H4269" s="3" t="s">
        <v>96</v>
      </c>
      <c r="I4269" s="3">
        <v>2025</v>
      </c>
      <c r="J4269" s="3" t="str">
        <f>CONCATENATE("54810904851")</f>
        <v>54810904851</v>
      </c>
      <c r="K4269" s="3" t="s">
        <v>33</v>
      </c>
      <c r="L4269" s="3"/>
      <c r="M4269" s="3" t="s">
        <v>86</v>
      </c>
      <c r="N4269" s="3" t="str">
        <f>CONCATENATE("MSSGNE98T21A488D")</f>
        <v>MSSGNE98T21A488D</v>
      </c>
      <c r="O4269" s="3" t="s">
        <v>4349</v>
      </c>
      <c r="P4269" s="3" t="s">
        <v>36</v>
      </c>
      <c r="Q4269" s="3"/>
      <c r="R4269" s="4">
        <v>45995</v>
      </c>
      <c r="S4269" s="3" t="s">
        <v>37</v>
      </c>
      <c r="T4269" s="3" t="s">
        <v>38</v>
      </c>
      <c r="U4269" s="3" t="s">
        <v>39</v>
      </c>
      <c r="V4269" s="3">
        <v>462.8</v>
      </c>
      <c r="W4269" s="3">
        <v>196.69</v>
      </c>
      <c r="X4269" s="3">
        <v>186.28</v>
      </c>
      <c r="Y4269" s="3">
        <v>79.83</v>
      </c>
    </row>
    <row r="4270" spans="1:25" ht="36.75" x14ac:dyDescent="0.25">
      <c r="A4270" s="3" t="s">
        <v>26</v>
      </c>
      <c r="B4270" s="3" t="s">
        <v>27</v>
      </c>
      <c r="C4270" s="3" t="s">
        <v>28</v>
      </c>
      <c r="D4270" s="3" t="s">
        <v>50</v>
      </c>
      <c r="E4270" s="3" t="s">
        <v>149</v>
      </c>
      <c r="F4270" s="3" t="s">
        <v>52</v>
      </c>
      <c r="G4270" s="3" t="s">
        <v>149</v>
      </c>
      <c r="H4270" s="3" t="s">
        <v>96</v>
      </c>
      <c r="I4270" s="3">
        <v>2025</v>
      </c>
      <c r="J4270" s="3" t="str">
        <f>CONCATENATE("54810196623")</f>
        <v>54810196623</v>
      </c>
      <c r="K4270" s="3" t="s">
        <v>33</v>
      </c>
      <c r="L4270" s="3"/>
      <c r="M4270" s="3" t="s">
        <v>86</v>
      </c>
      <c r="N4270" s="3" t="str">
        <f>CONCATENATE("00504050444")</f>
        <v>00504050444</v>
      </c>
      <c r="O4270" s="3" t="s">
        <v>4350</v>
      </c>
      <c r="P4270" s="3" t="s">
        <v>36</v>
      </c>
      <c r="Q4270" s="3"/>
      <c r="R4270" s="4">
        <v>45995</v>
      </c>
      <c r="S4270" s="3" t="s">
        <v>37</v>
      </c>
      <c r="T4270" s="3" t="s">
        <v>38</v>
      </c>
      <c r="U4270" s="3" t="s">
        <v>39</v>
      </c>
      <c r="V4270" s="3">
        <v>118.57</v>
      </c>
      <c r="W4270" s="3">
        <v>50.39</v>
      </c>
      <c r="X4270" s="3">
        <v>47.72</v>
      </c>
      <c r="Y4270" s="3">
        <v>20.46</v>
      </c>
    </row>
    <row r="4271" spans="1:25" ht="72.75" x14ac:dyDescent="0.25">
      <c r="A4271" s="3" t="s">
        <v>26</v>
      </c>
      <c r="B4271" s="3" t="s">
        <v>27</v>
      </c>
      <c r="C4271" s="3" t="s">
        <v>28</v>
      </c>
      <c r="D4271" s="3" t="s">
        <v>91</v>
      </c>
      <c r="E4271" s="3" t="s">
        <v>95</v>
      </c>
      <c r="F4271" s="3" t="s">
        <v>93</v>
      </c>
      <c r="G4271" s="3" t="s">
        <v>95</v>
      </c>
      <c r="H4271" s="3" t="s">
        <v>96</v>
      </c>
      <c r="I4271" s="3">
        <v>2025</v>
      </c>
      <c r="J4271" s="3" t="str">
        <f>CONCATENATE("54810118270")</f>
        <v>54810118270</v>
      </c>
      <c r="K4271" s="3" t="s">
        <v>33</v>
      </c>
      <c r="L4271" s="3"/>
      <c r="M4271" s="3" t="s">
        <v>86</v>
      </c>
      <c r="N4271" s="3" t="str">
        <f>CONCATENATE("SVNGRG68H13G920V")</f>
        <v>SVNGRG68H13G920V</v>
      </c>
      <c r="O4271" s="3" t="s">
        <v>4351</v>
      </c>
      <c r="P4271" s="3" t="s">
        <v>36</v>
      </c>
      <c r="Q4271" s="3"/>
      <c r="R4271" s="4">
        <v>45995</v>
      </c>
      <c r="S4271" s="3" t="s">
        <v>37</v>
      </c>
      <c r="T4271" s="3" t="s">
        <v>38</v>
      </c>
      <c r="U4271" s="3" t="s">
        <v>39</v>
      </c>
      <c r="V4271" s="3">
        <v>62.33</v>
      </c>
      <c r="W4271" s="3">
        <v>26.49</v>
      </c>
      <c r="X4271" s="3">
        <v>25.09</v>
      </c>
      <c r="Y4271" s="3">
        <v>10.75</v>
      </c>
    </row>
    <row r="4272" spans="1:25" ht="60.75" x14ac:dyDescent="0.25">
      <c r="A4272" s="3" t="s">
        <v>26</v>
      </c>
      <c r="B4272" s="3" t="s">
        <v>27</v>
      </c>
      <c r="C4272" s="3" t="s">
        <v>28</v>
      </c>
      <c r="D4272" s="3" t="s">
        <v>29</v>
      </c>
      <c r="E4272" s="3" t="s">
        <v>1398</v>
      </c>
      <c r="F4272" s="3" t="s">
        <v>31</v>
      </c>
      <c r="G4272" s="3" t="s">
        <v>1398</v>
      </c>
      <c r="H4272" s="3" t="s">
        <v>32</v>
      </c>
      <c r="I4272" s="3">
        <v>2025</v>
      </c>
      <c r="J4272" s="3" t="str">
        <f>CONCATENATE("54810353042")</f>
        <v>54810353042</v>
      </c>
      <c r="K4272" s="3" t="s">
        <v>33</v>
      </c>
      <c r="L4272" s="3"/>
      <c r="M4272" s="3" t="s">
        <v>86</v>
      </c>
      <c r="N4272" s="3" t="str">
        <f>CONCATENATE("TGNGRG85C24E388I")</f>
        <v>TGNGRG85C24E388I</v>
      </c>
      <c r="O4272" s="3" t="s">
        <v>4352</v>
      </c>
      <c r="P4272" s="3" t="s">
        <v>36</v>
      </c>
      <c r="Q4272" s="3"/>
      <c r="R4272" s="4">
        <v>45995</v>
      </c>
      <c r="S4272" s="3" t="s">
        <v>37</v>
      </c>
      <c r="T4272" s="3" t="s">
        <v>38</v>
      </c>
      <c r="U4272" s="3" t="s">
        <v>39</v>
      </c>
      <c r="V4272" s="3">
        <v>45.96</v>
      </c>
      <c r="W4272" s="3">
        <v>19.53</v>
      </c>
      <c r="X4272" s="3">
        <v>18.5</v>
      </c>
      <c r="Y4272" s="3">
        <v>7.93</v>
      </c>
    </row>
    <row r="4273" spans="1:25" ht="60.75" x14ac:dyDescent="0.25">
      <c r="A4273" s="3" t="s">
        <v>26</v>
      </c>
      <c r="B4273" s="3" t="s">
        <v>27</v>
      </c>
      <c r="C4273" s="3" t="s">
        <v>28</v>
      </c>
      <c r="D4273" s="3" t="s">
        <v>29</v>
      </c>
      <c r="E4273" s="3" t="s">
        <v>111</v>
      </c>
      <c r="F4273" s="3" t="s">
        <v>31</v>
      </c>
      <c r="G4273" s="3" t="s">
        <v>111</v>
      </c>
      <c r="H4273" s="3" t="s">
        <v>96</v>
      </c>
      <c r="I4273" s="3">
        <v>2025</v>
      </c>
      <c r="J4273" s="3" t="str">
        <f>CONCATENATE("54810426012")</f>
        <v>54810426012</v>
      </c>
      <c r="K4273" s="3" t="s">
        <v>33</v>
      </c>
      <c r="L4273" s="3"/>
      <c r="M4273" s="3" t="s">
        <v>86</v>
      </c>
      <c r="N4273" s="3" t="str">
        <f>CONCATENATE("PLLGPP53R02F536D")</f>
        <v>PLLGPP53R02F536D</v>
      </c>
      <c r="O4273" s="3" t="s">
        <v>4353</v>
      </c>
      <c r="P4273" s="3" t="s">
        <v>36</v>
      </c>
      <c r="Q4273" s="3"/>
      <c r="R4273" s="4">
        <v>45995</v>
      </c>
      <c r="S4273" s="3" t="s">
        <v>37</v>
      </c>
      <c r="T4273" s="3" t="s">
        <v>38</v>
      </c>
      <c r="U4273" s="3" t="s">
        <v>39</v>
      </c>
      <c r="V4273" s="3">
        <v>372.19</v>
      </c>
      <c r="W4273" s="3">
        <v>158.18</v>
      </c>
      <c r="X4273" s="3">
        <v>149.81</v>
      </c>
      <c r="Y4273" s="3">
        <v>64.2</v>
      </c>
    </row>
    <row r="4274" spans="1:25" ht="36.75" x14ac:dyDescent="0.25">
      <c r="A4274" s="3" t="s">
        <v>26</v>
      </c>
      <c r="B4274" s="3" t="s">
        <v>27</v>
      </c>
      <c r="C4274" s="3" t="s">
        <v>28</v>
      </c>
      <c r="D4274" s="3" t="s">
        <v>40</v>
      </c>
      <c r="E4274" s="3" t="s">
        <v>99</v>
      </c>
      <c r="F4274" s="3" t="s">
        <v>42</v>
      </c>
      <c r="G4274" s="3" t="s">
        <v>99</v>
      </c>
      <c r="H4274" s="3" t="s">
        <v>32</v>
      </c>
      <c r="I4274" s="3">
        <v>2025</v>
      </c>
      <c r="J4274" s="3" t="str">
        <f>CONCATENATE("54810838521")</f>
        <v>54810838521</v>
      </c>
      <c r="K4274" s="3" t="s">
        <v>33</v>
      </c>
      <c r="L4274" s="3"/>
      <c r="M4274" s="3" t="s">
        <v>86</v>
      </c>
      <c r="N4274" s="3" t="str">
        <f>CONCATENATE("02042090437")</f>
        <v>02042090437</v>
      </c>
      <c r="O4274" s="3" t="s">
        <v>4354</v>
      </c>
      <c r="P4274" s="3" t="s">
        <v>36</v>
      </c>
      <c r="Q4274" s="3"/>
      <c r="R4274" s="4">
        <v>45995</v>
      </c>
      <c r="S4274" s="3" t="s">
        <v>37</v>
      </c>
      <c r="T4274" s="3" t="s">
        <v>38</v>
      </c>
      <c r="U4274" s="3" t="s">
        <v>39</v>
      </c>
      <c r="V4274" s="3">
        <v>91.81</v>
      </c>
      <c r="W4274" s="3">
        <v>39.020000000000003</v>
      </c>
      <c r="X4274" s="3">
        <v>36.950000000000003</v>
      </c>
      <c r="Y4274" s="3">
        <v>15.84</v>
      </c>
    </row>
    <row r="4275" spans="1:25" ht="60.75" x14ac:dyDescent="0.25">
      <c r="A4275" s="3" t="s">
        <v>26</v>
      </c>
      <c r="B4275" s="3" t="s">
        <v>27</v>
      </c>
      <c r="C4275" s="3" t="s">
        <v>28</v>
      </c>
      <c r="D4275" s="3" t="s">
        <v>104</v>
      </c>
      <c r="E4275" s="3" t="s">
        <v>691</v>
      </c>
      <c r="F4275" s="3" t="s">
        <v>104</v>
      </c>
      <c r="G4275" s="3" t="s">
        <v>691</v>
      </c>
      <c r="H4275" s="3" t="s">
        <v>32</v>
      </c>
      <c r="I4275" s="3">
        <v>2025</v>
      </c>
      <c r="J4275" s="3" t="str">
        <f>CONCATENATE("54810449493")</f>
        <v>54810449493</v>
      </c>
      <c r="K4275" s="3" t="s">
        <v>33</v>
      </c>
      <c r="L4275" s="3"/>
      <c r="M4275" s="3" t="s">
        <v>86</v>
      </c>
      <c r="N4275" s="3" t="str">
        <f>CONCATENATE("SCPGRL86D14E388S")</f>
        <v>SCPGRL86D14E388S</v>
      </c>
      <c r="O4275" s="3" t="s">
        <v>4355</v>
      </c>
      <c r="P4275" s="3" t="s">
        <v>36</v>
      </c>
      <c r="Q4275" s="3"/>
      <c r="R4275" s="4">
        <v>45995</v>
      </c>
      <c r="S4275" s="3" t="s">
        <v>37</v>
      </c>
      <c r="T4275" s="3" t="s">
        <v>38</v>
      </c>
      <c r="U4275" s="3" t="s">
        <v>39</v>
      </c>
      <c r="V4275" s="3">
        <v>139.19</v>
      </c>
      <c r="W4275" s="3">
        <v>59.16</v>
      </c>
      <c r="X4275" s="3">
        <v>56.02</v>
      </c>
      <c r="Y4275" s="3">
        <v>24.01</v>
      </c>
    </row>
    <row r="4276" spans="1:25" ht="36.75" x14ac:dyDescent="0.25">
      <c r="A4276" s="3" t="s">
        <v>26</v>
      </c>
      <c r="B4276" s="3" t="s">
        <v>27</v>
      </c>
      <c r="C4276" s="3" t="s">
        <v>28</v>
      </c>
      <c r="D4276" s="3" t="s">
        <v>50</v>
      </c>
      <c r="E4276" s="3" t="s">
        <v>149</v>
      </c>
      <c r="F4276" s="3" t="s">
        <v>52</v>
      </c>
      <c r="G4276" s="3" t="s">
        <v>149</v>
      </c>
      <c r="H4276" s="3" t="s">
        <v>96</v>
      </c>
      <c r="I4276" s="3">
        <v>2025</v>
      </c>
      <c r="J4276" s="3" t="str">
        <f>CONCATENATE("54810726544")</f>
        <v>54810726544</v>
      </c>
      <c r="K4276" s="3" t="s">
        <v>33</v>
      </c>
      <c r="L4276" s="3"/>
      <c r="M4276" s="3" t="s">
        <v>86</v>
      </c>
      <c r="N4276" s="3" t="str">
        <f>CONCATENATE("02433910441")</f>
        <v>02433910441</v>
      </c>
      <c r="O4276" s="3" t="s">
        <v>4356</v>
      </c>
      <c r="P4276" s="3" t="s">
        <v>36</v>
      </c>
      <c r="Q4276" s="3"/>
      <c r="R4276" s="4">
        <v>45995</v>
      </c>
      <c r="S4276" s="3" t="s">
        <v>37</v>
      </c>
      <c r="T4276" s="3" t="s">
        <v>38</v>
      </c>
      <c r="U4276" s="3" t="s">
        <v>39</v>
      </c>
      <c r="V4276" s="3">
        <v>52.01</v>
      </c>
      <c r="W4276" s="3">
        <v>22.1</v>
      </c>
      <c r="X4276" s="3">
        <v>20.93</v>
      </c>
      <c r="Y4276" s="3">
        <v>8.98</v>
      </c>
    </row>
    <row r="4277" spans="1:25" ht="60.75" x14ac:dyDescent="0.25">
      <c r="A4277" s="3" t="s">
        <v>26</v>
      </c>
      <c r="B4277" s="3" t="s">
        <v>27</v>
      </c>
      <c r="C4277" s="3" t="s">
        <v>28</v>
      </c>
      <c r="D4277" s="3" t="s">
        <v>50</v>
      </c>
      <c r="E4277" s="3" t="s">
        <v>290</v>
      </c>
      <c r="F4277" s="3" t="s">
        <v>52</v>
      </c>
      <c r="G4277" s="3" t="s">
        <v>290</v>
      </c>
      <c r="H4277" s="3" t="s">
        <v>96</v>
      </c>
      <c r="I4277" s="3">
        <v>2025</v>
      </c>
      <c r="J4277" s="3" t="str">
        <f>CONCATENATE("54810888633")</f>
        <v>54810888633</v>
      </c>
      <c r="K4277" s="3" t="s">
        <v>33</v>
      </c>
      <c r="L4277" s="3"/>
      <c r="M4277" s="3" t="s">
        <v>86</v>
      </c>
      <c r="N4277" s="3" t="str">
        <f>CONCATENATE("SNZGCM73D03F520W")</f>
        <v>SNZGCM73D03F520W</v>
      </c>
      <c r="O4277" s="3" t="s">
        <v>4357</v>
      </c>
      <c r="P4277" s="3" t="s">
        <v>36</v>
      </c>
      <c r="Q4277" s="3"/>
      <c r="R4277" s="4">
        <v>45995</v>
      </c>
      <c r="S4277" s="3" t="s">
        <v>37</v>
      </c>
      <c r="T4277" s="3" t="s">
        <v>38</v>
      </c>
      <c r="U4277" s="3" t="s">
        <v>39</v>
      </c>
      <c r="V4277" s="3">
        <v>106.04</v>
      </c>
      <c r="W4277" s="3">
        <v>45.07</v>
      </c>
      <c r="X4277" s="3">
        <v>42.68</v>
      </c>
      <c r="Y4277" s="3">
        <v>18.29</v>
      </c>
    </row>
    <row r="4278" spans="1:25" ht="36.75" x14ac:dyDescent="0.25">
      <c r="A4278" s="3" t="s">
        <v>26</v>
      </c>
      <c r="B4278" s="3" t="s">
        <v>27</v>
      </c>
      <c r="C4278" s="3" t="s">
        <v>28</v>
      </c>
      <c r="D4278" s="3" t="s">
        <v>40</v>
      </c>
      <c r="E4278" s="3" t="s">
        <v>44</v>
      </c>
      <c r="F4278" s="3" t="s">
        <v>42</v>
      </c>
      <c r="G4278" s="3" t="s">
        <v>44</v>
      </c>
      <c r="H4278" s="3" t="s">
        <v>32</v>
      </c>
      <c r="I4278" s="3">
        <v>2025</v>
      </c>
      <c r="J4278" s="3" t="str">
        <f>CONCATENATE("54810083391")</f>
        <v>54810083391</v>
      </c>
      <c r="K4278" s="3" t="s">
        <v>33</v>
      </c>
      <c r="L4278" s="3"/>
      <c r="M4278" s="3" t="s">
        <v>86</v>
      </c>
      <c r="N4278" s="3" t="str">
        <f>CONCATENATE("01493390437")</f>
        <v>01493390437</v>
      </c>
      <c r="O4278" s="3" t="s">
        <v>4358</v>
      </c>
      <c r="P4278" s="3" t="s">
        <v>36</v>
      </c>
      <c r="Q4278" s="3"/>
      <c r="R4278" s="4">
        <v>45995</v>
      </c>
      <c r="S4278" s="3" t="s">
        <v>37</v>
      </c>
      <c r="T4278" s="3" t="s">
        <v>38</v>
      </c>
      <c r="U4278" s="3" t="s">
        <v>39</v>
      </c>
      <c r="V4278" s="3">
        <v>93.03</v>
      </c>
      <c r="W4278" s="3">
        <v>39.54</v>
      </c>
      <c r="X4278" s="3">
        <v>37.44</v>
      </c>
      <c r="Y4278" s="3">
        <v>16.05</v>
      </c>
    </row>
    <row r="4279" spans="1:25" ht="60.75" x14ac:dyDescent="0.25">
      <c r="A4279" s="3" t="s">
        <v>26</v>
      </c>
      <c r="B4279" s="3" t="s">
        <v>27</v>
      </c>
      <c r="C4279" s="3" t="s">
        <v>28</v>
      </c>
      <c r="D4279" s="3" t="s">
        <v>91</v>
      </c>
      <c r="E4279" s="3" t="s">
        <v>95</v>
      </c>
      <c r="F4279" s="3" t="s">
        <v>93</v>
      </c>
      <c r="G4279" s="3" t="s">
        <v>95</v>
      </c>
      <c r="H4279" s="3" t="s">
        <v>32</v>
      </c>
      <c r="I4279" s="3">
        <v>2025</v>
      </c>
      <c r="J4279" s="3" t="str">
        <f>CONCATENATE("54810518172")</f>
        <v>54810518172</v>
      </c>
      <c r="K4279" s="3" t="s">
        <v>33</v>
      </c>
      <c r="L4279" s="3"/>
      <c r="M4279" s="3" t="s">
        <v>86</v>
      </c>
      <c r="N4279" s="3" t="str">
        <f>CONCATENATE("RSSVNT79E45F520P")</f>
        <v>RSSVNT79E45F520P</v>
      </c>
      <c r="O4279" s="3" t="s">
        <v>4359</v>
      </c>
      <c r="P4279" s="3" t="s">
        <v>36</v>
      </c>
      <c r="Q4279" s="3"/>
      <c r="R4279" s="4">
        <v>45995</v>
      </c>
      <c r="S4279" s="3" t="s">
        <v>37</v>
      </c>
      <c r="T4279" s="3" t="s">
        <v>38</v>
      </c>
      <c r="U4279" s="3" t="s">
        <v>39</v>
      </c>
      <c r="V4279" s="3">
        <v>20.059999999999999</v>
      </c>
      <c r="W4279" s="3">
        <v>8.5299999999999994</v>
      </c>
      <c r="X4279" s="3">
        <v>8.07</v>
      </c>
      <c r="Y4279" s="3">
        <v>3.46</v>
      </c>
    </row>
    <row r="4280" spans="1:25" ht="36.75" x14ac:dyDescent="0.25">
      <c r="A4280" s="3" t="s">
        <v>26</v>
      </c>
      <c r="B4280" s="3" t="s">
        <v>27</v>
      </c>
      <c r="C4280" s="3" t="s">
        <v>28</v>
      </c>
      <c r="D4280" s="3" t="s">
        <v>29</v>
      </c>
      <c r="E4280" s="3" t="s">
        <v>476</v>
      </c>
      <c r="F4280" s="3" t="s">
        <v>31</v>
      </c>
      <c r="G4280" s="3" t="s">
        <v>476</v>
      </c>
      <c r="H4280" s="3" t="s">
        <v>48</v>
      </c>
      <c r="I4280" s="3">
        <v>2025</v>
      </c>
      <c r="J4280" s="3" t="str">
        <f>CONCATENATE("54810074663")</f>
        <v>54810074663</v>
      </c>
      <c r="K4280" s="3" t="s">
        <v>33</v>
      </c>
      <c r="L4280" s="3"/>
      <c r="M4280" s="3" t="s">
        <v>86</v>
      </c>
      <c r="N4280" s="3" t="str">
        <f>CONCATENATE("02426410425")</f>
        <v>02426410425</v>
      </c>
      <c r="O4280" s="3" t="s">
        <v>4360</v>
      </c>
      <c r="P4280" s="3" t="s">
        <v>36</v>
      </c>
      <c r="Q4280" s="3"/>
      <c r="R4280" s="4">
        <v>45995</v>
      </c>
      <c r="S4280" s="3" t="s">
        <v>37</v>
      </c>
      <c r="T4280" s="3" t="s">
        <v>38</v>
      </c>
      <c r="U4280" s="3" t="s">
        <v>39</v>
      </c>
      <c r="V4280" s="3">
        <v>215.49</v>
      </c>
      <c r="W4280" s="3">
        <v>91.58</v>
      </c>
      <c r="X4280" s="3">
        <v>86.73</v>
      </c>
      <c r="Y4280" s="3">
        <v>37.18</v>
      </c>
    </row>
  </sheetData>
  <autoFilter ref="A3:Y4280">
    <filterColumn colId="15">
      <filters>
        <filter val="Istruttoria Automatica"/>
      </filters>
    </filterColumn>
  </autoFilter>
  <mergeCells count="2">
    <mergeCell ref="A1:Y1"/>
    <mergeCell ref="A2:Y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DOMANDE_PAGATE_REGI_PSP_Decreto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Galeazzi</dc:creator>
  <cp:lastModifiedBy>Marco</cp:lastModifiedBy>
  <dcterms:created xsi:type="dcterms:W3CDTF">2026-01-08T13:39:28Z</dcterms:created>
  <dcterms:modified xsi:type="dcterms:W3CDTF">2026-01-08T13:43:03Z</dcterms:modified>
</cp:coreProperties>
</file>