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Lavoro_\AGEA\Pagamenti\Decreti AGEA\2025\"/>
    </mc:Choice>
  </mc:AlternateContent>
  <xr:revisionPtr revIDLastSave="0" documentId="13_ncr:40009_{8574B6EF-2E70-43B6-B1E7-FEB0238CA012}" xr6:coauthVersionLast="47" xr6:coauthVersionMax="47" xr10:uidLastSave="{00000000-0000-0000-0000-000000000000}"/>
  <bookViews>
    <workbookView xWindow="1320" yWindow="150" windowWidth="26280" windowHeight="12105"/>
  </bookViews>
  <sheets>
    <sheet name="DOMANDE_PAGATE_REGI_PSP_Decreto" sheetId="1" r:id="rId1"/>
  </sheets>
  <definedNames>
    <definedName name="_xlnm._FilterDatabase" localSheetId="0" hidden="1">DOMANDE_PAGATE_REGI_PSP_Decreto!$A$3:$Y$246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6" i="1" l="1"/>
  <c r="J246" i="1"/>
  <c r="N245" i="1"/>
  <c r="J245" i="1"/>
  <c r="N244" i="1"/>
  <c r="J244" i="1"/>
  <c r="N243" i="1"/>
  <c r="J243" i="1"/>
  <c r="N242" i="1"/>
  <c r="J242" i="1"/>
  <c r="N241" i="1"/>
  <c r="J241" i="1"/>
  <c r="N240" i="1"/>
  <c r="J240" i="1"/>
  <c r="N239" i="1"/>
  <c r="J239" i="1"/>
  <c r="N238" i="1"/>
  <c r="J238" i="1"/>
  <c r="N237" i="1"/>
  <c r="J237" i="1"/>
  <c r="N236" i="1"/>
  <c r="J236" i="1"/>
  <c r="N235" i="1"/>
  <c r="J235" i="1"/>
  <c r="N234" i="1"/>
  <c r="J234" i="1"/>
  <c r="N233" i="1"/>
  <c r="J233" i="1"/>
  <c r="N232" i="1"/>
  <c r="J232" i="1"/>
  <c r="N231" i="1"/>
  <c r="J231" i="1"/>
  <c r="N230" i="1"/>
  <c r="J230" i="1"/>
  <c r="N229" i="1"/>
  <c r="J229" i="1"/>
  <c r="N228" i="1"/>
  <c r="J228" i="1"/>
  <c r="N227" i="1"/>
  <c r="J227" i="1"/>
  <c r="N226" i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<sst xmlns="http://schemas.openxmlformats.org/spreadsheetml/2006/main" count="3725" uniqueCount="339">
  <si>
    <t>Domande Pagate Decreto 61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</si>
  <si>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</si>
  <si>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</si>
  <si>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</si>
  <si>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</si>
  <si>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</si>
  <si>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</si>
  <si>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</si>
  <si>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</si>
  <si>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</si>
  <si>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</si>
  <si>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</si>
  <si>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</si>
  <si>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</si>
  <si>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</si>
  <si>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</si>
  <si>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</si>
  <si>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</si>
  <si>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</si>
  <si>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</si>
  <si>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</si>
  <si>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</si>
  <si>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</si>
  <si>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</si>
  <si>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</si>
  <si>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</si>
  <si>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</si>
  <si>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</si>
  <si>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</si>
  <si>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Coldiretti srl</t>
  </si>
  <si>
    <t>CAA Coldiretti - ANCONA - 006</t>
  </si>
  <si>
    <t>CAA COLDIRETTI S.R.L.</t>
  </si>
  <si>
    <t>SERV. DEC. AGRICOLTURA E ALIMENTAZIONE - ANCONA</t>
  </si>
  <si>
    <t>PSP Programmazione 2023/2027</t>
  </si>
  <si>
    <t>SRA01</t>
  </si>
  <si>
    <t>RICCIOTTI GIULIANO</t>
  </si>
  <si>
    <t>Anticipo</t>
  </si>
  <si>
    <t>Erogata</t>
  </si>
  <si>
    <t>Co-Finanziato</t>
  </si>
  <si>
    <t>CAA Coldiretti - ANCONA - 003</t>
  </si>
  <si>
    <t>PIRANI LORENZO</t>
  </si>
  <si>
    <t>CAA Coldiretti - MACERATA - 007</t>
  </si>
  <si>
    <t>SERV. DEC. AGRICOLTURA E ALIM. - MACERATA</t>
  </si>
  <si>
    <t>MICONI ALBERTO</t>
  </si>
  <si>
    <t>CAA Coldiretti - FERMO - 001</t>
  </si>
  <si>
    <t>SERV. DEC. AGRICOLTURA E ALIM. -ASCOLI PICENO</t>
  </si>
  <si>
    <t>OCCHIODORO VINCENZO</t>
  </si>
  <si>
    <t>CAA CIA srl</t>
  </si>
  <si>
    <t>CAA CIA - ASCOLI PICENO - 006</t>
  </si>
  <si>
    <t>CAA CIA</t>
  </si>
  <si>
    <t>VIRGILI DINO</t>
  </si>
  <si>
    <t>CAA Coldiretti - MACERATA - 010</t>
  </si>
  <si>
    <t>MACCARONI MARIO</t>
  </si>
  <si>
    <t>CAA Coldiretti - MACERATA - 008</t>
  </si>
  <si>
    <t>FIORINI ENRICO</t>
  </si>
  <si>
    <t>CAA CIA - ANCONA - 002</t>
  </si>
  <si>
    <t>SOCIETA' AGRICOLA MOSCONI SABRINA E MARINO S.S.</t>
  </si>
  <si>
    <t>CAA LiberiAgricoltori srl già CAA AGCI srl</t>
  </si>
  <si>
    <t>CAA LiberiAgricoltori - MACERATA - 005</t>
  </si>
  <si>
    <t>CAA LIBERIAGRICOLTORI S.R.L</t>
  </si>
  <si>
    <t>GIACOBINI GIUSEPPE E SILVIA SOCIETA' SEMPLICE AGRICOLA</t>
  </si>
  <si>
    <t>CAA LiberiAgricoltori - MACERATA - 003</t>
  </si>
  <si>
    <t>IL SAURO DEL CONERO BIO SOCIETA' AGRICOLA FORESTALE S.A.S. DI APIS MAR</t>
  </si>
  <si>
    <t>VALENTI ROLANDO</t>
  </si>
  <si>
    <t>CAA Coldiretti - MACERATA - 018</t>
  </si>
  <si>
    <t>ZALLOCCO LORENZO</t>
  </si>
  <si>
    <t>SOCIETA'AGRICOLA SPLENDIANI SOCIETA'SEMPLICE</t>
  </si>
  <si>
    <t>CAA Coldiretti - PESARO E URBINO - 013</t>
  </si>
  <si>
    <t>SERV. DEC. AGRICOLTURA E ALIMENTAZIONE - PESARO</t>
  </si>
  <si>
    <t>BEVILACQUA STEFANO</t>
  </si>
  <si>
    <t>CAA Coldiretti - MACERATA - 009</t>
  </si>
  <si>
    <t>SOCIETA' AGRICOLA BORGO DI LUCE SRL</t>
  </si>
  <si>
    <t>MOGLIANI PINA</t>
  </si>
  <si>
    <t>SOCIETA' AGRICOLA CIM.CRO. SOCIETA' SEMPLICE</t>
  </si>
  <si>
    <t>CAA Coldiretti - PESARO E URBINO - 007</t>
  </si>
  <si>
    <t>CAVALLINI ANTONELLA</t>
  </si>
  <si>
    <t>CAA Coldiretti - ANCONA - 001</t>
  </si>
  <si>
    <t>B.P. SOLAR SOCIETA' AGRICOLA ARL</t>
  </si>
  <si>
    <t>CAA CIA - PESARO E URBINO - 001</t>
  </si>
  <si>
    <t>GIAVOLI CLAUDIO</t>
  </si>
  <si>
    <t>SOCIETA' AGRICOLA TTA S.A.S. MARTINANGELI PACIFICO DI MARTINANGELI MAS</t>
  </si>
  <si>
    <t>MACCARONI STEFANO</t>
  </si>
  <si>
    <t>SOCIETA' AGRICOLA F.LLI PAOLINI S.S.</t>
  </si>
  <si>
    <t>BARTOLINI TIZIANO</t>
  </si>
  <si>
    <t>SOCIETA' AGRICOLA SEMPLICE BARONCIANI LUCIANO &amp; MARINO S.S.</t>
  </si>
  <si>
    <t>FIORELLI FABIOLA</t>
  </si>
  <si>
    <t>SOCIETA' AGRICOLA ANDREUCCIOLI S.S.</t>
  </si>
  <si>
    <t>MARTINANGELI MASSIMO</t>
  </si>
  <si>
    <t>BARTOLINI FABIO</t>
  </si>
  <si>
    <t>CAA Confagricoltura srl</t>
  </si>
  <si>
    <t>CAA Confagricoltura - ASCOLI PICENO - 001</t>
  </si>
  <si>
    <t>CAA CONFAGRICOLTURA S.R.L.</t>
  </si>
  <si>
    <t>MARZIALI MARIA</t>
  </si>
  <si>
    <t>SOCIETA' AGRICOLA PAZZELLI DI PAZZELLI STEFANO E C. S.S.</t>
  </si>
  <si>
    <t>SOCIETA' AGRICOLA PACIONI DI PACIONI MAURIZIO E WALTER S.S.</t>
  </si>
  <si>
    <t>SOCIETA' AGRICOLA F.LLI MEI CARNI DI MEI ALBERTO E C. S.S.</t>
  </si>
  <si>
    <t>SOCIETA' AGRICOLA PACIONI A RESPONSABILITA' LIMITATA</t>
  </si>
  <si>
    <t>SOCIETA' AGRICOLA MACCARONI FRANCO E C. S.S.</t>
  </si>
  <si>
    <t>SACCHINI PAOLO E BRACALENTE LUIGI SOCIETA' AGRICOLA SEMPLICE</t>
  </si>
  <si>
    <t>SOCIETA' AGRICOLA GALASSI GIORGIO E C. S.S.</t>
  </si>
  <si>
    <t>CAA Coldiretti - ASCOLI PICENO - 025</t>
  </si>
  <si>
    <t>VITALI SIMONE</t>
  </si>
  <si>
    <t>CAA UNICAA srl</t>
  </si>
  <si>
    <t>CAA UNICAA - ANCONA - 003</t>
  </si>
  <si>
    <t>CAA UNICAA</t>
  </si>
  <si>
    <t>BIONDINI MARCO EMIDIO</t>
  </si>
  <si>
    <t>SOCIETA' AGRICOLA RICCIOTTI GIULIANO E RICCIOTTI GIANLUCA S.S.</t>
  </si>
  <si>
    <t>CAA LiberiAgricoltori - MACERATA - 006</t>
  </si>
  <si>
    <t>SPARAPANI PAOLO</t>
  </si>
  <si>
    <t>CAA LiberiAgricoltori - MACERATA - 001</t>
  </si>
  <si>
    <t>GIROLIMINI ALBERTO</t>
  </si>
  <si>
    <t>CAA Liberi Prof.</t>
  </si>
  <si>
    <t>CAA Liberi Prof. - PESARO E URBINO - 001</t>
  </si>
  <si>
    <t>CAA LIBERI PROFESSIONISTI S.R.L.</t>
  </si>
  <si>
    <t>CAPECCI ALESSANDRO</t>
  </si>
  <si>
    <t>CAA-CAF AGRI S.R.L.</t>
  </si>
  <si>
    <t>CAA CAF AGRI - ASCOLI PICENO - 223</t>
  </si>
  <si>
    <t>TEMPESTILLI ROBERTO</t>
  </si>
  <si>
    <t>SOCIETA' AGRICOLA SCHIAVONI VINCENZO,SIMONE E CRISTIAN S.S.</t>
  </si>
  <si>
    <t>CICCIOLI SABRINA</t>
  </si>
  <si>
    <t>SOCIETA' AGRICOLA PAZZELLI S.S.</t>
  </si>
  <si>
    <t>SOCIETA' AGRICOLA IERVICELLA ALESSANDRO ED ELIO S.S.</t>
  </si>
  <si>
    <t>BARONCIANI LUCIANO</t>
  </si>
  <si>
    <t>CAA Coldiretti - MACERATA - 017</t>
  </si>
  <si>
    <t>CARUSI STEFANO</t>
  </si>
  <si>
    <t>DEANGELIS MAURO</t>
  </si>
  <si>
    <t>MORICONI DANIELE</t>
  </si>
  <si>
    <t>CAA CIA - ASCOLI PICENO - 004</t>
  </si>
  <si>
    <t>MICHELINI STEFANO</t>
  </si>
  <si>
    <t>CAA CAF AGRI - FERMO - 222</t>
  </si>
  <si>
    <t>TOMASSINI GIANPIETRO</t>
  </si>
  <si>
    <t>FRUTTAMI DI MASTROSANI FABIO E FELICE SOCIETA' SEMPLICE AGRICOLA</t>
  </si>
  <si>
    <t>CAA CIA - ASCOLI PICENO - 001</t>
  </si>
  <si>
    <t>EREDI VAGNARELLI ENRICO</t>
  </si>
  <si>
    <t>"AZIENDA AGRICOLA CRUCIANO" DI VILLA PATRIZIO E NORIS S.S.</t>
  </si>
  <si>
    <t>SCENDONI ARGEO</t>
  </si>
  <si>
    <t>EUSEBI MASSIMILIANO</t>
  </si>
  <si>
    <t>GEMINIANI PIO</t>
  </si>
  <si>
    <t>VITALI GABRIELE</t>
  </si>
  <si>
    <t>BELLEGGIA GIORGIO</t>
  </si>
  <si>
    <t>MAZZONI STEFANO</t>
  </si>
  <si>
    <t>SCENDONI GIOVANNI</t>
  </si>
  <si>
    <t>STOPPO FABRIZIO</t>
  </si>
  <si>
    <t>VALENTI ALBERTO</t>
  </si>
  <si>
    <t>TASSOTTI LUIGI</t>
  </si>
  <si>
    <t>GIULIANI FRANCO E LEONELLO S.S.</t>
  </si>
  <si>
    <t>OCCHIODORO MATTEO</t>
  </si>
  <si>
    <t>D'ERASMO PASQUALE</t>
  </si>
  <si>
    <t>STOPPO HERMES</t>
  </si>
  <si>
    <t>CAA Coldiretti - MACERATA - 002</t>
  </si>
  <si>
    <t>MARCHEGIANI SANTE EREDI SOCIETA' AGRICOLA</t>
  </si>
  <si>
    <t>BAGALINI DENNY</t>
  </si>
  <si>
    <t>CAA CIA - PESARO E URBINO - 006</t>
  </si>
  <si>
    <t>LEVA DAVIDE</t>
  </si>
  <si>
    <t>AZ. AGR. PENNESI MARIANO &amp; C. S.S.</t>
  </si>
  <si>
    <t>CAA Confagricoltura - MACERATA - 001</t>
  </si>
  <si>
    <t>AZIENDA AGRARIA FRATELLI CAPINERA S.S. SOCIETA' AGRICOLA</t>
  </si>
  <si>
    <t>ANGELINI CLAUDIO</t>
  </si>
  <si>
    <t>LIGI MARCO</t>
  </si>
  <si>
    <t>BEVILACQUA SAMUELE</t>
  </si>
  <si>
    <t>IL SAURO DEL CONERO SOCIETA' AGRICOLA FORESTALE SAS DI APIS MARIANO E</t>
  </si>
  <si>
    <t>CATALINI MATTEO</t>
  </si>
  <si>
    <t>VAGNONI GIANFRANCO</t>
  </si>
  <si>
    <t>PERUGINI GIUSEPPA</t>
  </si>
  <si>
    <t>AZ. AGR. ENRICO DOLCI EREDI SOC. AGR. SEMPLICE</t>
  </si>
  <si>
    <t>GIULIANI MIRKO</t>
  </si>
  <si>
    <t>BARCHETTA LAURA</t>
  </si>
  <si>
    <t>SOC. AGR. C. M. SOCIETA' SEMPLIC</t>
  </si>
  <si>
    <t>CAVALIERI MANLIO</t>
  </si>
  <si>
    <t>STIZZA SIMONE</t>
  </si>
  <si>
    <t>TAVOLONI SILVIA</t>
  </si>
  <si>
    <t>FALCIONI FABRIZIO</t>
  </si>
  <si>
    <t>RAMADORI MATTIA</t>
  </si>
  <si>
    <t>RAMADORI FABRIZIO</t>
  </si>
  <si>
    <t>FIORETTI EGIDIO</t>
  </si>
  <si>
    <t>STIZZA FABRIZIO</t>
  </si>
  <si>
    <t>PASQUALINI MARCO</t>
  </si>
  <si>
    <t>QUATTRINI GIUSEPPE</t>
  </si>
  <si>
    <t>MASTROSANI CHIARA</t>
  </si>
  <si>
    <t>SOPRANZETTI LEONARDO</t>
  </si>
  <si>
    <t>BANCHETTI JOELE</t>
  </si>
  <si>
    <t>GUZZINI FRANCESCO</t>
  </si>
  <si>
    <t>CINGOLANI GINO E PIETRO SOCIETA' AGRICOLA SOCIETA' SEMPLICE</t>
  </si>
  <si>
    <t>LORENZETTI GIANNI</t>
  </si>
  <si>
    <t>MICHELONI LUCIANO</t>
  </si>
  <si>
    <t>SAVORETTI SAMUELE</t>
  </si>
  <si>
    <t>SOCIETA' AGRICOLA SEMPLICE CASTIGNANI MARCO E FRANCESCO</t>
  </si>
  <si>
    <t>SOCIETA' AGRICOLA GIGLI DI GIGLI GIULIANO E LORENZO S.S.</t>
  </si>
  <si>
    <t>SOCIETA' AGRICOLA MOSCI DI MOSCI GABRIELE E MARIO S.S.</t>
  </si>
  <si>
    <t>ROSETTI GIANCARLO</t>
  </si>
  <si>
    <t>SOCIETA' AGRICOLA BINI</t>
  </si>
  <si>
    <t>PACIONI ANGELA E FAZI UGO SOCIETA' AGRICOLA SEMPLICE</t>
  </si>
  <si>
    <t>SOCIETA' AGRICOLA MESCHINI SAS DI MESCHINI SIMONETTA &amp; C.</t>
  </si>
  <si>
    <t>ACCIARRI SOCIETA' AGRICOLA SRL</t>
  </si>
  <si>
    <t>SOCIETA' AGRICOLA "SANTA LUCIA S.S." DI DEL GOBBO GIOVANNA E PAOLONI M</t>
  </si>
  <si>
    <t>SRA15</t>
  </si>
  <si>
    <t>ORSOLINI FLAVIO</t>
  </si>
  <si>
    <t>Ordinario</t>
  </si>
  <si>
    <t>AGEA.ASR.2025.1249529</t>
  </si>
  <si>
    <t>Saldo</t>
  </si>
  <si>
    <t>SOCIETA' AGRICOLA F.LLI GOBBI S.S</t>
  </si>
  <si>
    <t>SOCIETA' AGRICOLA LICIA S.S.</t>
  </si>
  <si>
    <t>SOCIETA' AGRICOLA PIERONI S.S.</t>
  </si>
  <si>
    <t>SOCIETA' AGRICOLA TENIMENTI MAGNAMASSA SRL-SOCIO UNICO</t>
  </si>
  <si>
    <t>CAA Confagricoltura - ANCONA - 001</t>
  </si>
  <si>
    <t>SOCIETA' AGRICOLA VALLONGA S.S.</t>
  </si>
  <si>
    <t>SOCIETA' COOPERATIVA SOCIALE A RESPONSABILITA' LIMITATA BERTA '80</t>
  </si>
  <si>
    <t>SOCIETA' SEMPLICE AGRICOLA VAGNI</t>
  </si>
  <si>
    <t>SOLARI MARIA CRISTINA</t>
  </si>
  <si>
    <t>VOLPONI VANNI</t>
  </si>
  <si>
    <t>AGEA.ASR.2025.1249492</t>
  </si>
  <si>
    <t>CAA CIA - PESARO E URBINO - 007</t>
  </si>
  <si>
    <t>SRA14</t>
  </si>
  <si>
    <t>RAVAIOLI MIRCO</t>
  </si>
  <si>
    <t>AGEA.ASR.2025.1249884</t>
  </si>
  <si>
    <t>AGRO-FORESTALE FONTI VALLEBONA SAS DI ANTONELLI LUCA E C</t>
  </si>
  <si>
    <t>GIARDINI PIERGIUSEPPE</t>
  </si>
  <si>
    <t>CALEFFI ANGELA</t>
  </si>
  <si>
    <t>PIERMATTEI JURI</t>
  </si>
  <si>
    <t>STORTINI VALERIANO</t>
  </si>
  <si>
    <t>GIATTINI ETTORE</t>
  </si>
  <si>
    <t>PODERE LA CACCETTA SOCIETA' AGRICOLA SEMPLICE</t>
  </si>
  <si>
    <t>SOCIETA' AGRICOLA LA COLLINA DEGLI ULIVI S.S.</t>
  </si>
  <si>
    <t>SOCIETA' AGRICOLA ZEPPILLO BENITO E MICARELLI ANNA MARIA EREDI SOCIETA</t>
  </si>
  <si>
    <t>SOCIETA' AGRICOLA HECTOR DI CALVIGIONI SILVIO &amp; TOMBESI GIORGIA S .S.</t>
  </si>
  <si>
    <t>TORRESI MARTINA</t>
  </si>
  <si>
    <t>VISSANI MIRKO</t>
  </si>
  <si>
    <t>AGEA.ASR.2025.1240063</t>
  </si>
  <si>
    <t>CAA Coldiretti - ASCOLI PICENO - 040</t>
  </si>
  <si>
    <t>VALLORANI VALERIANO</t>
  </si>
  <si>
    <t>BALDONCINI ELENA</t>
  </si>
  <si>
    <t>GALLI ANDREA</t>
  </si>
  <si>
    <t>LACCHE' LUCA</t>
  </si>
  <si>
    <t>SOCIETA' AGRICOLA PITINO AGRICOLO SOCIETA' SEMPLICE</t>
  </si>
  <si>
    <t>STACCHIOTTI SILVIO</t>
  </si>
  <si>
    <t>CARBONI MATTEO</t>
  </si>
  <si>
    <t>MICCIO ROBERTO</t>
  </si>
  <si>
    <t>DEL GOBBO VITTORIA</t>
  </si>
  <si>
    <t>LUPI SIMONA</t>
  </si>
  <si>
    <t>CARLINI DANILO</t>
  </si>
  <si>
    <t>FEDERICI LAURA</t>
  </si>
  <si>
    <t>ROCCHI DAVIDE</t>
  </si>
  <si>
    <t>FARES ALDO</t>
  </si>
  <si>
    <t>VAGNARELLI MASSIMO</t>
  </si>
  <si>
    <t>VAGNARELLI TOMMASO</t>
  </si>
  <si>
    <t>GEMINIANI PIERO</t>
  </si>
  <si>
    <t>TRAINI GRAZIELLA</t>
  </si>
  <si>
    <t>PIERAGOSTINI GIOVANNI</t>
  </si>
  <si>
    <t>VAGNARELLI ENRICO - GABRIELLI VINCENZA</t>
  </si>
  <si>
    <t>EUSEBI ROBERTO</t>
  </si>
  <si>
    <t>PASQUALINI ARISTIDE</t>
  </si>
  <si>
    <t>MERCURI FRANCESCA SOCIETA' SEMPLICE AGRICOLA</t>
  </si>
  <si>
    <t>ANTOGNOZZI MARIANNINA</t>
  </si>
  <si>
    <t>LUPI MATTEO</t>
  </si>
  <si>
    <t>PACINI EMANUELE</t>
  </si>
  <si>
    <t>COPPARI TIZIANA</t>
  </si>
  <si>
    <t>PIERMARTERI ROBERTO</t>
  </si>
  <si>
    <t>RENZI GIOVANNI</t>
  </si>
  <si>
    <t>CURI MAURIZIO</t>
  </si>
  <si>
    <t>SOCIETA' AGRICOLA CUTINI DANIELE E MICHELE &amp; C. S.S</t>
  </si>
  <si>
    <t>COLOCCI GIOVANNI</t>
  </si>
  <si>
    <t>PLATINETTI MATTEO</t>
  </si>
  <si>
    <t>ORTENZI STEFANO</t>
  </si>
  <si>
    <t>SOCIETA' AGRICOLA FIORINI ENRICO E ZAMPONI CARLA S.S.</t>
  </si>
  <si>
    <t>GABRIELLI MARIA FRANCESCA</t>
  </si>
  <si>
    <t>AGEA.ASR.2025.1240109</t>
  </si>
  <si>
    <t>CAA CIA - ASCOLI PICENO - 002</t>
  </si>
  <si>
    <t>LA TENUTA DI MATTIA SOCIETA' SEMPLICE AGROFORESTALE DI FORMENTINI IVAN</t>
  </si>
  <si>
    <t>CAA CIA - ASCOLI PICENO - 005</t>
  </si>
  <si>
    <t>MORLACCA ERRI</t>
  </si>
  <si>
    <t>CAA AGRISERVIZI s.r.l.</t>
  </si>
  <si>
    <t>CAA AGRISERVIZI - LATINA - 001</t>
  </si>
  <si>
    <t>CAA AGRISERVIZI S.R.L.</t>
  </si>
  <si>
    <t>OLEIFICIO SILVESTRI ROSINA S.R.L.</t>
  </si>
  <si>
    <t>REBEZ LAUREATI PAOLO</t>
  </si>
  <si>
    <t>SOCIETA AGRICOLA CLORINDA CAUCCI SABATINI S.S.</t>
  </si>
  <si>
    <t>MIRCOLI ANDREA</t>
  </si>
  <si>
    <t>TENIMENTI GALLO SOC.AGRICOLA SRL</t>
  </si>
  <si>
    <t>CAA Coldiretti - VITERBO - 007</t>
  </si>
  <si>
    <t>SOCIETA' AGRICOLA SEMPLICE MACERETO</t>
  </si>
  <si>
    <t>CAA Coldiretti - PESARO E URBINO - 001</t>
  </si>
  <si>
    <t>TRAVAGLIATI ROBERTO</t>
  </si>
  <si>
    <t>LORENZOTTI ALDO</t>
  </si>
  <si>
    <t>SOCIETA' AGRICOLA SEMPLICE SANT'ANNA</t>
  </si>
  <si>
    <t>SCOLASTICI RAIMONDO</t>
  </si>
  <si>
    <t>CAMBORATA MARTA</t>
  </si>
  <si>
    <t>SEBASTIANI MASSIMILIANO</t>
  </si>
  <si>
    <t>SOCIETA' AGRICOLA LE ARCELLE DI PAZZAGLIA GIUSEPPINA &amp; C.SNC</t>
  </si>
  <si>
    <t>PALOMBI TONINO</t>
  </si>
  <si>
    <t>SILVERI LUCA</t>
  </si>
  <si>
    <t>ROMITELLI FAUSTO</t>
  </si>
  <si>
    <t>SABBATINI LUCIA</t>
  </si>
  <si>
    <t>CALANDRINI LAURA</t>
  </si>
  <si>
    <t>SOCIETA' AGRICOLA LA CARDA SRL</t>
  </si>
  <si>
    <t>CIANCONI ALBERTO</t>
  </si>
  <si>
    <t>DURO FRANCA</t>
  </si>
  <si>
    <t>CAA Coldiretti - PERUGIA - 008</t>
  </si>
  <si>
    <t>ALLEVAMENTO CAVALLI DEL CORNO DI ROMITELLI FAUSTO &amp; C. SOCIETA' AGRICO</t>
  </si>
  <si>
    <t>LUCARINI GIACOMO</t>
  </si>
  <si>
    <t>ROMITELLI GIACOMO</t>
  </si>
  <si>
    <t>GENTILOTTI GIUSEPPE</t>
  </si>
  <si>
    <t>CANCELLIERI AUGUSTO</t>
  </si>
  <si>
    <t>CAA LiberiAgricoltori - PESARO E URBINO - 002</t>
  </si>
  <si>
    <t>AZIENDA AGRICOLA CA' MADDALENA SOCIETA' SEMPLICE</t>
  </si>
  <si>
    <t>AURELI MACCARIO</t>
  </si>
  <si>
    <t>PISCIOLINI LUCA</t>
  </si>
  <si>
    <t>EGIDI SERGIO</t>
  </si>
  <si>
    <t>ALEOTTI GIOVAN BATTISTA</t>
  </si>
  <si>
    <t>PARIS MICHELA</t>
  </si>
  <si>
    <t>SOCIETA' AGRICOLA TODO S.S.</t>
  </si>
  <si>
    <t>CAA CIA - PESARO E URBINO - 002</t>
  </si>
  <si>
    <t>SOCIETA' AGRICOLA "AZIENDA AGRICOLA F.LLI RINOLFI"</t>
  </si>
  <si>
    <t>LO PRETE MARIA</t>
  </si>
  <si>
    <t>CAA CIA - PESARO E URBINO - 005</t>
  </si>
  <si>
    <t>XHARO ARDIT</t>
  </si>
  <si>
    <t>BENEDETTI RICCARDO</t>
  </si>
  <si>
    <t>SOCIETA' AGRICOLA TERRE DELLA SERRA S.A.S. DI LUCIA LUCCERIN</t>
  </si>
  <si>
    <t>SOCIETA' AGRICOLA "LA CORTE" DI CONTI GIULIANO &amp; C S.S.</t>
  </si>
  <si>
    <t>CAA Coldiretti - PESARO E URBINO - 004</t>
  </si>
  <si>
    <t>RUGGERI GIAMPAOLO</t>
  </si>
  <si>
    <t>BONOMI SILVIA</t>
  </si>
  <si>
    <t>CAA Coldiretti - PESARO E URBINO - 006</t>
  </si>
  <si>
    <t>ARE AGRICOLTURA SOCIETA' SEMPLICE AGRICOLA DI DE STEFANO GIOVANNA E C.</t>
  </si>
  <si>
    <t>FECCHI ALESSIO</t>
  </si>
  <si>
    <t>PAZZAGLIA RICCARDO</t>
  </si>
  <si>
    <t>SOCIETA' AGRICOLA CALANDRINI MARIO E BAZZUCCHI GRAZIELLA S.S</t>
  </si>
  <si>
    <t>AZIENDA AGRICOLA MEZZANOTTE DI MASSI SIMONE E C. - SOCIETA' AGRICOLA I</t>
  </si>
  <si>
    <t>TRAVAGLIATI GIUSEPPE</t>
  </si>
  <si>
    <t>SOCIETA' AGRICOLA VERDOLIO SS DI ALFEI FRANCESCO E C</t>
  </si>
  <si>
    <t>STEFANELLI MARCO</t>
  </si>
  <si>
    <t>TARDIOLI MARIA GRAZIA</t>
  </si>
  <si>
    <t>AGROMONTE S.R.L. - SOCEITA' AGRICOLA</t>
  </si>
  <si>
    <t>BOSI DOMITILLA</t>
  </si>
  <si>
    <t>CAPPELLI ANNA</t>
  </si>
  <si>
    <t>GIARDINI GIANCARLO</t>
  </si>
  <si>
    <t>CARDINI VALENTINO</t>
  </si>
  <si>
    <t>CICCOLINI FABRIZIO</t>
  </si>
  <si>
    <t>DELLE FAVE RAFFAELE</t>
  </si>
  <si>
    <t>MANDOLESI IGNAZIO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</si>
</sst>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6"/>
  <sheetViews>
    <sheetView showGridLines="0" tabSelected="1" topLeftCell="H1" workbookViewId="0">
      <selection activeCell="J3" sqref="J3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2.4257812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24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CONCATENATE("54810610268")</f>
        <v>54810610268</v>
      </c>
      <c r="K4" s="3" t="s">
        <v>33</v>
      </c>
      <c r="L4" s="3"/>
      <c r="M4" s="3" t="s">
        <v>34</v>
      </c>
      <c r="N4" s="3" t="str">
        <f>CONCATENATE("RCCGLN77H24E388Y")</f>
        <v>RCCGLN77H24E388Y</v>
      </c>
      <c r="O4" s="3" t="s">
        <v>35</v>
      </c>
      <c r="P4" s="3" t="s">
        <v>36</v>
      </c>
      <c r="Q4" s="3"/>
      <c r="R4" s="4">
        <v>45965</v>
      </c>
      <c r="S4" s="3" t="s">
        <v>37</v>
      </c>
      <c r="T4" s="3" t="s">
        <v>36</v>
      </c>
      <c r="U4" s="3" t="s">
        <v>38</v>
      </c>
      <c r="V4" s="5">
        <v>3325.71</v>
      </c>
      <c r="W4" s="5">
        <v>1413.43</v>
      </c>
      <c r="X4" s="5">
        <v>1338.6</v>
      </c>
      <c r="Y4" s="3">
        <v>573.67999999999995</v>
      </c>
    </row>
    <row r="5" spans="1:25" ht="24.75" x14ac:dyDescent="0.25">
      <c r="A5" s="3" t="s">
        <v>26</v>
      </c>
      <c r="B5" s="3" t="s">
        <v>27</v>
      </c>
      <c r="C5" s="3" t="s">
        <v>28</v>
      </c>
      <c r="D5" s="3" t="s">
        <v>29</v>
      </c>
      <c r="E5" s="3" t="s">
        <v>39</v>
      </c>
      <c r="F5" s="3" t="s">
        <v>31</v>
      </c>
      <c r="G5" s="3" t="s">
        <v>39</v>
      </c>
      <c r="H5" s="3" t="s">
        <v>32</v>
      </c>
      <c r="I5" s="3">
        <v>2025</v>
      </c>
      <c r="J5" s="3" t="str">
        <f>CONCATENATE("54810630480")</f>
        <v>54810630480</v>
      </c>
      <c r="K5" s="3" t="s">
        <v>33</v>
      </c>
      <c r="L5" s="3"/>
      <c r="M5" s="3" t="s">
        <v>34</v>
      </c>
      <c r="N5" s="3" t="str">
        <f>CONCATENATE("PRNLNZ03T09G157H")</f>
        <v>PRNLNZ03T09G157H</v>
      </c>
      <c r="O5" s="3" t="s">
        <v>40</v>
      </c>
      <c r="P5" s="3" t="s">
        <v>36</v>
      </c>
      <c r="Q5" s="3"/>
      <c r="R5" s="4">
        <v>45965</v>
      </c>
      <c r="S5" s="3" t="s">
        <v>37</v>
      </c>
      <c r="T5" s="3" t="s">
        <v>36</v>
      </c>
      <c r="U5" s="3" t="s">
        <v>38</v>
      </c>
      <c r="V5" s="3">
        <v>685.64</v>
      </c>
      <c r="W5" s="3">
        <v>291.39999999999998</v>
      </c>
      <c r="X5" s="3">
        <v>275.97000000000003</v>
      </c>
      <c r="Y5" s="3">
        <v>118.27</v>
      </c>
    </row>
    <row r="6" spans="1:25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41</v>
      </c>
      <c r="F6" s="3" t="s">
        <v>31</v>
      </c>
      <c r="G6" s="3" t="s">
        <v>41</v>
      </c>
      <c r="H6" s="3" t="s">
        <v>42</v>
      </c>
      <c r="I6" s="3">
        <v>2025</v>
      </c>
      <c r="J6" s="3" t="str">
        <f>CONCATENATE("54810657392")</f>
        <v>54810657392</v>
      </c>
      <c r="K6" s="3" t="s">
        <v>33</v>
      </c>
      <c r="L6" s="3"/>
      <c r="M6" s="3" t="s">
        <v>34</v>
      </c>
      <c r="N6" s="3" t="str">
        <f>CONCATENATE("MCNLRT51P09H876I")</f>
        <v>MCNLRT51P09H876I</v>
      </c>
      <c r="O6" s="3" t="s">
        <v>43</v>
      </c>
      <c r="P6" s="3" t="s">
        <v>36</v>
      </c>
      <c r="Q6" s="3"/>
      <c r="R6" s="4">
        <v>45965</v>
      </c>
      <c r="S6" s="3" t="s">
        <v>37</v>
      </c>
      <c r="T6" s="3" t="s">
        <v>36</v>
      </c>
      <c r="U6" s="3" t="s">
        <v>38</v>
      </c>
      <c r="V6" s="5">
        <v>6018.6</v>
      </c>
      <c r="W6" s="5">
        <v>2557.91</v>
      </c>
      <c r="X6" s="5">
        <v>2422.4899999999998</v>
      </c>
      <c r="Y6" s="5">
        <v>1038.2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44</v>
      </c>
      <c r="F7" s="3" t="s">
        <v>31</v>
      </c>
      <c r="G7" s="3" t="s">
        <v>44</v>
      </c>
      <c r="H7" s="3" t="s">
        <v>45</v>
      </c>
      <c r="I7" s="3">
        <v>2025</v>
      </c>
      <c r="J7" s="3" t="str">
        <f>CONCATENATE("54810738267")</f>
        <v>54810738267</v>
      </c>
      <c r="K7" s="3" t="s">
        <v>33</v>
      </c>
      <c r="L7" s="3"/>
      <c r="M7" s="3" t="s">
        <v>34</v>
      </c>
      <c r="N7" s="3" t="str">
        <f>CONCATENATE("CCHVCN60R28G516M")</f>
        <v>CCHVCN60R28G516M</v>
      </c>
      <c r="O7" s="3" t="s">
        <v>46</v>
      </c>
      <c r="P7" s="3" t="s">
        <v>36</v>
      </c>
      <c r="Q7" s="3"/>
      <c r="R7" s="4">
        <v>45965</v>
      </c>
      <c r="S7" s="3" t="s">
        <v>37</v>
      </c>
      <c r="T7" s="3" t="s">
        <v>36</v>
      </c>
      <c r="U7" s="3" t="s">
        <v>38</v>
      </c>
      <c r="V7" s="5">
        <v>9479.65</v>
      </c>
      <c r="W7" s="5">
        <v>4028.85</v>
      </c>
      <c r="X7" s="5">
        <v>3815.56</v>
      </c>
      <c r="Y7" s="5">
        <v>1635.24</v>
      </c>
    </row>
    <row r="8" spans="1:25" ht="24.75" x14ac:dyDescent="0.25">
      <c r="A8" s="3" t="s">
        <v>26</v>
      </c>
      <c r="B8" s="3" t="s">
        <v>27</v>
      </c>
      <c r="C8" s="3" t="s">
        <v>28</v>
      </c>
      <c r="D8" s="3" t="s">
        <v>47</v>
      </c>
      <c r="E8" s="3" t="s">
        <v>48</v>
      </c>
      <c r="F8" s="3" t="s">
        <v>49</v>
      </c>
      <c r="G8" s="3" t="s">
        <v>48</v>
      </c>
      <c r="H8" s="3" t="s">
        <v>45</v>
      </c>
      <c r="I8" s="3">
        <v>2025</v>
      </c>
      <c r="J8" s="3" t="str">
        <f>CONCATENATE("54810685716")</f>
        <v>54810685716</v>
      </c>
      <c r="K8" s="3" t="s">
        <v>33</v>
      </c>
      <c r="L8" s="3"/>
      <c r="M8" s="3" t="s">
        <v>34</v>
      </c>
      <c r="N8" s="3" t="str">
        <f>CONCATENATE("VRGDNI78B04G516M")</f>
        <v>VRGDNI78B04G516M</v>
      </c>
      <c r="O8" s="3" t="s">
        <v>50</v>
      </c>
      <c r="P8" s="3" t="s">
        <v>36</v>
      </c>
      <c r="Q8" s="3"/>
      <c r="R8" s="4">
        <v>45965</v>
      </c>
      <c r="S8" s="3" t="s">
        <v>37</v>
      </c>
      <c r="T8" s="3" t="s">
        <v>36</v>
      </c>
      <c r="U8" s="3" t="s">
        <v>38</v>
      </c>
      <c r="V8" s="5">
        <v>4660.5</v>
      </c>
      <c r="W8" s="5">
        <v>1980.71</v>
      </c>
      <c r="X8" s="5">
        <v>1875.85</v>
      </c>
      <c r="Y8" s="3">
        <v>803.94</v>
      </c>
    </row>
    <row r="9" spans="1:25" x14ac:dyDescent="0.25">
      <c r="A9" s="3" t="s">
        <v>26</v>
      </c>
      <c r="B9" s="3" t="s">
        <v>27</v>
      </c>
      <c r="C9" s="3" t="s">
        <v>28</v>
      </c>
      <c r="D9" s="3" t="s">
        <v>29</v>
      </c>
      <c r="E9" s="3" t="s">
        <v>51</v>
      </c>
      <c r="F9" s="3" t="s">
        <v>31</v>
      </c>
      <c r="G9" s="3" t="s">
        <v>51</v>
      </c>
      <c r="H9" s="3" t="s">
        <v>42</v>
      </c>
      <c r="I9" s="3">
        <v>2025</v>
      </c>
      <c r="J9" s="3" t="str">
        <f>CONCATENATE("54810868791")</f>
        <v>54810868791</v>
      </c>
      <c r="K9" s="3" t="s">
        <v>33</v>
      </c>
      <c r="L9" s="3"/>
      <c r="M9" s="3" t="s">
        <v>34</v>
      </c>
      <c r="N9" s="3" t="str">
        <f>CONCATENATE("MCCMRA35L17H211O")</f>
        <v>MCCMRA35L17H211O</v>
      </c>
      <c r="O9" s="3" t="s">
        <v>52</v>
      </c>
      <c r="P9" s="3" t="s">
        <v>36</v>
      </c>
      <c r="Q9" s="3"/>
      <c r="R9" s="4">
        <v>45965</v>
      </c>
      <c r="S9" s="3" t="s">
        <v>37</v>
      </c>
      <c r="T9" s="3" t="s">
        <v>36</v>
      </c>
      <c r="U9" s="3" t="s">
        <v>38</v>
      </c>
      <c r="V9" s="5">
        <v>12839.38</v>
      </c>
      <c r="W9" s="5">
        <v>5456.74</v>
      </c>
      <c r="X9" s="5">
        <v>5167.8500000000004</v>
      </c>
      <c r="Y9" s="5">
        <v>2214.79</v>
      </c>
    </row>
    <row r="10" spans="1:25" x14ac:dyDescent="0.25">
      <c r="A10" s="3" t="s">
        <v>26</v>
      </c>
      <c r="B10" s="3" t="s">
        <v>27</v>
      </c>
      <c r="C10" s="3" t="s">
        <v>28</v>
      </c>
      <c r="D10" s="3" t="s">
        <v>29</v>
      </c>
      <c r="E10" s="3" t="s">
        <v>53</v>
      </c>
      <c r="F10" s="3" t="s">
        <v>31</v>
      </c>
      <c r="G10" s="3" t="s">
        <v>53</v>
      </c>
      <c r="H10" s="3" t="s">
        <v>42</v>
      </c>
      <c r="I10" s="3">
        <v>2025</v>
      </c>
      <c r="J10" s="3" t="str">
        <f>CONCATENATE("54810767126")</f>
        <v>54810767126</v>
      </c>
      <c r="K10" s="3" t="s">
        <v>33</v>
      </c>
      <c r="L10" s="3"/>
      <c r="M10" s="3" t="s">
        <v>34</v>
      </c>
      <c r="N10" s="3" t="str">
        <f>CONCATENATE("FRNNRC65D17I156Q")</f>
        <v>FRNNRC65D17I156Q</v>
      </c>
      <c r="O10" s="3" t="s">
        <v>54</v>
      </c>
      <c r="P10" s="3" t="s">
        <v>36</v>
      </c>
      <c r="Q10" s="3"/>
      <c r="R10" s="4">
        <v>45965</v>
      </c>
      <c r="S10" s="3" t="s">
        <v>37</v>
      </c>
      <c r="T10" s="3" t="s">
        <v>36</v>
      </c>
      <c r="U10" s="3" t="s">
        <v>38</v>
      </c>
      <c r="V10" s="5">
        <v>21165.16</v>
      </c>
      <c r="W10" s="5">
        <v>8995.19</v>
      </c>
      <c r="X10" s="5">
        <v>8518.98</v>
      </c>
      <c r="Y10" s="5">
        <v>3650.99</v>
      </c>
    </row>
    <row r="11" spans="1:25" ht="24.75" x14ac:dyDescent="0.25">
      <c r="A11" s="3" t="s">
        <v>26</v>
      </c>
      <c r="B11" s="3" t="s">
        <v>27</v>
      </c>
      <c r="C11" s="3" t="s">
        <v>28</v>
      </c>
      <c r="D11" s="3" t="s">
        <v>47</v>
      </c>
      <c r="E11" s="3" t="s">
        <v>55</v>
      </c>
      <c r="F11" s="3" t="s">
        <v>49</v>
      </c>
      <c r="G11" s="3" t="s">
        <v>55</v>
      </c>
      <c r="H11" s="3" t="s">
        <v>32</v>
      </c>
      <c r="I11" s="3">
        <v>2025</v>
      </c>
      <c r="J11" s="3" t="str">
        <f>CONCATENATE("54810766912")</f>
        <v>54810766912</v>
      </c>
      <c r="K11" s="3" t="s">
        <v>33</v>
      </c>
      <c r="L11" s="3"/>
      <c r="M11" s="3" t="s">
        <v>34</v>
      </c>
      <c r="N11" s="3" t="str">
        <f>CONCATENATE("02075810420")</f>
        <v>02075810420</v>
      </c>
      <c r="O11" s="3" t="s">
        <v>56</v>
      </c>
      <c r="P11" s="3" t="s">
        <v>36</v>
      </c>
      <c r="Q11" s="3"/>
      <c r="R11" s="4">
        <v>45965</v>
      </c>
      <c r="S11" s="3" t="s">
        <v>37</v>
      </c>
      <c r="T11" s="3" t="s">
        <v>36</v>
      </c>
      <c r="U11" s="3" t="s">
        <v>38</v>
      </c>
      <c r="V11" s="5">
        <v>2721.64</v>
      </c>
      <c r="W11" s="5">
        <v>1156.7</v>
      </c>
      <c r="X11" s="5">
        <v>1095.46</v>
      </c>
      <c r="Y11" s="3">
        <v>469.48</v>
      </c>
    </row>
    <row r="12" spans="1:25" ht="24.75" x14ac:dyDescent="0.25">
      <c r="A12" s="3" t="s">
        <v>26</v>
      </c>
      <c r="B12" s="3" t="s">
        <v>27</v>
      </c>
      <c r="C12" s="3" t="s">
        <v>28</v>
      </c>
      <c r="D12" s="3" t="s">
        <v>57</v>
      </c>
      <c r="E12" s="3" t="s">
        <v>58</v>
      </c>
      <c r="F12" s="3" t="s">
        <v>59</v>
      </c>
      <c r="G12" s="3" t="s">
        <v>58</v>
      </c>
      <c r="H12" s="3" t="s">
        <v>42</v>
      </c>
      <c r="I12" s="3">
        <v>2025</v>
      </c>
      <c r="J12" s="3" t="str">
        <f>CONCATENATE("54810761103")</f>
        <v>54810761103</v>
      </c>
      <c r="K12" s="3" t="s">
        <v>33</v>
      </c>
      <c r="L12" s="3"/>
      <c r="M12" s="3" t="s">
        <v>34</v>
      </c>
      <c r="N12" s="3" t="str">
        <f>CONCATENATE("01269980437")</f>
        <v>01269980437</v>
      </c>
      <c r="O12" s="3" t="s">
        <v>60</v>
      </c>
      <c r="P12" s="3" t="s">
        <v>36</v>
      </c>
      <c r="Q12" s="3"/>
      <c r="R12" s="4">
        <v>45965</v>
      </c>
      <c r="S12" s="3" t="s">
        <v>37</v>
      </c>
      <c r="T12" s="3" t="s">
        <v>36</v>
      </c>
      <c r="U12" s="3" t="s">
        <v>38</v>
      </c>
      <c r="V12" s="5">
        <v>10840.76</v>
      </c>
      <c r="W12" s="5">
        <v>4607.32</v>
      </c>
      <c r="X12" s="5">
        <v>4363.41</v>
      </c>
      <c r="Y12" s="5">
        <v>1870.03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57</v>
      </c>
      <c r="E13" s="3" t="s">
        <v>61</v>
      </c>
      <c r="F13" s="3" t="s">
        <v>59</v>
      </c>
      <c r="G13" s="3" t="s">
        <v>61</v>
      </c>
      <c r="H13" s="3" t="s">
        <v>42</v>
      </c>
      <c r="I13" s="3">
        <v>2025</v>
      </c>
      <c r="J13" s="3" t="str">
        <f>CONCATENATE("54810048758")</f>
        <v>54810048758</v>
      </c>
      <c r="K13" s="3" t="s">
        <v>33</v>
      </c>
      <c r="L13" s="3"/>
      <c r="M13" s="3" t="s">
        <v>34</v>
      </c>
      <c r="N13" s="3" t="str">
        <f>CONCATENATE("02061550436")</f>
        <v>02061550436</v>
      </c>
      <c r="O13" s="3" t="s">
        <v>62</v>
      </c>
      <c r="P13" s="3" t="s">
        <v>36</v>
      </c>
      <c r="Q13" s="3"/>
      <c r="R13" s="4">
        <v>45965</v>
      </c>
      <c r="S13" s="3" t="s">
        <v>37</v>
      </c>
      <c r="T13" s="3" t="s">
        <v>36</v>
      </c>
      <c r="U13" s="3" t="s">
        <v>38</v>
      </c>
      <c r="V13" s="5">
        <v>1715.68</v>
      </c>
      <c r="W13" s="3">
        <v>729.16</v>
      </c>
      <c r="X13" s="3">
        <v>690.56</v>
      </c>
      <c r="Y13" s="3">
        <v>295.95999999999998</v>
      </c>
    </row>
    <row r="14" spans="1:25" x14ac:dyDescent="0.25">
      <c r="A14" s="3" t="s">
        <v>26</v>
      </c>
      <c r="B14" s="3" t="s">
        <v>27</v>
      </c>
      <c r="C14" s="3" t="s">
        <v>28</v>
      </c>
      <c r="D14" s="3" t="s">
        <v>57</v>
      </c>
      <c r="E14" s="3" t="s">
        <v>61</v>
      </c>
      <c r="F14" s="3" t="s">
        <v>59</v>
      </c>
      <c r="G14" s="3" t="s">
        <v>61</v>
      </c>
      <c r="H14" s="3" t="s">
        <v>42</v>
      </c>
      <c r="I14" s="3">
        <v>2025</v>
      </c>
      <c r="J14" s="3" t="str">
        <f>CONCATENATE("54810322641")</f>
        <v>54810322641</v>
      </c>
      <c r="K14" s="3" t="s">
        <v>33</v>
      </c>
      <c r="L14" s="3"/>
      <c r="M14" s="3" t="s">
        <v>34</v>
      </c>
      <c r="N14" s="3" t="str">
        <f>CONCATENATE("VLNRND39M16E783L")</f>
        <v>VLNRND39M16E783L</v>
      </c>
      <c r="O14" s="3" t="s">
        <v>63</v>
      </c>
      <c r="P14" s="3" t="s">
        <v>36</v>
      </c>
      <c r="Q14" s="3"/>
      <c r="R14" s="4">
        <v>45965</v>
      </c>
      <c r="S14" s="3" t="s">
        <v>37</v>
      </c>
      <c r="T14" s="3" t="s">
        <v>36</v>
      </c>
      <c r="U14" s="3" t="s">
        <v>38</v>
      </c>
      <c r="V14" s="5">
        <v>5439.99</v>
      </c>
      <c r="W14" s="5">
        <v>2312</v>
      </c>
      <c r="X14" s="5">
        <v>2189.6</v>
      </c>
      <c r="Y14" s="3">
        <v>938.39</v>
      </c>
    </row>
    <row r="15" spans="1:25" x14ac:dyDescent="0.25">
      <c r="A15" s="3" t="s">
        <v>26</v>
      </c>
      <c r="B15" s="3" t="s">
        <v>27</v>
      </c>
      <c r="C15" s="3" t="s">
        <v>28</v>
      </c>
      <c r="D15" s="3" t="s">
        <v>29</v>
      </c>
      <c r="E15" s="3" t="s">
        <v>64</v>
      </c>
      <c r="F15" s="3" t="s">
        <v>31</v>
      </c>
      <c r="G15" s="3" t="s">
        <v>64</v>
      </c>
      <c r="H15" s="3" t="s">
        <v>42</v>
      </c>
      <c r="I15" s="3">
        <v>2025</v>
      </c>
      <c r="J15" s="3" t="str">
        <f>CONCATENATE("54810079498")</f>
        <v>54810079498</v>
      </c>
      <c r="K15" s="3" t="s">
        <v>33</v>
      </c>
      <c r="L15" s="3"/>
      <c r="M15" s="3" t="s">
        <v>34</v>
      </c>
      <c r="N15" s="3" t="str">
        <f>CONCATENATE("ZLLLNZ87A15H211S")</f>
        <v>ZLLLNZ87A15H211S</v>
      </c>
      <c r="O15" s="3" t="s">
        <v>65</v>
      </c>
      <c r="P15" s="3" t="s">
        <v>36</v>
      </c>
      <c r="Q15" s="3"/>
      <c r="R15" s="4">
        <v>45965</v>
      </c>
      <c r="S15" s="3" t="s">
        <v>37</v>
      </c>
      <c r="T15" s="3" t="s">
        <v>36</v>
      </c>
      <c r="U15" s="3" t="s">
        <v>38</v>
      </c>
      <c r="V15" s="5">
        <v>3563.73</v>
      </c>
      <c r="W15" s="5">
        <v>1514.59</v>
      </c>
      <c r="X15" s="5">
        <v>1434.4</v>
      </c>
      <c r="Y15" s="3">
        <v>614.74</v>
      </c>
    </row>
    <row r="16" spans="1:25" ht="24.75" x14ac:dyDescent="0.25">
      <c r="A16" s="3" t="s">
        <v>26</v>
      </c>
      <c r="B16" s="3" t="s">
        <v>27</v>
      </c>
      <c r="C16" s="3" t="s">
        <v>28</v>
      </c>
      <c r="D16" s="3" t="s">
        <v>57</v>
      </c>
      <c r="E16" s="3" t="s">
        <v>61</v>
      </c>
      <c r="F16" s="3" t="s">
        <v>59</v>
      </c>
      <c r="G16" s="3" t="s">
        <v>61</v>
      </c>
      <c r="H16" s="3" t="s">
        <v>42</v>
      </c>
      <c r="I16" s="3">
        <v>2025</v>
      </c>
      <c r="J16" s="3" t="str">
        <f>CONCATENATE("54810071982")</f>
        <v>54810071982</v>
      </c>
      <c r="K16" s="3" t="s">
        <v>33</v>
      </c>
      <c r="L16" s="3"/>
      <c r="M16" s="3" t="s">
        <v>34</v>
      </c>
      <c r="N16" s="3" t="str">
        <f>CONCATENATE("01524850433")</f>
        <v>01524850433</v>
      </c>
      <c r="O16" s="3" t="s">
        <v>66</v>
      </c>
      <c r="P16" s="3" t="s">
        <v>36</v>
      </c>
      <c r="Q16" s="3"/>
      <c r="R16" s="4">
        <v>45965</v>
      </c>
      <c r="S16" s="3" t="s">
        <v>37</v>
      </c>
      <c r="T16" s="3" t="s">
        <v>36</v>
      </c>
      <c r="U16" s="3" t="s">
        <v>38</v>
      </c>
      <c r="V16" s="5">
        <v>7442.65</v>
      </c>
      <c r="W16" s="5">
        <v>3163.13</v>
      </c>
      <c r="X16" s="5">
        <v>2995.67</v>
      </c>
      <c r="Y16" s="5">
        <v>1283.8499999999999</v>
      </c>
    </row>
    <row r="17" spans="1:25" ht="24.75" x14ac:dyDescent="0.25">
      <c r="A17" s="3" t="s">
        <v>26</v>
      </c>
      <c r="B17" s="3" t="s">
        <v>27</v>
      </c>
      <c r="C17" s="3" t="s">
        <v>28</v>
      </c>
      <c r="D17" s="3" t="s">
        <v>29</v>
      </c>
      <c r="E17" s="3" t="s">
        <v>67</v>
      </c>
      <c r="F17" s="3" t="s">
        <v>31</v>
      </c>
      <c r="G17" s="3" t="s">
        <v>67</v>
      </c>
      <c r="H17" s="3" t="s">
        <v>68</v>
      </c>
      <c r="I17" s="3">
        <v>2025</v>
      </c>
      <c r="J17" s="3" t="str">
        <f>CONCATENATE("54811089876")</f>
        <v>54811089876</v>
      </c>
      <c r="K17" s="3" t="s">
        <v>33</v>
      </c>
      <c r="L17" s="3"/>
      <c r="M17" s="3" t="s">
        <v>34</v>
      </c>
      <c r="N17" s="3" t="str">
        <f>CONCATENATE("BVLSFN59B08D488T")</f>
        <v>BVLSFN59B08D488T</v>
      </c>
      <c r="O17" s="3" t="s">
        <v>69</v>
      </c>
      <c r="P17" s="3" t="s">
        <v>36</v>
      </c>
      <c r="Q17" s="3"/>
      <c r="R17" s="4">
        <v>45965</v>
      </c>
      <c r="S17" s="3" t="s">
        <v>37</v>
      </c>
      <c r="T17" s="3" t="s">
        <v>36</v>
      </c>
      <c r="U17" s="3" t="s">
        <v>38</v>
      </c>
      <c r="V17" s="5">
        <v>1470.37</v>
      </c>
      <c r="W17" s="3">
        <v>624.91</v>
      </c>
      <c r="X17" s="3">
        <v>591.82000000000005</v>
      </c>
      <c r="Y17" s="3">
        <v>253.64</v>
      </c>
    </row>
    <row r="18" spans="1:25" x14ac:dyDescent="0.25">
      <c r="A18" s="3" t="s">
        <v>26</v>
      </c>
      <c r="B18" s="3" t="s">
        <v>27</v>
      </c>
      <c r="C18" s="3" t="s">
        <v>28</v>
      </c>
      <c r="D18" s="3" t="s">
        <v>29</v>
      </c>
      <c r="E18" s="3" t="s">
        <v>70</v>
      </c>
      <c r="F18" s="3" t="s">
        <v>31</v>
      </c>
      <c r="G18" s="3" t="s">
        <v>70</v>
      </c>
      <c r="H18" s="3" t="s">
        <v>42</v>
      </c>
      <c r="I18" s="3">
        <v>2025</v>
      </c>
      <c r="J18" s="3" t="str">
        <f>CONCATENATE("54811283560")</f>
        <v>54811283560</v>
      </c>
      <c r="K18" s="3" t="s">
        <v>33</v>
      </c>
      <c r="L18" s="3"/>
      <c r="M18" s="3" t="s">
        <v>34</v>
      </c>
      <c r="N18" s="3" t="str">
        <f>CONCATENATE("01677460436")</f>
        <v>01677460436</v>
      </c>
      <c r="O18" s="3" t="s">
        <v>71</v>
      </c>
      <c r="P18" s="3" t="s">
        <v>36</v>
      </c>
      <c r="Q18" s="3"/>
      <c r="R18" s="4">
        <v>45965</v>
      </c>
      <c r="S18" s="3" t="s">
        <v>37</v>
      </c>
      <c r="T18" s="3" t="s">
        <v>36</v>
      </c>
      <c r="U18" s="3" t="s">
        <v>38</v>
      </c>
      <c r="V18" s="5">
        <v>9544.8799999999992</v>
      </c>
      <c r="W18" s="5">
        <v>4056.57</v>
      </c>
      <c r="X18" s="5">
        <v>3841.81</v>
      </c>
      <c r="Y18" s="5">
        <v>1646.5</v>
      </c>
    </row>
    <row r="19" spans="1:25" x14ac:dyDescent="0.25">
      <c r="A19" s="3" t="s">
        <v>26</v>
      </c>
      <c r="B19" s="3" t="s">
        <v>27</v>
      </c>
      <c r="C19" s="3" t="s">
        <v>28</v>
      </c>
      <c r="D19" s="3" t="s">
        <v>29</v>
      </c>
      <c r="E19" s="3" t="s">
        <v>64</v>
      </c>
      <c r="F19" s="3" t="s">
        <v>31</v>
      </c>
      <c r="G19" s="3" t="s">
        <v>64</v>
      </c>
      <c r="H19" s="3" t="s">
        <v>42</v>
      </c>
      <c r="I19" s="3">
        <v>2025</v>
      </c>
      <c r="J19" s="3" t="str">
        <f>CONCATENATE("54810824380")</f>
        <v>54810824380</v>
      </c>
      <c r="K19" s="3" t="s">
        <v>33</v>
      </c>
      <c r="L19" s="3"/>
      <c r="M19" s="3" t="s">
        <v>34</v>
      </c>
      <c r="N19" s="3" t="str">
        <f>CONCATENATE("MGLPNI52L42E783F")</f>
        <v>MGLPNI52L42E783F</v>
      </c>
      <c r="O19" s="3" t="s">
        <v>72</v>
      </c>
      <c r="P19" s="3" t="s">
        <v>36</v>
      </c>
      <c r="Q19" s="3"/>
      <c r="R19" s="4">
        <v>45965</v>
      </c>
      <c r="S19" s="3" t="s">
        <v>37</v>
      </c>
      <c r="T19" s="3" t="s">
        <v>36</v>
      </c>
      <c r="U19" s="3" t="s">
        <v>38</v>
      </c>
      <c r="V19" s="5">
        <v>2250.4299999999998</v>
      </c>
      <c r="W19" s="3">
        <v>956.43</v>
      </c>
      <c r="X19" s="3">
        <v>905.8</v>
      </c>
      <c r="Y19" s="3">
        <v>388.2</v>
      </c>
    </row>
    <row r="20" spans="1:25" ht="24.75" x14ac:dyDescent="0.25">
      <c r="A20" s="3" t="s">
        <v>26</v>
      </c>
      <c r="B20" s="3" t="s">
        <v>27</v>
      </c>
      <c r="C20" s="3" t="s">
        <v>28</v>
      </c>
      <c r="D20" s="3" t="s">
        <v>29</v>
      </c>
      <c r="E20" s="3" t="s">
        <v>41</v>
      </c>
      <c r="F20" s="3" t="s">
        <v>31</v>
      </c>
      <c r="G20" s="3" t="s">
        <v>41</v>
      </c>
      <c r="H20" s="3" t="s">
        <v>42</v>
      </c>
      <c r="I20" s="3">
        <v>2025</v>
      </c>
      <c r="J20" s="3" t="str">
        <f>CONCATENATE("54810807526")</f>
        <v>54810807526</v>
      </c>
      <c r="K20" s="3" t="s">
        <v>33</v>
      </c>
      <c r="L20" s="3"/>
      <c r="M20" s="3" t="s">
        <v>34</v>
      </c>
      <c r="N20" s="3" t="str">
        <f>CONCATENATE("01738470432")</f>
        <v>01738470432</v>
      </c>
      <c r="O20" s="3" t="s">
        <v>73</v>
      </c>
      <c r="P20" s="3" t="s">
        <v>36</v>
      </c>
      <c r="Q20" s="3"/>
      <c r="R20" s="4">
        <v>45965</v>
      </c>
      <c r="S20" s="3" t="s">
        <v>37</v>
      </c>
      <c r="T20" s="3" t="s">
        <v>36</v>
      </c>
      <c r="U20" s="3" t="s">
        <v>38</v>
      </c>
      <c r="V20" s="5">
        <v>6245.98</v>
      </c>
      <c r="W20" s="5">
        <v>2654.54</v>
      </c>
      <c r="X20" s="5">
        <v>2514.0100000000002</v>
      </c>
      <c r="Y20" s="5">
        <v>1077.43</v>
      </c>
    </row>
    <row r="21" spans="1:25" ht="24.75" x14ac:dyDescent="0.25">
      <c r="A21" s="3" t="s">
        <v>26</v>
      </c>
      <c r="B21" s="3" t="s">
        <v>27</v>
      </c>
      <c r="C21" s="3" t="s">
        <v>28</v>
      </c>
      <c r="D21" s="3" t="s">
        <v>29</v>
      </c>
      <c r="E21" s="3" t="s">
        <v>74</v>
      </c>
      <c r="F21" s="3" t="s">
        <v>31</v>
      </c>
      <c r="G21" s="3" t="s">
        <v>74</v>
      </c>
      <c r="H21" s="3" t="s">
        <v>68</v>
      </c>
      <c r="I21" s="3">
        <v>2025</v>
      </c>
      <c r="J21" s="3" t="str">
        <f>CONCATENATE("54811001020")</f>
        <v>54811001020</v>
      </c>
      <c r="K21" s="3" t="s">
        <v>33</v>
      </c>
      <c r="L21" s="3"/>
      <c r="M21" s="3" t="s">
        <v>34</v>
      </c>
      <c r="N21" s="3" t="str">
        <f>CONCATENATE("CVLNNL67E53G479E")</f>
        <v>CVLNNL67E53G479E</v>
      </c>
      <c r="O21" s="3" t="s">
        <v>75</v>
      </c>
      <c r="P21" s="3" t="s">
        <v>36</v>
      </c>
      <c r="Q21" s="3"/>
      <c r="R21" s="4">
        <v>45965</v>
      </c>
      <c r="S21" s="3" t="s">
        <v>37</v>
      </c>
      <c r="T21" s="3" t="s">
        <v>36</v>
      </c>
      <c r="U21" s="3" t="s">
        <v>38</v>
      </c>
      <c r="V21" s="5">
        <v>1965.77</v>
      </c>
      <c r="W21" s="3">
        <v>835.45</v>
      </c>
      <c r="X21" s="3">
        <v>791.22</v>
      </c>
      <c r="Y21" s="3">
        <v>339.1</v>
      </c>
    </row>
    <row r="22" spans="1:25" ht="24.75" x14ac:dyDescent="0.25">
      <c r="A22" s="3" t="s">
        <v>26</v>
      </c>
      <c r="B22" s="3" t="s">
        <v>27</v>
      </c>
      <c r="C22" s="3" t="s">
        <v>28</v>
      </c>
      <c r="D22" s="3" t="s">
        <v>29</v>
      </c>
      <c r="E22" s="3" t="s">
        <v>76</v>
      </c>
      <c r="F22" s="3" t="s">
        <v>31</v>
      </c>
      <c r="G22" s="3" t="s">
        <v>76</v>
      </c>
      <c r="H22" s="3" t="s">
        <v>32</v>
      </c>
      <c r="I22" s="3">
        <v>2025</v>
      </c>
      <c r="J22" s="3" t="str">
        <f>CONCATENATE("54811115085")</f>
        <v>54811115085</v>
      </c>
      <c r="K22" s="3" t="s">
        <v>33</v>
      </c>
      <c r="L22" s="3"/>
      <c r="M22" s="3" t="s">
        <v>34</v>
      </c>
      <c r="N22" s="3" t="str">
        <f>CONCATENATE("02466630429")</f>
        <v>02466630429</v>
      </c>
      <c r="O22" s="3" t="s">
        <v>77</v>
      </c>
      <c r="P22" s="3" t="s">
        <v>36</v>
      </c>
      <c r="Q22" s="3"/>
      <c r="R22" s="4">
        <v>45965</v>
      </c>
      <c r="S22" s="3" t="s">
        <v>37</v>
      </c>
      <c r="T22" s="3" t="s">
        <v>36</v>
      </c>
      <c r="U22" s="3" t="s">
        <v>38</v>
      </c>
      <c r="V22" s="5">
        <v>5980.02</v>
      </c>
      <c r="W22" s="5">
        <v>2541.5100000000002</v>
      </c>
      <c r="X22" s="5">
        <v>2406.96</v>
      </c>
      <c r="Y22" s="5">
        <v>1031.55</v>
      </c>
    </row>
    <row r="23" spans="1:25" ht="24.75" x14ac:dyDescent="0.25">
      <c r="A23" s="3" t="s">
        <v>26</v>
      </c>
      <c r="B23" s="3" t="s">
        <v>27</v>
      </c>
      <c r="C23" s="3" t="s">
        <v>28</v>
      </c>
      <c r="D23" s="3" t="s">
        <v>47</v>
      </c>
      <c r="E23" s="3" t="s">
        <v>78</v>
      </c>
      <c r="F23" s="3" t="s">
        <v>49</v>
      </c>
      <c r="G23" s="3" t="s">
        <v>78</v>
      </c>
      <c r="H23" s="3" t="s">
        <v>68</v>
      </c>
      <c r="I23" s="3">
        <v>2025</v>
      </c>
      <c r="J23" s="3" t="str">
        <f>CONCATENATE("54811134870")</f>
        <v>54811134870</v>
      </c>
      <c r="K23" s="3" t="s">
        <v>33</v>
      </c>
      <c r="L23" s="3"/>
      <c r="M23" s="3" t="s">
        <v>34</v>
      </c>
      <c r="N23" s="3" t="str">
        <f>CONCATENATE("GVLCLD70H19I285J")</f>
        <v>GVLCLD70H19I285J</v>
      </c>
      <c r="O23" s="3" t="s">
        <v>79</v>
      </c>
      <c r="P23" s="3" t="s">
        <v>36</v>
      </c>
      <c r="Q23" s="3"/>
      <c r="R23" s="4">
        <v>45965</v>
      </c>
      <c r="S23" s="3" t="s">
        <v>37</v>
      </c>
      <c r="T23" s="3" t="s">
        <v>36</v>
      </c>
      <c r="U23" s="3" t="s">
        <v>38</v>
      </c>
      <c r="V23" s="5">
        <v>3428.41</v>
      </c>
      <c r="W23" s="5">
        <v>1457.07</v>
      </c>
      <c r="X23" s="5">
        <v>1379.94</v>
      </c>
      <c r="Y23" s="3">
        <v>591.4</v>
      </c>
    </row>
    <row r="24" spans="1:25" ht="24.75" x14ac:dyDescent="0.25">
      <c r="A24" s="3" t="s">
        <v>26</v>
      </c>
      <c r="B24" s="3" t="s">
        <v>27</v>
      </c>
      <c r="C24" s="3" t="s">
        <v>28</v>
      </c>
      <c r="D24" s="3" t="s">
        <v>29</v>
      </c>
      <c r="E24" s="3" t="s">
        <v>76</v>
      </c>
      <c r="F24" s="3" t="s">
        <v>31</v>
      </c>
      <c r="G24" s="3" t="s">
        <v>76</v>
      </c>
      <c r="H24" s="3" t="s">
        <v>32</v>
      </c>
      <c r="I24" s="3">
        <v>2025</v>
      </c>
      <c r="J24" s="3" t="str">
        <f>CONCATENATE("54811152849")</f>
        <v>54811152849</v>
      </c>
      <c r="K24" s="3" t="s">
        <v>33</v>
      </c>
      <c r="L24" s="3"/>
      <c r="M24" s="3" t="s">
        <v>34</v>
      </c>
      <c r="N24" s="3" t="str">
        <f>CONCATENATE("01334510425")</f>
        <v>01334510425</v>
      </c>
      <c r="O24" s="3" t="s">
        <v>80</v>
      </c>
      <c r="P24" s="3" t="s">
        <v>36</v>
      </c>
      <c r="Q24" s="3"/>
      <c r="R24" s="4">
        <v>45965</v>
      </c>
      <c r="S24" s="3" t="s">
        <v>37</v>
      </c>
      <c r="T24" s="3" t="s">
        <v>36</v>
      </c>
      <c r="U24" s="3" t="s">
        <v>38</v>
      </c>
      <c r="V24" s="5">
        <v>19719.14</v>
      </c>
      <c r="W24" s="5">
        <v>8380.6299999999992</v>
      </c>
      <c r="X24" s="5">
        <v>7936.95</v>
      </c>
      <c r="Y24" s="5">
        <v>3401.56</v>
      </c>
    </row>
    <row r="25" spans="1:25" x14ac:dyDescent="0.25">
      <c r="A25" s="3" t="s">
        <v>26</v>
      </c>
      <c r="B25" s="3" t="s">
        <v>27</v>
      </c>
      <c r="C25" s="3" t="s">
        <v>28</v>
      </c>
      <c r="D25" s="3" t="s">
        <v>29</v>
      </c>
      <c r="E25" s="3" t="s">
        <v>64</v>
      </c>
      <c r="F25" s="3" t="s">
        <v>31</v>
      </c>
      <c r="G25" s="3" t="s">
        <v>64</v>
      </c>
      <c r="H25" s="3" t="s">
        <v>42</v>
      </c>
      <c r="I25" s="3">
        <v>2025</v>
      </c>
      <c r="J25" s="3" t="str">
        <f>CONCATENATE("54810836558")</f>
        <v>54810836558</v>
      </c>
      <c r="K25" s="3" t="s">
        <v>33</v>
      </c>
      <c r="L25" s="3"/>
      <c r="M25" s="3" t="s">
        <v>34</v>
      </c>
      <c r="N25" s="3" t="str">
        <f>CONCATENATE("MCCSFN68D02H211N")</f>
        <v>MCCSFN68D02H211N</v>
      </c>
      <c r="O25" s="3" t="s">
        <v>81</v>
      </c>
      <c r="P25" s="3" t="s">
        <v>36</v>
      </c>
      <c r="Q25" s="3"/>
      <c r="R25" s="4">
        <v>45965</v>
      </c>
      <c r="S25" s="3" t="s">
        <v>37</v>
      </c>
      <c r="T25" s="3" t="s">
        <v>36</v>
      </c>
      <c r="U25" s="3" t="s">
        <v>38</v>
      </c>
      <c r="V25" s="5">
        <v>14832.52</v>
      </c>
      <c r="W25" s="5">
        <v>6303.82</v>
      </c>
      <c r="X25" s="5">
        <v>5970.09</v>
      </c>
      <c r="Y25" s="5">
        <v>2558.61</v>
      </c>
    </row>
    <row r="26" spans="1:25" ht="24.75" x14ac:dyDescent="0.25">
      <c r="A26" s="3" t="s">
        <v>26</v>
      </c>
      <c r="B26" s="3" t="s">
        <v>27</v>
      </c>
      <c r="C26" s="3" t="s">
        <v>28</v>
      </c>
      <c r="D26" s="3" t="s">
        <v>29</v>
      </c>
      <c r="E26" s="3" t="s">
        <v>74</v>
      </c>
      <c r="F26" s="3" t="s">
        <v>31</v>
      </c>
      <c r="G26" s="3" t="s">
        <v>74</v>
      </c>
      <c r="H26" s="3" t="s">
        <v>68</v>
      </c>
      <c r="I26" s="3">
        <v>2025</v>
      </c>
      <c r="J26" s="3" t="str">
        <f>CONCATENATE("54810985892")</f>
        <v>54810985892</v>
      </c>
      <c r="K26" s="3" t="s">
        <v>33</v>
      </c>
      <c r="L26" s="3"/>
      <c r="M26" s="3" t="s">
        <v>34</v>
      </c>
      <c r="N26" s="3" t="str">
        <f>CONCATENATE("02486570415")</f>
        <v>02486570415</v>
      </c>
      <c r="O26" s="3" t="s">
        <v>82</v>
      </c>
      <c r="P26" s="3" t="s">
        <v>36</v>
      </c>
      <c r="Q26" s="3"/>
      <c r="R26" s="4">
        <v>45965</v>
      </c>
      <c r="S26" s="3" t="s">
        <v>37</v>
      </c>
      <c r="T26" s="3" t="s">
        <v>36</v>
      </c>
      <c r="U26" s="3" t="s">
        <v>38</v>
      </c>
      <c r="V26" s="5">
        <v>4228.3900000000003</v>
      </c>
      <c r="W26" s="5">
        <v>1797.07</v>
      </c>
      <c r="X26" s="5">
        <v>1701.93</v>
      </c>
      <c r="Y26" s="3">
        <v>729.39</v>
      </c>
    </row>
    <row r="27" spans="1:25" ht="60.75" x14ac:dyDescent="0.25">
      <c r="A27" s="3" t="s">
        <v>26</v>
      </c>
      <c r="B27" s="3" t="s">
        <v>27</v>
      </c>
      <c r="C27" s="3" t="s">
        <v>28</v>
      </c>
      <c r="D27" s="3" t="s">
        <v>29</v>
      </c>
      <c r="E27" s="3" t="s">
        <v>74</v>
      </c>
      <c r="F27" s="3" t="s">
        <v>31</v>
      </c>
      <c r="G27" s="3" t="s">
        <v>74</v>
      </c>
      <c r="H27" s="3" t="s">
        <v>68</v>
      </c>
      <c r="I27" s="3">
        <v>2025</v>
      </c>
      <c r="J27" s="3" t="str">
        <f>CONCATENATE("54811004388")</f>
        <v>54811004388</v>
      </c>
      <c r="K27" s="3" t="s">
        <v>33</v>
      </c>
      <c r="L27" s="3"/>
      <c r="M27" s="3" t="s">
        <v>34</v>
      </c>
      <c r="N27" s="3" t="str">
        <f>CONCATENATE("BRTTZN58R18I285N")</f>
        <v>BRTTZN58R18I285N</v>
      </c>
      <c r="O27" s="3" t="s">
        <v>83</v>
      </c>
      <c r="P27" s="3" t="s">
        <v>36</v>
      </c>
      <c r="Q27" s="3"/>
      <c r="R27" s="4">
        <v>45965</v>
      </c>
      <c r="S27" s="3" t="s">
        <v>37</v>
      </c>
      <c r="T27" s="3" t="s">
        <v>36</v>
      </c>
      <c r="U27" s="3" t="s">
        <v>38</v>
      </c>
      <c r="V27" s="5">
        <v>9258.33</v>
      </c>
      <c r="W27" s="5">
        <v>3934.79</v>
      </c>
      <c r="X27" s="5">
        <v>3726.48</v>
      </c>
      <c r="Y27" s="5">
        <v>1597.06</v>
      </c>
    </row>
    <row r="28" spans="1:25" ht="36.75" x14ac:dyDescent="0.25">
      <c r="A28" s="3" t="s">
        <v>26</v>
      </c>
      <c r="B28" s="3" t="s">
        <v>27</v>
      </c>
      <c r="C28" s="3" t="s">
        <v>28</v>
      </c>
      <c r="D28" s="3" t="s">
        <v>29</v>
      </c>
      <c r="E28" s="3" t="s">
        <v>74</v>
      </c>
      <c r="F28" s="3" t="s">
        <v>31</v>
      </c>
      <c r="G28" s="3" t="s">
        <v>74</v>
      </c>
      <c r="H28" s="3" t="s">
        <v>68</v>
      </c>
      <c r="I28" s="3">
        <v>2025</v>
      </c>
      <c r="J28" s="3" t="str">
        <f>CONCATENATE("54810987252")</f>
        <v>54810987252</v>
      </c>
      <c r="K28" s="3" t="s">
        <v>33</v>
      </c>
      <c r="L28" s="3"/>
      <c r="M28" s="3" t="s">
        <v>34</v>
      </c>
      <c r="N28" s="3" t="str">
        <f>CONCATENATE("02546130416")</f>
        <v>02546130416</v>
      </c>
      <c r="O28" s="3" t="s">
        <v>84</v>
      </c>
      <c r="P28" s="3" t="s">
        <v>36</v>
      </c>
      <c r="Q28" s="3"/>
      <c r="R28" s="4">
        <v>45965</v>
      </c>
      <c r="S28" s="3" t="s">
        <v>37</v>
      </c>
      <c r="T28" s="3" t="s">
        <v>36</v>
      </c>
      <c r="U28" s="3" t="s">
        <v>38</v>
      </c>
      <c r="V28" s="5">
        <v>2644.06</v>
      </c>
      <c r="W28" s="5">
        <v>1123.73</v>
      </c>
      <c r="X28" s="5">
        <v>1064.23</v>
      </c>
      <c r="Y28" s="3">
        <v>456.1</v>
      </c>
    </row>
    <row r="29" spans="1:25" ht="60.75" x14ac:dyDescent="0.25">
      <c r="A29" s="3" t="s">
        <v>26</v>
      </c>
      <c r="B29" s="3" t="s">
        <v>27</v>
      </c>
      <c r="C29" s="3" t="s">
        <v>28</v>
      </c>
      <c r="D29" s="3" t="s">
        <v>29</v>
      </c>
      <c r="E29" s="3" t="s">
        <v>74</v>
      </c>
      <c r="F29" s="3" t="s">
        <v>31</v>
      </c>
      <c r="G29" s="3" t="s">
        <v>74</v>
      </c>
      <c r="H29" s="3" t="s">
        <v>68</v>
      </c>
      <c r="I29" s="3">
        <v>2025</v>
      </c>
      <c r="J29" s="3" t="str">
        <f>CONCATENATE("54810998978")</f>
        <v>54810998978</v>
      </c>
      <c r="K29" s="3" t="s">
        <v>33</v>
      </c>
      <c r="L29" s="3"/>
      <c r="M29" s="3" t="s">
        <v>34</v>
      </c>
      <c r="N29" s="3" t="str">
        <f>CONCATENATE("FRLFBL70A42G479Q")</f>
        <v>FRLFBL70A42G479Q</v>
      </c>
      <c r="O29" s="3" t="s">
        <v>85</v>
      </c>
      <c r="P29" s="3" t="s">
        <v>36</v>
      </c>
      <c r="Q29" s="3"/>
      <c r="R29" s="4">
        <v>45965</v>
      </c>
      <c r="S29" s="3" t="s">
        <v>37</v>
      </c>
      <c r="T29" s="3" t="s">
        <v>36</v>
      </c>
      <c r="U29" s="3" t="s">
        <v>38</v>
      </c>
      <c r="V29" s="5">
        <v>3078.12</v>
      </c>
      <c r="W29" s="5">
        <v>1308.2</v>
      </c>
      <c r="X29" s="5">
        <v>1238.94</v>
      </c>
      <c r="Y29" s="3">
        <v>530.98</v>
      </c>
    </row>
    <row r="30" spans="1:25" ht="36.75" x14ac:dyDescent="0.25">
      <c r="A30" s="3" t="s">
        <v>26</v>
      </c>
      <c r="B30" s="3" t="s">
        <v>27</v>
      </c>
      <c r="C30" s="3" t="s">
        <v>28</v>
      </c>
      <c r="D30" s="3" t="s">
        <v>29</v>
      </c>
      <c r="E30" s="3" t="s">
        <v>74</v>
      </c>
      <c r="F30" s="3" t="s">
        <v>31</v>
      </c>
      <c r="G30" s="3" t="s">
        <v>74</v>
      </c>
      <c r="H30" s="3" t="s">
        <v>68</v>
      </c>
      <c r="I30" s="3">
        <v>2025</v>
      </c>
      <c r="J30" s="3" t="str">
        <f>CONCATENATE("54811072237")</f>
        <v>54811072237</v>
      </c>
      <c r="K30" s="3" t="s">
        <v>33</v>
      </c>
      <c r="L30" s="3"/>
      <c r="M30" s="3" t="s">
        <v>34</v>
      </c>
      <c r="N30" s="3" t="str">
        <f>CONCATENATE("02607080419")</f>
        <v>02607080419</v>
      </c>
      <c r="O30" s="3" t="s">
        <v>86</v>
      </c>
      <c r="P30" s="3" t="s">
        <v>36</v>
      </c>
      <c r="Q30" s="3"/>
      <c r="R30" s="4">
        <v>45965</v>
      </c>
      <c r="S30" s="3" t="s">
        <v>37</v>
      </c>
      <c r="T30" s="3" t="s">
        <v>36</v>
      </c>
      <c r="U30" s="3" t="s">
        <v>38</v>
      </c>
      <c r="V30" s="5">
        <v>2632.52</v>
      </c>
      <c r="W30" s="5">
        <v>1118.82</v>
      </c>
      <c r="X30" s="5">
        <v>1059.5899999999999</v>
      </c>
      <c r="Y30" s="3">
        <v>454.11</v>
      </c>
    </row>
    <row r="31" spans="1:25" ht="72.75" x14ac:dyDescent="0.25">
      <c r="A31" s="3" t="s">
        <v>26</v>
      </c>
      <c r="B31" s="3" t="s">
        <v>27</v>
      </c>
      <c r="C31" s="3" t="s">
        <v>28</v>
      </c>
      <c r="D31" s="3" t="s">
        <v>29</v>
      </c>
      <c r="E31" s="3" t="s">
        <v>76</v>
      </c>
      <c r="F31" s="3" t="s">
        <v>31</v>
      </c>
      <c r="G31" s="3" t="s">
        <v>76</v>
      </c>
      <c r="H31" s="3" t="s">
        <v>32</v>
      </c>
      <c r="I31" s="3">
        <v>2025</v>
      </c>
      <c r="J31" s="3" t="str">
        <f>CONCATENATE("54811078085")</f>
        <v>54811078085</v>
      </c>
      <c r="K31" s="3" t="s">
        <v>33</v>
      </c>
      <c r="L31" s="3"/>
      <c r="M31" s="3" t="s">
        <v>34</v>
      </c>
      <c r="N31" s="3" t="str">
        <f>CONCATENATE("MRTMSM64P15G157T")</f>
        <v>MRTMSM64P15G157T</v>
      </c>
      <c r="O31" s="3" t="s">
        <v>87</v>
      </c>
      <c r="P31" s="3" t="s">
        <v>36</v>
      </c>
      <c r="Q31" s="3"/>
      <c r="R31" s="4">
        <v>45965</v>
      </c>
      <c r="S31" s="3" t="s">
        <v>37</v>
      </c>
      <c r="T31" s="3" t="s">
        <v>36</v>
      </c>
      <c r="U31" s="3" t="s">
        <v>38</v>
      </c>
      <c r="V31" s="5">
        <v>22933.55</v>
      </c>
      <c r="W31" s="5">
        <v>9746.76</v>
      </c>
      <c r="X31" s="5">
        <v>9230.75</v>
      </c>
      <c r="Y31" s="5">
        <v>3956.04</v>
      </c>
    </row>
    <row r="32" spans="1:25" ht="60.75" x14ac:dyDescent="0.25">
      <c r="A32" s="3" t="s">
        <v>26</v>
      </c>
      <c r="B32" s="3" t="s">
        <v>27</v>
      </c>
      <c r="C32" s="3" t="s">
        <v>28</v>
      </c>
      <c r="D32" s="3" t="s">
        <v>47</v>
      </c>
      <c r="E32" s="3" t="s">
        <v>78</v>
      </c>
      <c r="F32" s="3" t="s">
        <v>49</v>
      </c>
      <c r="G32" s="3" t="s">
        <v>78</v>
      </c>
      <c r="H32" s="3" t="s">
        <v>68</v>
      </c>
      <c r="I32" s="3">
        <v>2025</v>
      </c>
      <c r="J32" s="3" t="str">
        <f>CONCATENATE("54811116679")</f>
        <v>54811116679</v>
      </c>
      <c r="K32" s="3" t="s">
        <v>33</v>
      </c>
      <c r="L32" s="3"/>
      <c r="M32" s="3" t="s">
        <v>34</v>
      </c>
      <c r="N32" s="3" t="str">
        <f>CONCATENATE("BRTFBA62L13I285V")</f>
        <v>BRTFBA62L13I285V</v>
      </c>
      <c r="O32" s="3" t="s">
        <v>88</v>
      </c>
      <c r="P32" s="3" t="s">
        <v>36</v>
      </c>
      <c r="Q32" s="3"/>
      <c r="R32" s="4">
        <v>45965</v>
      </c>
      <c r="S32" s="3" t="s">
        <v>37</v>
      </c>
      <c r="T32" s="3" t="s">
        <v>36</v>
      </c>
      <c r="U32" s="3" t="s">
        <v>38</v>
      </c>
      <c r="V32" s="5">
        <v>7027.85</v>
      </c>
      <c r="W32" s="5">
        <v>2986.84</v>
      </c>
      <c r="X32" s="5">
        <v>2828.71</v>
      </c>
      <c r="Y32" s="5">
        <v>1212.3</v>
      </c>
    </row>
    <row r="33" spans="1:25" ht="60.75" x14ac:dyDescent="0.25">
      <c r="A33" s="3" t="s">
        <v>26</v>
      </c>
      <c r="B33" s="3" t="s">
        <v>27</v>
      </c>
      <c r="C33" s="3" t="s">
        <v>28</v>
      </c>
      <c r="D33" s="3" t="s">
        <v>89</v>
      </c>
      <c r="E33" s="3" t="s">
        <v>90</v>
      </c>
      <c r="F33" s="3" t="s">
        <v>91</v>
      </c>
      <c r="G33" s="3" t="s">
        <v>90</v>
      </c>
      <c r="H33" s="3" t="s">
        <v>45</v>
      </c>
      <c r="I33" s="3">
        <v>2025</v>
      </c>
      <c r="J33" s="3" t="str">
        <f>CONCATENATE("54811284238")</f>
        <v>54811284238</v>
      </c>
      <c r="K33" s="3" t="s">
        <v>33</v>
      </c>
      <c r="L33" s="3"/>
      <c r="M33" s="3" t="s">
        <v>34</v>
      </c>
      <c r="N33" s="3" t="str">
        <f>CONCATENATE("MRZMRA58H59F549D")</f>
        <v>MRZMRA58H59F549D</v>
      </c>
      <c r="O33" s="3" t="s">
        <v>92</v>
      </c>
      <c r="P33" s="3" t="s">
        <v>36</v>
      </c>
      <c r="Q33" s="3"/>
      <c r="R33" s="4">
        <v>45965</v>
      </c>
      <c r="S33" s="3" t="s">
        <v>37</v>
      </c>
      <c r="T33" s="3" t="s">
        <v>36</v>
      </c>
      <c r="U33" s="3" t="s">
        <v>38</v>
      </c>
      <c r="V33" s="5">
        <v>2355.04</v>
      </c>
      <c r="W33" s="5">
        <v>1000.89</v>
      </c>
      <c r="X33" s="3">
        <v>947.9</v>
      </c>
      <c r="Y33" s="3">
        <v>406.25</v>
      </c>
    </row>
    <row r="34" spans="1:25" ht="36.75" x14ac:dyDescent="0.25">
      <c r="A34" s="3" t="s">
        <v>26</v>
      </c>
      <c r="B34" s="3" t="s">
        <v>27</v>
      </c>
      <c r="C34" s="3" t="s">
        <v>28</v>
      </c>
      <c r="D34" s="3" t="s">
        <v>29</v>
      </c>
      <c r="E34" s="3" t="s">
        <v>41</v>
      </c>
      <c r="F34" s="3" t="s">
        <v>31</v>
      </c>
      <c r="G34" s="3" t="s">
        <v>41</v>
      </c>
      <c r="H34" s="3" t="s">
        <v>42</v>
      </c>
      <c r="I34" s="3">
        <v>2025</v>
      </c>
      <c r="J34" s="3" t="str">
        <f>CONCATENATE("54810768207")</f>
        <v>54810768207</v>
      </c>
      <c r="K34" s="3" t="s">
        <v>33</v>
      </c>
      <c r="L34" s="3"/>
      <c r="M34" s="3" t="s">
        <v>34</v>
      </c>
      <c r="N34" s="3" t="str">
        <f>CONCATENATE("01912860432")</f>
        <v>01912860432</v>
      </c>
      <c r="O34" s="3" t="s">
        <v>93</v>
      </c>
      <c r="P34" s="3" t="s">
        <v>36</v>
      </c>
      <c r="Q34" s="3"/>
      <c r="R34" s="4">
        <v>45965</v>
      </c>
      <c r="S34" s="3" t="s">
        <v>37</v>
      </c>
      <c r="T34" s="3" t="s">
        <v>36</v>
      </c>
      <c r="U34" s="3" t="s">
        <v>38</v>
      </c>
      <c r="V34" s="5">
        <v>8448.64</v>
      </c>
      <c r="W34" s="5">
        <v>3590.67</v>
      </c>
      <c r="X34" s="5">
        <v>3400.58</v>
      </c>
      <c r="Y34" s="5">
        <v>1457.39</v>
      </c>
    </row>
    <row r="35" spans="1:25" ht="36.75" x14ac:dyDescent="0.25">
      <c r="A35" s="3" t="s">
        <v>26</v>
      </c>
      <c r="B35" s="3" t="s">
        <v>27</v>
      </c>
      <c r="C35" s="3" t="s">
        <v>28</v>
      </c>
      <c r="D35" s="3" t="s">
        <v>29</v>
      </c>
      <c r="E35" s="3" t="s">
        <v>41</v>
      </c>
      <c r="F35" s="3" t="s">
        <v>31</v>
      </c>
      <c r="G35" s="3" t="s">
        <v>41</v>
      </c>
      <c r="H35" s="3" t="s">
        <v>42</v>
      </c>
      <c r="I35" s="3">
        <v>2025</v>
      </c>
      <c r="J35" s="3" t="str">
        <f>CONCATENATE("54810976362")</f>
        <v>54810976362</v>
      </c>
      <c r="K35" s="3" t="s">
        <v>33</v>
      </c>
      <c r="L35" s="3"/>
      <c r="M35" s="3" t="s">
        <v>34</v>
      </c>
      <c r="N35" s="3" t="str">
        <f>CONCATENATE("01010760435")</f>
        <v>01010760435</v>
      </c>
      <c r="O35" s="3" t="s">
        <v>94</v>
      </c>
      <c r="P35" s="3" t="s">
        <v>36</v>
      </c>
      <c r="Q35" s="3"/>
      <c r="R35" s="4">
        <v>45965</v>
      </c>
      <c r="S35" s="3" t="s">
        <v>37</v>
      </c>
      <c r="T35" s="3" t="s">
        <v>36</v>
      </c>
      <c r="U35" s="3" t="s">
        <v>38</v>
      </c>
      <c r="V35" s="5">
        <v>2396.5</v>
      </c>
      <c r="W35" s="5">
        <v>1018.51</v>
      </c>
      <c r="X35" s="3">
        <v>964.59</v>
      </c>
      <c r="Y35" s="3">
        <v>413.4</v>
      </c>
    </row>
    <row r="36" spans="1:25" ht="36.75" x14ac:dyDescent="0.25">
      <c r="A36" s="3" t="s">
        <v>26</v>
      </c>
      <c r="B36" s="3" t="s">
        <v>27</v>
      </c>
      <c r="C36" s="3" t="s">
        <v>28</v>
      </c>
      <c r="D36" s="3" t="s">
        <v>29</v>
      </c>
      <c r="E36" s="3" t="s">
        <v>51</v>
      </c>
      <c r="F36" s="3" t="s">
        <v>31</v>
      </c>
      <c r="G36" s="3" t="s">
        <v>51</v>
      </c>
      <c r="H36" s="3" t="s">
        <v>42</v>
      </c>
      <c r="I36" s="3">
        <v>2025</v>
      </c>
      <c r="J36" s="3" t="str">
        <f>CONCATENATE("54810915931")</f>
        <v>54810915931</v>
      </c>
      <c r="K36" s="3" t="s">
        <v>33</v>
      </c>
      <c r="L36" s="3"/>
      <c r="M36" s="3" t="s">
        <v>34</v>
      </c>
      <c r="N36" s="3" t="str">
        <f>CONCATENATE("01442190433")</f>
        <v>01442190433</v>
      </c>
      <c r="O36" s="3" t="s">
        <v>95</v>
      </c>
      <c r="P36" s="3" t="s">
        <v>36</v>
      </c>
      <c r="Q36" s="3"/>
      <c r="R36" s="4">
        <v>45965</v>
      </c>
      <c r="S36" s="3" t="s">
        <v>37</v>
      </c>
      <c r="T36" s="3" t="s">
        <v>36</v>
      </c>
      <c r="U36" s="3" t="s">
        <v>38</v>
      </c>
      <c r="V36" s="5">
        <v>7719.92</v>
      </c>
      <c r="W36" s="5">
        <v>3280.97</v>
      </c>
      <c r="X36" s="5">
        <v>3107.27</v>
      </c>
      <c r="Y36" s="5">
        <v>1331.68</v>
      </c>
    </row>
    <row r="37" spans="1:25" ht="36.75" x14ac:dyDescent="0.25">
      <c r="A37" s="3" t="s">
        <v>26</v>
      </c>
      <c r="B37" s="3" t="s">
        <v>27</v>
      </c>
      <c r="C37" s="3" t="s">
        <v>28</v>
      </c>
      <c r="D37" s="3" t="s">
        <v>29</v>
      </c>
      <c r="E37" s="3" t="s">
        <v>41</v>
      </c>
      <c r="F37" s="3" t="s">
        <v>31</v>
      </c>
      <c r="G37" s="3" t="s">
        <v>41</v>
      </c>
      <c r="H37" s="3" t="s">
        <v>42</v>
      </c>
      <c r="I37" s="3">
        <v>2025</v>
      </c>
      <c r="J37" s="3" t="str">
        <f>CONCATENATE("54810979010")</f>
        <v>54810979010</v>
      </c>
      <c r="K37" s="3" t="s">
        <v>33</v>
      </c>
      <c r="L37" s="3"/>
      <c r="M37" s="3" t="s">
        <v>34</v>
      </c>
      <c r="N37" s="3" t="str">
        <f>CONCATENATE("02005200437")</f>
        <v>02005200437</v>
      </c>
      <c r="O37" s="3" t="s">
        <v>96</v>
      </c>
      <c r="P37" s="3" t="s">
        <v>36</v>
      </c>
      <c r="Q37" s="3"/>
      <c r="R37" s="4">
        <v>45965</v>
      </c>
      <c r="S37" s="3" t="s">
        <v>37</v>
      </c>
      <c r="T37" s="3" t="s">
        <v>36</v>
      </c>
      <c r="U37" s="3" t="s">
        <v>38</v>
      </c>
      <c r="V37" s="5">
        <v>7019.05</v>
      </c>
      <c r="W37" s="5">
        <v>2983.1</v>
      </c>
      <c r="X37" s="5">
        <v>2825.17</v>
      </c>
      <c r="Y37" s="5">
        <v>1210.78</v>
      </c>
    </row>
    <row r="38" spans="1:25" ht="36.75" x14ac:dyDescent="0.25">
      <c r="A38" s="3" t="s">
        <v>26</v>
      </c>
      <c r="B38" s="3" t="s">
        <v>27</v>
      </c>
      <c r="C38" s="3" t="s">
        <v>28</v>
      </c>
      <c r="D38" s="3" t="s">
        <v>29</v>
      </c>
      <c r="E38" s="3" t="s">
        <v>51</v>
      </c>
      <c r="F38" s="3" t="s">
        <v>31</v>
      </c>
      <c r="G38" s="3" t="s">
        <v>51</v>
      </c>
      <c r="H38" s="3" t="s">
        <v>42</v>
      </c>
      <c r="I38" s="3">
        <v>2025</v>
      </c>
      <c r="J38" s="3" t="str">
        <f>CONCATENATE("54810869070")</f>
        <v>54810869070</v>
      </c>
      <c r="K38" s="3" t="s">
        <v>33</v>
      </c>
      <c r="L38" s="3"/>
      <c r="M38" s="3" t="s">
        <v>34</v>
      </c>
      <c r="N38" s="3" t="str">
        <f>CONCATENATE("01291910436")</f>
        <v>01291910436</v>
      </c>
      <c r="O38" s="3" t="s">
        <v>97</v>
      </c>
      <c r="P38" s="3" t="s">
        <v>36</v>
      </c>
      <c r="Q38" s="3"/>
      <c r="R38" s="4">
        <v>45965</v>
      </c>
      <c r="S38" s="3" t="s">
        <v>37</v>
      </c>
      <c r="T38" s="3" t="s">
        <v>36</v>
      </c>
      <c r="U38" s="3" t="s">
        <v>38</v>
      </c>
      <c r="V38" s="5">
        <v>23816.81</v>
      </c>
      <c r="W38" s="5">
        <v>10122.14</v>
      </c>
      <c r="X38" s="5">
        <v>9586.27</v>
      </c>
      <c r="Y38" s="5">
        <v>4108.3999999999996</v>
      </c>
    </row>
    <row r="39" spans="1:25" ht="36.75" x14ac:dyDescent="0.25">
      <c r="A39" s="3" t="s">
        <v>26</v>
      </c>
      <c r="B39" s="3" t="s">
        <v>27</v>
      </c>
      <c r="C39" s="3" t="s">
        <v>28</v>
      </c>
      <c r="D39" s="3" t="s">
        <v>89</v>
      </c>
      <c r="E39" s="3" t="s">
        <v>90</v>
      </c>
      <c r="F39" s="3" t="s">
        <v>91</v>
      </c>
      <c r="G39" s="3" t="s">
        <v>90</v>
      </c>
      <c r="H39" s="3" t="s">
        <v>45</v>
      </c>
      <c r="I39" s="3">
        <v>2025</v>
      </c>
      <c r="J39" s="3" t="str">
        <f>CONCATENATE("54810871001")</f>
        <v>54810871001</v>
      </c>
      <c r="K39" s="3" t="s">
        <v>33</v>
      </c>
      <c r="L39" s="3"/>
      <c r="M39" s="3" t="s">
        <v>34</v>
      </c>
      <c r="N39" s="3" t="str">
        <f>CONCATENATE("01625750441")</f>
        <v>01625750441</v>
      </c>
      <c r="O39" s="3" t="s">
        <v>98</v>
      </c>
      <c r="P39" s="3" t="s">
        <v>36</v>
      </c>
      <c r="Q39" s="3"/>
      <c r="R39" s="4">
        <v>45965</v>
      </c>
      <c r="S39" s="3" t="s">
        <v>37</v>
      </c>
      <c r="T39" s="3" t="s">
        <v>36</v>
      </c>
      <c r="U39" s="3" t="s">
        <v>38</v>
      </c>
      <c r="V39" s="5">
        <v>10258.18</v>
      </c>
      <c r="W39" s="5">
        <v>4359.7299999999996</v>
      </c>
      <c r="X39" s="5">
        <v>4128.92</v>
      </c>
      <c r="Y39" s="5">
        <v>1769.53</v>
      </c>
    </row>
    <row r="40" spans="1:25" ht="36.75" x14ac:dyDescent="0.25">
      <c r="A40" s="3" t="s">
        <v>26</v>
      </c>
      <c r="B40" s="3" t="s">
        <v>27</v>
      </c>
      <c r="C40" s="3" t="s">
        <v>28</v>
      </c>
      <c r="D40" s="3" t="s">
        <v>29</v>
      </c>
      <c r="E40" s="3" t="s">
        <v>51</v>
      </c>
      <c r="F40" s="3" t="s">
        <v>31</v>
      </c>
      <c r="G40" s="3" t="s">
        <v>51</v>
      </c>
      <c r="H40" s="3" t="s">
        <v>42</v>
      </c>
      <c r="I40" s="3">
        <v>2025</v>
      </c>
      <c r="J40" s="3" t="str">
        <f>CONCATENATE("54810867371")</f>
        <v>54810867371</v>
      </c>
      <c r="K40" s="3" t="s">
        <v>33</v>
      </c>
      <c r="L40" s="3"/>
      <c r="M40" s="3" t="s">
        <v>34</v>
      </c>
      <c r="N40" s="3" t="str">
        <f>CONCATENATE("02028840433")</f>
        <v>02028840433</v>
      </c>
      <c r="O40" s="3" t="s">
        <v>99</v>
      </c>
      <c r="P40" s="3" t="s">
        <v>36</v>
      </c>
      <c r="Q40" s="3"/>
      <c r="R40" s="4">
        <v>45965</v>
      </c>
      <c r="S40" s="3" t="s">
        <v>37</v>
      </c>
      <c r="T40" s="3" t="s">
        <v>36</v>
      </c>
      <c r="U40" s="3" t="s">
        <v>38</v>
      </c>
      <c r="V40" s="5">
        <v>3001.14</v>
      </c>
      <c r="W40" s="5">
        <v>1275.48</v>
      </c>
      <c r="X40" s="5">
        <v>1207.96</v>
      </c>
      <c r="Y40" s="3">
        <v>517.70000000000005</v>
      </c>
    </row>
    <row r="41" spans="1:25" ht="60.75" x14ac:dyDescent="0.25">
      <c r="A41" s="3" t="s">
        <v>26</v>
      </c>
      <c r="B41" s="3" t="s">
        <v>27</v>
      </c>
      <c r="C41" s="3" t="s">
        <v>28</v>
      </c>
      <c r="D41" s="3" t="s">
        <v>29</v>
      </c>
      <c r="E41" s="3" t="s">
        <v>100</v>
      </c>
      <c r="F41" s="3" t="s">
        <v>31</v>
      </c>
      <c r="G41" s="3" t="s">
        <v>100</v>
      </c>
      <c r="H41" s="3" t="s">
        <v>45</v>
      </c>
      <c r="I41" s="3">
        <v>2025</v>
      </c>
      <c r="J41" s="3" t="str">
        <f>CONCATENATE("54810926243")</f>
        <v>54810926243</v>
      </c>
      <c r="K41" s="3" t="s">
        <v>33</v>
      </c>
      <c r="L41" s="3"/>
      <c r="M41" s="3" t="s">
        <v>34</v>
      </c>
      <c r="N41" s="3" t="str">
        <f>CONCATENATE("VTLSMN73S26D542A")</f>
        <v>VTLSMN73S26D542A</v>
      </c>
      <c r="O41" s="3" t="s">
        <v>101</v>
      </c>
      <c r="P41" s="3" t="s">
        <v>36</v>
      </c>
      <c r="Q41" s="3"/>
      <c r="R41" s="4">
        <v>45965</v>
      </c>
      <c r="S41" s="3" t="s">
        <v>37</v>
      </c>
      <c r="T41" s="3" t="s">
        <v>36</v>
      </c>
      <c r="U41" s="3" t="s">
        <v>38</v>
      </c>
      <c r="V41" s="5">
        <v>1246.25</v>
      </c>
      <c r="W41" s="3">
        <v>529.66</v>
      </c>
      <c r="X41" s="3">
        <v>501.62</v>
      </c>
      <c r="Y41" s="3">
        <v>214.97</v>
      </c>
    </row>
    <row r="42" spans="1:25" ht="72.75" x14ac:dyDescent="0.25">
      <c r="A42" s="3" t="s">
        <v>26</v>
      </c>
      <c r="B42" s="3" t="s">
        <v>27</v>
      </c>
      <c r="C42" s="3" t="s">
        <v>28</v>
      </c>
      <c r="D42" s="3" t="s">
        <v>102</v>
      </c>
      <c r="E42" s="3" t="s">
        <v>103</v>
      </c>
      <c r="F42" s="3" t="s">
        <v>104</v>
      </c>
      <c r="G42" s="3" t="s">
        <v>103</v>
      </c>
      <c r="H42" s="3" t="s">
        <v>32</v>
      </c>
      <c r="I42" s="3">
        <v>2025</v>
      </c>
      <c r="J42" s="3" t="str">
        <f>CONCATENATE("54810884525")</f>
        <v>54810884525</v>
      </c>
      <c r="K42" s="3" t="s">
        <v>33</v>
      </c>
      <c r="L42" s="3"/>
      <c r="M42" s="3" t="s">
        <v>34</v>
      </c>
      <c r="N42" s="3" t="str">
        <f>CONCATENATE("BNDMCM03T05A271O")</f>
        <v>BNDMCM03T05A271O</v>
      </c>
      <c r="O42" s="3" t="s">
        <v>105</v>
      </c>
      <c r="P42" s="3" t="s">
        <v>36</v>
      </c>
      <c r="Q42" s="3"/>
      <c r="R42" s="4">
        <v>45965</v>
      </c>
      <c r="S42" s="3" t="s">
        <v>37</v>
      </c>
      <c r="T42" s="3" t="s">
        <v>36</v>
      </c>
      <c r="U42" s="3" t="s">
        <v>38</v>
      </c>
      <c r="V42" s="5">
        <v>5243.54</v>
      </c>
      <c r="W42" s="5">
        <v>2228.5</v>
      </c>
      <c r="X42" s="5">
        <v>2110.52</v>
      </c>
      <c r="Y42" s="3">
        <v>904.52</v>
      </c>
    </row>
    <row r="43" spans="1:25" ht="36.75" x14ac:dyDescent="0.25">
      <c r="A43" s="3" t="s">
        <v>26</v>
      </c>
      <c r="B43" s="3" t="s">
        <v>27</v>
      </c>
      <c r="C43" s="3" t="s">
        <v>28</v>
      </c>
      <c r="D43" s="3" t="s">
        <v>29</v>
      </c>
      <c r="E43" s="3" t="s">
        <v>30</v>
      </c>
      <c r="F43" s="3" t="s">
        <v>31</v>
      </c>
      <c r="G43" s="3" t="s">
        <v>30</v>
      </c>
      <c r="H43" s="3" t="s">
        <v>32</v>
      </c>
      <c r="I43" s="3">
        <v>2025</v>
      </c>
      <c r="J43" s="3" t="str">
        <f>CONCATENATE("54810902467")</f>
        <v>54810902467</v>
      </c>
      <c r="K43" s="3" t="s">
        <v>33</v>
      </c>
      <c r="L43" s="3"/>
      <c r="M43" s="3" t="s">
        <v>34</v>
      </c>
      <c r="N43" s="3" t="str">
        <f>CONCATENATE("02694220423")</f>
        <v>02694220423</v>
      </c>
      <c r="O43" s="3" t="s">
        <v>106</v>
      </c>
      <c r="P43" s="3" t="s">
        <v>36</v>
      </c>
      <c r="Q43" s="3"/>
      <c r="R43" s="4">
        <v>45965</v>
      </c>
      <c r="S43" s="3" t="s">
        <v>37</v>
      </c>
      <c r="T43" s="3" t="s">
        <v>36</v>
      </c>
      <c r="U43" s="3" t="s">
        <v>38</v>
      </c>
      <c r="V43" s="5">
        <v>18933.04</v>
      </c>
      <c r="W43" s="5">
        <v>8046.54</v>
      </c>
      <c r="X43" s="5">
        <v>7620.55</v>
      </c>
      <c r="Y43" s="5">
        <v>3265.95</v>
      </c>
    </row>
    <row r="44" spans="1:25" ht="60.75" x14ac:dyDescent="0.25">
      <c r="A44" s="3" t="s">
        <v>26</v>
      </c>
      <c r="B44" s="3" t="s">
        <v>27</v>
      </c>
      <c r="C44" s="3" t="s">
        <v>28</v>
      </c>
      <c r="D44" s="3" t="s">
        <v>57</v>
      </c>
      <c r="E44" s="3" t="s">
        <v>107</v>
      </c>
      <c r="F44" s="3" t="s">
        <v>59</v>
      </c>
      <c r="G44" s="3" t="s">
        <v>107</v>
      </c>
      <c r="H44" s="3" t="s">
        <v>42</v>
      </c>
      <c r="I44" s="3">
        <v>2025</v>
      </c>
      <c r="J44" s="3" t="str">
        <f>CONCATENATE("54811108205")</f>
        <v>54811108205</v>
      </c>
      <c r="K44" s="3" t="s">
        <v>33</v>
      </c>
      <c r="L44" s="3"/>
      <c r="M44" s="3" t="s">
        <v>34</v>
      </c>
      <c r="N44" s="3" t="str">
        <f>CONCATENATE("SPRPLA84M22I156A")</f>
        <v>SPRPLA84M22I156A</v>
      </c>
      <c r="O44" s="3" t="s">
        <v>108</v>
      </c>
      <c r="P44" s="3" t="s">
        <v>36</v>
      </c>
      <c r="Q44" s="3"/>
      <c r="R44" s="4">
        <v>45965</v>
      </c>
      <c r="S44" s="3" t="s">
        <v>37</v>
      </c>
      <c r="T44" s="3" t="s">
        <v>36</v>
      </c>
      <c r="U44" s="3" t="s">
        <v>38</v>
      </c>
      <c r="V44" s="5">
        <v>1662.11</v>
      </c>
      <c r="W44" s="3">
        <v>706.4</v>
      </c>
      <c r="X44" s="3">
        <v>669</v>
      </c>
      <c r="Y44" s="3">
        <v>286.70999999999998</v>
      </c>
    </row>
    <row r="45" spans="1:25" ht="60.75" x14ac:dyDescent="0.25">
      <c r="A45" s="3" t="s">
        <v>26</v>
      </c>
      <c r="B45" s="3" t="s">
        <v>27</v>
      </c>
      <c r="C45" s="3" t="s">
        <v>28</v>
      </c>
      <c r="D45" s="3" t="s">
        <v>57</v>
      </c>
      <c r="E45" s="3" t="s">
        <v>109</v>
      </c>
      <c r="F45" s="3" t="s">
        <v>59</v>
      </c>
      <c r="G45" s="3" t="s">
        <v>109</v>
      </c>
      <c r="H45" s="3" t="s">
        <v>42</v>
      </c>
      <c r="I45" s="3">
        <v>2025</v>
      </c>
      <c r="J45" s="3" t="str">
        <f>CONCATENATE("54811072419")</f>
        <v>54811072419</v>
      </c>
      <c r="K45" s="3" t="s">
        <v>33</v>
      </c>
      <c r="L45" s="3"/>
      <c r="M45" s="3" t="s">
        <v>34</v>
      </c>
      <c r="N45" s="3" t="str">
        <f>CONCATENATE("GRLLRT55L06H211U")</f>
        <v>GRLLRT55L06H211U</v>
      </c>
      <c r="O45" s="3" t="s">
        <v>110</v>
      </c>
      <c r="P45" s="3" t="s">
        <v>36</v>
      </c>
      <c r="Q45" s="3"/>
      <c r="R45" s="4">
        <v>45965</v>
      </c>
      <c r="S45" s="3" t="s">
        <v>37</v>
      </c>
      <c r="T45" s="3" t="s">
        <v>36</v>
      </c>
      <c r="U45" s="3" t="s">
        <v>38</v>
      </c>
      <c r="V45" s="5">
        <v>10760.07</v>
      </c>
      <c r="W45" s="5">
        <v>4573.03</v>
      </c>
      <c r="X45" s="5">
        <v>4330.93</v>
      </c>
      <c r="Y45" s="5">
        <v>1856.11</v>
      </c>
    </row>
    <row r="46" spans="1:25" ht="60.75" x14ac:dyDescent="0.25">
      <c r="A46" s="3" t="s">
        <v>26</v>
      </c>
      <c r="B46" s="3" t="s">
        <v>27</v>
      </c>
      <c r="C46" s="3" t="s">
        <v>28</v>
      </c>
      <c r="D46" s="3" t="s">
        <v>111</v>
      </c>
      <c r="E46" s="3" t="s">
        <v>112</v>
      </c>
      <c r="F46" s="3" t="s">
        <v>113</v>
      </c>
      <c r="G46" s="3" t="s">
        <v>112</v>
      </c>
      <c r="H46" s="3" t="s">
        <v>68</v>
      </c>
      <c r="I46" s="3">
        <v>2025</v>
      </c>
      <c r="J46" s="3" t="str">
        <f>CONCATENATE("54811101572")</f>
        <v>54811101572</v>
      </c>
      <c r="K46" s="3" t="s">
        <v>33</v>
      </c>
      <c r="L46" s="3"/>
      <c r="M46" s="3" t="s">
        <v>34</v>
      </c>
      <c r="N46" s="3" t="str">
        <f>CONCATENATE("CPCLSN79S15G479A")</f>
        <v>CPCLSN79S15G479A</v>
      </c>
      <c r="O46" s="3" t="s">
        <v>114</v>
      </c>
      <c r="P46" s="3" t="s">
        <v>36</v>
      </c>
      <c r="Q46" s="3"/>
      <c r="R46" s="4">
        <v>45965</v>
      </c>
      <c r="S46" s="3" t="s">
        <v>37</v>
      </c>
      <c r="T46" s="3" t="s">
        <v>36</v>
      </c>
      <c r="U46" s="3" t="s">
        <v>38</v>
      </c>
      <c r="V46" s="5">
        <v>2555.4299999999998</v>
      </c>
      <c r="W46" s="5">
        <v>1086.06</v>
      </c>
      <c r="X46" s="5">
        <v>1028.56</v>
      </c>
      <c r="Y46" s="3">
        <v>440.81</v>
      </c>
    </row>
    <row r="47" spans="1:25" ht="60.75" x14ac:dyDescent="0.25">
      <c r="A47" s="3" t="s">
        <v>26</v>
      </c>
      <c r="B47" s="3" t="s">
        <v>27</v>
      </c>
      <c r="C47" s="3" t="s">
        <v>28</v>
      </c>
      <c r="D47" s="3" t="s">
        <v>115</v>
      </c>
      <c r="E47" s="3" t="s">
        <v>116</v>
      </c>
      <c r="F47" s="3" t="s">
        <v>115</v>
      </c>
      <c r="G47" s="3" t="s">
        <v>116</v>
      </c>
      <c r="H47" s="3" t="s">
        <v>45</v>
      </c>
      <c r="I47" s="3">
        <v>2025</v>
      </c>
      <c r="J47" s="3" t="str">
        <f>CONCATENATE("54811157863")</f>
        <v>54811157863</v>
      </c>
      <c r="K47" s="3" t="s">
        <v>33</v>
      </c>
      <c r="L47" s="3"/>
      <c r="M47" s="3" t="s">
        <v>34</v>
      </c>
      <c r="N47" s="3" t="str">
        <f>CONCATENATE("TMPRRT84C06D542L")</f>
        <v>TMPRRT84C06D542L</v>
      </c>
      <c r="O47" s="3" t="s">
        <v>117</v>
      </c>
      <c r="P47" s="3" t="s">
        <v>36</v>
      </c>
      <c r="Q47" s="3"/>
      <c r="R47" s="4">
        <v>45965</v>
      </c>
      <c r="S47" s="3" t="s">
        <v>37</v>
      </c>
      <c r="T47" s="3" t="s">
        <v>36</v>
      </c>
      <c r="U47" s="3" t="s">
        <v>38</v>
      </c>
      <c r="V47" s="5">
        <v>2123.48</v>
      </c>
      <c r="W47" s="3">
        <v>902.48</v>
      </c>
      <c r="X47" s="3">
        <v>854.7</v>
      </c>
      <c r="Y47" s="3">
        <v>366.3</v>
      </c>
    </row>
    <row r="48" spans="1:25" ht="36.75" x14ac:dyDescent="0.25">
      <c r="A48" s="3" t="s">
        <v>26</v>
      </c>
      <c r="B48" s="3" t="s">
        <v>27</v>
      </c>
      <c r="C48" s="3" t="s">
        <v>28</v>
      </c>
      <c r="D48" s="3" t="s">
        <v>29</v>
      </c>
      <c r="E48" s="3" t="s">
        <v>64</v>
      </c>
      <c r="F48" s="3" t="s">
        <v>31</v>
      </c>
      <c r="G48" s="3" t="s">
        <v>64</v>
      </c>
      <c r="H48" s="3" t="s">
        <v>42</v>
      </c>
      <c r="I48" s="3">
        <v>2025</v>
      </c>
      <c r="J48" s="3" t="str">
        <f>CONCATENATE("54810882255")</f>
        <v>54810882255</v>
      </c>
      <c r="K48" s="3" t="s">
        <v>33</v>
      </c>
      <c r="L48" s="3"/>
      <c r="M48" s="3" t="s">
        <v>34</v>
      </c>
      <c r="N48" s="3" t="str">
        <f>CONCATENATE("01269230437")</f>
        <v>01269230437</v>
      </c>
      <c r="O48" s="3" t="s">
        <v>118</v>
      </c>
      <c r="P48" s="3" t="s">
        <v>36</v>
      </c>
      <c r="Q48" s="3"/>
      <c r="R48" s="4">
        <v>45965</v>
      </c>
      <c r="S48" s="3" t="s">
        <v>37</v>
      </c>
      <c r="T48" s="3" t="s">
        <v>36</v>
      </c>
      <c r="U48" s="3" t="s">
        <v>38</v>
      </c>
      <c r="V48" s="5">
        <v>1993.83</v>
      </c>
      <c r="W48" s="3">
        <v>847.38</v>
      </c>
      <c r="X48" s="3">
        <v>802.52</v>
      </c>
      <c r="Y48" s="3">
        <v>343.93</v>
      </c>
    </row>
    <row r="49" spans="1:25" ht="60.75" x14ac:dyDescent="0.25">
      <c r="A49" s="3" t="s">
        <v>26</v>
      </c>
      <c r="B49" s="3" t="s">
        <v>27</v>
      </c>
      <c r="C49" s="3" t="s">
        <v>28</v>
      </c>
      <c r="D49" s="3" t="s">
        <v>29</v>
      </c>
      <c r="E49" s="3" t="s">
        <v>100</v>
      </c>
      <c r="F49" s="3" t="s">
        <v>31</v>
      </c>
      <c r="G49" s="3" t="s">
        <v>100</v>
      </c>
      <c r="H49" s="3" t="s">
        <v>45</v>
      </c>
      <c r="I49" s="3">
        <v>2025</v>
      </c>
      <c r="J49" s="3" t="str">
        <f>CONCATENATE("54810923836")</f>
        <v>54810923836</v>
      </c>
      <c r="K49" s="3" t="s">
        <v>33</v>
      </c>
      <c r="L49" s="3"/>
      <c r="M49" s="3" t="s">
        <v>34</v>
      </c>
      <c r="N49" s="3" t="str">
        <f>CONCATENATE("CCCSRN67S64E783G")</f>
        <v>CCCSRN67S64E783G</v>
      </c>
      <c r="O49" s="3" t="s">
        <v>119</v>
      </c>
      <c r="P49" s="3" t="s">
        <v>36</v>
      </c>
      <c r="Q49" s="3"/>
      <c r="R49" s="4">
        <v>45965</v>
      </c>
      <c r="S49" s="3" t="s">
        <v>37</v>
      </c>
      <c r="T49" s="3" t="s">
        <v>36</v>
      </c>
      <c r="U49" s="3" t="s">
        <v>38</v>
      </c>
      <c r="V49" s="5">
        <v>3605.96</v>
      </c>
      <c r="W49" s="5">
        <v>1532.53</v>
      </c>
      <c r="X49" s="5">
        <v>1451.4</v>
      </c>
      <c r="Y49" s="3">
        <v>622.03</v>
      </c>
    </row>
    <row r="50" spans="1:25" ht="36.75" x14ac:dyDescent="0.25">
      <c r="A50" s="3" t="s">
        <v>26</v>
      </c>
      <c r="B50" s="3" t="s">
        <v>27</v>
      </c>
      <c r="C50" s="3" t="s">
        <v>28</v>
      </c>
      <c r="D50" s="3" t="s">
        <v>29</v>
      </c>
      <c r="E50" s="3" t="s">
        <v>41</v>
      </c>
      <c r="F50" s="3" t="s">
        <v>31</v>
      </c>
      <c r="G50" s="3" t="s">
        <v>41</v>
      </c>
      <c r="H50" s="3" t="s">
        <v>42</v>
      </c>
      <c r="I50" s="3">
        <v>2025</v>
      </c>
      <c r="J50" s="3" t="str">
        <f>CONCATENATE("54810901907")</f>
        <v>54810901907</v>
      </c>
      <c r="K50" s="3" t="s">
        <v>33</v>
      </c>
      <c r="L50" s="3"/>
      <c r="M50" s="3" t="s">
        <v>34</v>
      </c>
      <c r="N50" s="3" t="str">
        <f>CONCATENATE("02023830439")</f>
        <v>02023830439</v>
      </c>
      <c r="O50" s="3" t="s">
        <v>120</v>
      </c>
      <c r="P50" s="3" t="s">
        <v>36</v>
      </c>
      <c r="Q50" s="3"/>
      <c r="R50" s="4">
        <v>45965</v>
      </c>
      <c r="S50" s="3" t="s">
        <v>37</v>
      </c>
      <c r="T50" s="3" t="s">
        <v>36</v>
      </c>
      <c r="U50" s="3" t="s">
        <v>38</v>
      </c>
      <c r="V50" s="5">
        <v>4359.12</v>
      </c>
      <c r="W50" s="5">
        <v>1852.63</v>
      </c>
      <c r="X50" s="5">
        <v>1754.55</v>
      </c>
      <c r="Y50" s="3">
        <v>751.94</v>
      </c>
    </row>
    <row r="51" spans="1:25" ht="36.75" x14ac:dyDescent="0.25">
      <c r="A51" s="3" t="s">
        <v>26</v>
      </c>
      <c r="B51" s="3" t="s">
        <v>27</v>
      </c>
      <c r="C51" s="3" t="s">
        <v>28</v>
      </c>
      <c r="D51" s="3" t="s">
        <v>29</v>
      </c>
      <c r="E51" s="3" t="s">
        <v>44</v>
      </c>
      <c r="F51" s="3" t="s">
        <v>31</v>
      </c>
      <c r="G51" s="3" t="s">
        <v>44</v>
      </c>
      <c r="H51" s="3" t="s">
        <v>45</v>
      </c>
      <c r="I51" s="3">
        <v>2025</v>
      </c>
      <c r="J51" s="3" t="str">
        <f>CONCATENATE("54810926441")</f>
        <v>54810926441</v>
      </c>
      <c r="K51" s="3" t="s">
        <v>33</v>
      </c>
      <c r="L51" s="3"/>
      <c r="M51" s="3" t="s">
        <v>34</v>
      </c>
      <c r="N51" s="3" t="str">
        <f>CONCATENATE("01532790449")</f>
        <v>01532790449</v>
      </c>
      <c r="O51" s="3" t="s">
        <v>121</v>
      </c>
      <c r="P51" s="3" t="s">
        <v>36</v>
      </c>
      <c r="Q51" s="3"/>
      <c r="R51" s="4">
        <v>45965</v>
      </c>
      <c r="S51" s="3" t="s">
        <v>37</v>
      </c>
      <c r="T51" s="3" t="s">
        <v>36</v>
      </c>
      <c r="U51" s="3" t="s">
        <v>38</v>
      </c>
      <c r="V51" s="5">
        <v>11259.52</v>
      </c>
      <c r="W51" s="5">
        <v>4785.3</v>
      </c>
      <c r="X51" s="5">
        <v>4531.96</v>
      </c>
      <c r="Y51" s="5">
        <v>1942.26</v>
      </c>
    </row>
    <row r="52" spans="1:25" ht="60.75" x14ac:dyDescent="0.25">
      <c r="A52" s="3" t="s">
        <v>26</v>
      </c>
      <c r="B52" s="3" t="s">
        <v>27</v>
      </c>
      <c r="C52" s="3" t="s">
        <v>28</v>
      </c>
      <c r="D52" s="3" t="s">
        <v>47</v>
      </c>
      <c r="E52" s="3" t="s">
        <v>78</v>
      </c>
      <c r="F52" s="3" t="s">
        <v>49</v>
      </c>
      <c r="G52" s="3" t="s">
        <v>78</v>
      </c>
      <c r="H52" s="3" t="s">
        <v>68</v>
      </c>
      <c r="I52" s="3">
        <v>2025</v>
      </c>
      <c r="J52" s="3" t="str">
        <f>CONCATENATE("54811016937")</f>
        <v>54811016937</v>
      </c>
      <c r="K52" s="3" t="s">
        <v>33</v>
      </c>
      <c r="L52" s="3"/>
      <c r="M52" s="3" t="s">
        <v>34</v>
      </c>
      <c r="N52" s="3" t="str">
        <f>CONCATENATE("BRNLCN61P27F533C")</f>
        <v>BRNLCN61P27F533C</v>
      </c>
      <c r="O52" s="3" t="s">
        <v>122</v>
      </c>
      <c r="P52" s="3" t="s">
        <v>36</v>
      </c>
      <c r="Q52" s="3"/>
      <c r="R52" s="4">
        <v>45965</v>
      </c>
      <c r="S52" s="3" t="s">
        <v>37</v>
      </c>
      <c r="T52" s="3" t="s">
        <v>36</v>
      </c>
      <c r="U52" s="3" t="s">
        <v>38</v>
      </c>
      <c r="V52" s="5">
        <v>1384.28</v>
      </c>
      <c r="W52" s="3">
        <v>588.32000000000005</v>
      </c>
      <c r="X52" s="3">
        <v>557.16999999999996</v>
      </c>
      <c r="Y52" s="3">
        <v>238.79</v>
      </c>
    </row>
    <row r="53" spans="1:25" ht="60.75" x14ac:dyDescent="0.25">
      <c r="A53" s="3" t="s">
        <v>26</v>
      </c>
      <c r="B53" s="3" t="s">
        <v>27</v>
      </c>
      <c r="C53" s="3" t="s">
        <v>28</v>
      </c>
      <c r="D53" s="3" t="s">
        <v>29</v>
      </c>
      <c r="E53" s="3" t="s">
        <v>123</v>
      </c>
      <c r="F53" s="3" t="s">
        <v>31</v>
      </c>
      <c r="G53" s="3" t="s">
        <v>123</v>
      </c>
      <c r="H53" s="3" t="s">
        <v>42</v>
      </c>
      <c r="I53" s="3">
        <v>2025</v>
      </c>
      <c r="J53" s="3" t="str">
        <f>CONCATENATE("54811178539")</f>
        <v>54811178539</v>
      </c>
      <c r="K53" s="3" t="s">
        <v>33</v>
      </c>
      <c r="L53" s="3"/>
      <c r="M53" s="3" t="s">
        <v>34</v>
      </c>
      <c r="N53" s="3" t="str">
        <f>CONCATENATE("CRSSFN76S26B474A")</f>
        <v>CRSSFN76S26B474A</v>
      </c>
      <c r="O53" s="3" t="s">
        <v>124</v>
      </c>
      <c r="P53" s="3" t="s">
        <v>36</v>
      </c>
      <c r="Q53" s="3"/>
      <c r="R53" s="4">
        <v>45965</v>
      </c>
      <c r="S53" s="3" t="s">
        <v>37</v>
      </c>
      <c r="T53" s="3" t="s">
        <v>36</v>
      </c>
      <c r="U53" s="3" t="s">
        <v>38</v>
      </c>
      <c r="V53" s="5">
        <v>5078.57</v>
      </c>
      <c r="W53" s="5">
        <v>2158.39</v>
      </c>
      <c r="X53" s="5">
        <v>2044.12</v>
      </c>
      <c r="Y53" s="3">
        <v>876.06</v>
      </c>
    </row>
    <row r="54" spans="1:25" ht="60.75" x14ac:dyDescent="0.25">
      <c r="A54" s="3" t="s">
        <v>26</v>
      </c>
      <c r="B54" s="3" t="s">
        <v>27</v>
      </c>
      <c r="C54" s="3" t="s">
        <v>28</v>
      </c>
      <c r="D54" s="3" t="s">
        <v>29</v>
      </c>
      <c r="E54" s="3" t="s">
        <v>41</v>
      </c>
      <c r="F54" s="3" t="s">
        <v>31</v>
      </c>
      <c r="G54" s="3" t="s">
        <v>41</v>
      </c>
      <c r="H54" s="3" t="s">
        <v>42</v>
      </c>
      <c r="I54" s="3">
        <v>2025</v>
      </c>
      <c r="J54" s="3" t="str">
        <f>CONCATENATE("54811248118")</f>
        <v>54811248118</v>
      </c>
      <c r="K54" s="3" t="s">
        <v>33</v>
      </c>
      <c r="L54" s="3"/>
      <c r="M54" s="3" t="s">
        <v>34</v>
      </c>
      <c r="N54" s="3" t="str">
        <f>CONCATENATE("DNGMRA73P20H876Z")</f>
        <v>DNGMRA73P20H876Z</v>
      </c>
      <c r="O54" s="3" t="s">
        <v>125</v>
      </c>
      <c r="P54" s="3" t="s">
        <v>36</v>
      </c>
      <c r="Q54" s="3"/>
      <c r="R54" s="4">
        <v>45965</v>
      </c>
      <c r="S54" s="3" t="s">
        <v>37</v>
      </c>
      <c r="T54" s="3" t="s">
        <v>36</v>
      </c>
      <c r="U54" s="3" t="s">
        <v>38</v>
      </c>
      <c r="V54" s="5">
        <v>4435.84</v>
      </c>
      <c r="W54" s="5">
        <v>1885.23</v>
      </c>
      <c r="X54" s="5">
        <v>1785.43</v>
      </c>
      <c r="Y54" s="3">
        <v>765.18</v>
      </c>
    </row>
    <row r="55" spans="1:25" ht="72.75" x14ac:dyDescent="0.25">
      <c r="A55" s="3" t="s">
        <v>26</v>
      </c>
      <c r="B55" s="3" t="s">
        <v>27</v>
      </c>
      <c r="C55" s="3" t="s">
        <v>28</v>
      </c>
      <c r="D55" s="3" t="s">
        <v>29</v>
      </c>
      <c r="E55" s="3" t="s">
        <v>64</v>
      </c>
      <c r="F55" s="3" t="s">
        <v>31</v>
      </c>
      <c r="G55" s="3" t="s">
        <v>64</v>
      </c>
      <c r="H55" s="3" t="s">
        <v>42</v>
      </c>
      <c r="I55" s="3">
        <v>2025</v>
      </c>
      <c r="J55" s="3" t="str">
        <f>CONCATENATE("54810076049")</f>
        <v>54810076049</v>
      </c>
      <c r="K55" s="3" t="s">
        <v>33</v>
      </c>
      <c r="L55" s="3"/>
      <c r="M55" s="3" t="s">
        <v>34</v>
      </c>
      <c r="N55" s="3" t="str">
        <f>CONCATENATE("MRCDNL70R05H211V")</f>
        <v>MRCDNL70R05H211V</v>
      </c>
      <c r="O55" s="3" t="s">
        <v>126</v>
      </c>
      <c r="P55" s="3" t="s">
        <v>36</v>
      </c>
      <c r="Q55" s="3"/>
      <c r="R55" s="4">
        <v>45965</v>
      </c>
      <c r="S55" s="3" t="s">
        <v>37</v>
      </c>
      <c r="T55" s="3" t="s">
        <v>36</v>
      </c>
      <c r="U55" s="3" t="s">
        <v>38</v>
      </c>
      <c r="V55" s="3">
        <v>876.67</v>
      </c>
      <c r="W55" s="3">
        <v>372.58</v>
      </c>
      <c r="X55" s="3">
        <v>352.86</v>
      </c>
      <c r="Y55" s="3">
        <v>151.22999999999999</v>
      </c>
    </row>
    <row r="56" spans="1:25" ht="72.75" x14ac:dyDescent="0.25">
      <c r="A56" s="3" t="s">
        <v>26</v>
      </c>
      <c r="B56" s="3" t="s">
        <v>27</v>
      </c>
      <c r="C56" s="3" t="s">
        <v>28</v>
      </c>
      <c r="D56" s="3" t="s">
        <v>29</v>
      </c>
      <c r="E56" s="3" t="s">
        <v>64</v>
      </c>
      <c r="F56" s="3" t="s">
        <v>31</v>
      </c>
      <c r="G56" s="3" t="s">
        <v>64</v>
      </c>
      <c r="H56" s="3" t="s">
        <v>42</v>
      </c>
      <c r="I56" s="3">
        <v>2025</v>
      </c>
      <c r="J56" s="3" t="str">
        <f>CONCATENATE("54810076031")</f>
        <v>54810076031</v>
      </c>
      <c r="K56" s="3" t="s">
        <v>33</v>
      </c>
      <c r="L56" s="3"/>
      <c r="M56" s="3" t="s">
        <v>34</v>
      </c>
      <c r="N56" s="3" t="str">
        <f>CONCATENATE("MRCDNL70R05H211V")</f>
        <v>MRCDNL70R05H211V</v>
      </c>
      <c r="O56" s="3" t="s">
        <v>126</v>
      </c>
      <c r="P56" s="3" t="s">
        <v>36</v>
      </c>
      <c r="Q56" s="3"/>
      <c r="R56" s="4">
        <v>45965</v>
      </c>
      <c r="S56" s="3" t="s">
        <v>37</v>
      </c>
      <c r="T56" s="3" t="s">
        <v>36</v>
      </c>
      <c r="U56" s="3" t="s">
        <v>38</v>
      </c>
      <c r="V56" s="3">
        <v>533.04</v>
      </c>
      <c r="W56" s="3">
        <v>226.54</v>
      </c>
      <c r="X56" s="3">
        <v>214.55</v>
      </c>
      <c r="Y56" s="3">
        <v>91.95</v>
      </c>
    </row>
    <row r="57" spans="1:25" ht="60.75" x14ac:dyDescent="0.25">
      <c r="A57" s="3" t="s">
        <v>26</v>
      </c>
      <c r="B57" s="3" t="s">
        <v>27</v>
      </c>
      <c r="C57" s="3" t="s">
        <v>28</v>
      </c>
      <c r="D57" s="3" t="s">
        <v>47</v>
      </c>
      <c r="E57" s="3" t="s">
        <v>127</v>
      </c>
      <c r="F57" s="3" t="s">
        <v>49</v>
      </c>
      <c r="G57" s="3" t="s">
        <v>127</v>
      </c>
      <c r="H57" s="3" t="s">
        <v>45</v>
      </c>
      <c r="I57" s="3">
        <v>2025</v>
      </c>
      <c r="J57" s="3" t="str">
        <f>CONCATENATE("54810091410")</f>
        <v>54810091410</v>
      </c>
      <c r="K57" s="3" t="s">
        <v>33</v>
      </c>
      <c r="L57" s="3"/>
      <c r="M57" s="3" t="s">
        <v>34</v>
      </c>
      <c r="N57" s="3" t="str">
        <f>CONCATENATE("MCHSFN75B27F520N")</f>
        <v>MCHSFN75B27F520N</v>
      </c>
      <c r="O57" s="3" t="s">
        <v>128</v>
      </c>
      <c r="P57" s="3" t="s">
        <v>36</v>
      </c>
      <c r="Q57" s="3"/>
      <c r="R57" s="4">
        <v>45965</v>
      </c>
      <c r="S57" s="3" t="s">
        <v>37</v>
      </c>
      <c r="T57" s="3" t="s">
        <v>36</v>
      </c>
      <c r="U57" s="3" t="s">
        <v>38</v>
      </c>
      <c r="V57" s="5">
        <v>1389.95</v>
      </c>
      <c r="W57" s="3">
        <v>590.73</v>
      </c>
      <c r="X57" s="3">
        <v>559.45000000000005</v>
      </c>
      <c r="Y57" s="3">
        <v>239.77</v>
      </c>
    </row>
    <row r="58" spans="1:25" ht="60.75" x14ac:dyDescent="0.25">
      <c r="A58" s="3" t="s">
        <v>26</v>
      </c>
      <c r="B58" s="3" t="s">
        <v>27</v>
      </c>
      <c r="C58" s="3" t="s">
        <v>28</v>
      </c>
      <c r="D58" s="3" t="s">
        <v>115</v>
      </c>
      <c r="E58" s="3" t="s">
        <v>129</v>
      </c>
      <c r="F58" s="3" t="s">
        <v>115</v>
      </c>
      <c r="G58" s="3" t="s">
        <v>129</v>
      </c>
      <c r="H58" s="3" t="s">
        <v>45</v>
      </c>
      <c r="I58" s="3">
        <v>2025</v>
      </c>
      <c r="J58" s="3" t="str">
        <f>CONCATENATE("54810141389")</f>
        <v>54810141389</v>
      </c>
      <c r="K58" s="3" t="s">
        <v>33</v>
      </c>
      <c r="L58" s="3"/>
      <c r="M58" s="3" t="s">
        <v>34</v>
      </c>
      <c r="N58" s="3" t="str">
        <f>CONCATENATE("TMSGPT63C12F415T")</f>
        <v>TMSGPT63C12F415T</v>
      </c>
      <c r="O58" s="3" t="s">
        <v>130</v>
      </c>
      <c r="P58" s="3" t="s">
        <v>36</v>
      </c>
      <c r="Q58" s="3"/>
      <c r="R58" s="4">
        <v>45965</v>
      </c>
      <c r="S58" s="3" t="s">
        <v>37</v>
      </c>
      <c r="T58" s="3" t="s">
        <v>36</v>
      </c>
      <c r="U58" s="3" t="s">
        <v>38</v>
      </c>
      <c r="V58" s="5">
        <v>3928.66</v>
      </c>
      <c r="W58" s="5">
        <v>1669.68</v>
      </c>
      <c r="X58" s="5">
        <v>1581.29</v>
      </c>
      <c r="Y58" s="3">
        <v>677.69</v>
      </c>
    </row>
    <row r="59" spans="1:25" ht="36.75" x14ac:dyDescent="0.25">
      <c r="A59" s="3" t="s">
        <v>26</v>
      </c>
      <c r="B59" s="3" t="s">
        <v>27</v>
      </c>
      <c r="C59" s="3" t="s">
        <v>28</v>
      </c>
      <c r="D59" s="3" t="s">
        <v>29</v>
      </c>
      <c r="E59" s="3" t="s">
        <v>44</v>
      </c>
      <c r="F59" s="3" t="s">
        <v>31</v>
      </c>
      <c r="G59" s="3" t="s">
        <v>44</v>
      </c>
      <c r="H59" s="3" t="s">
        <v>45</v>
      </c>
      <c r="I59" s="3">
        <v>2025</v>
      </c>
      <c r="J59" s="3" t="str">
        <f>CONCATENATE("54810323599")</f>
        <v>54810323599</v>
      </c>
      <c r="K59" s="3" t="s">
        <v>33</v>
      </c>
      <c r="L59" s="3"/>
      <c r="M59" s="3" t="s">
        <v>34</v>
      </c>
      <c r="N59" s="3" t="str">
        <f>CONCATENATE("02275340442")</f>
        <v>02275340442</v>
      </c>
      <c r="O59" s="3" t="s">
        <v>131</v>
      </c>
      <c r="P59" s="3" t="s">
        <v>36</v>
      </c>
      <c r="Q59" s="3"/>
      <c r="R59" s="4">
        <v>45965</v>
      </c>
      <c r="S59" s="3" t="s">
        <v>37</v>
      </c>
      <c r="T59" s="3" t="s">
        <v>36</v>
      </c>
      <c r="U59" s="3" t="s">
        <v>38</v>
      </c>
      <c r="V59" s="5">
        <v>4125.3900000000003</v>
      </c>
      <c r="W59" s="5">
        <v>1753.29</v>
      </c>
      <c r="X59" s="5">
        <v>1660.47</v>
      </c>
      <c r="Y59" s="3">
        <v>711.63</v>
      </c>
    </row>
    <row r="60" spans="1:25" ht="36.75" x14ac:dyDescent="0.25">
      <c r="A60" s="3" t="s">
        <v>26</v>
      </c>
      <c r="B60" s="3" t="s">
        <v>27</v>
      </c>
      <c r="C60" s="3" t="s">
        <v>28</v>
      </c>
      <c r="D60" s="3" t="s">
        <v>47</v>
      </c>
      <c r="E60" s="3" t="s">
        <v>132</v>
      </c>
      <c r="F60" s="3" t="s">
        <v>49</v>
      </c>
      <c r="G60" s="3" t="s">
        <v>132</v>
      </c>
      <c r="H60" s="3" t="s">
        <v>45</v>
      </c>
      <c r="I60" s="3">
        <v>2025</v>
      </c>
      <c r="J60" s="3" t="str">
        <f>CONCATENATE("54810102001")</f>
        <v>54810102001</v>
      </c>
      <c r="K60" s="3" t="s">
        <v>33</v>
      </c>
      <c r="L60" s="3"/>
      <c r="M60" s="3" t="s">
        <v>34</v>
      </c>
      <c r="N60" s="3" t="str">
        <f>CONCATENATE("02436140442")</f>
        <v>02436140442</v>
      </c>
      <c r="O60" s="3" t="s">
        <v>133</v>
      </c>
      <c r="P60" s="3" t="s">
        <v>36</v>
      </c>
      <c r="Q60" s="3"/>
      <c r="R60" s="4">
        <v>45965</v>
      </c>
      <c r="S60" s="3" t="s">
        <v>37</v>
      </c>
      <c r="T60" s="3" t="s">
        <v>36</v>
      </c>
      <c r="U60" s="3" t="s">
        <v>38</v>
      </c>
      <c r="V60" s="5">
        <v>8596.02</v>
      </c>
      <c r="W60" s="5">
        <v>3653.31</v>
      </c>
      <c r="X60" s="5">
        <v>3459.9</v>
      </c>
      <c r="Y60" s="5">
        <v>1482.81</v>
      </c>
    </row>
    <row r="61" spans="1:25" ht="36.75" x14ac:dyDescent="0.25">
      <c r="A61" s="3" t="s">
        <v>26</v>
      </c>
      <c r="B61" s="3" t="s">
        <v>27</v>
      </c>
      <c r="C61" s="3" t="s">
        <v>28</v>
      </c>
      <c r="D61" s="3" t="s">
        <v>115</v>
      </c>
      <c r="E61" s="3" t="s">
        <v>129</v>
      </c>
      <c r="F61" s="3" t="s">
        <v>115</v>
      </c>
      <c r="G61" s="3" t="s">
        <v>129</v>
      </c>
      <c r="H61" s="3" t="s">
        <v>45</v>
      </c>
      <c r="I61" s="3">
        <v>2025</v>
      </c>
      <c r="J61" s="3" t="str">
        <f>CONCATENATE("54810155843")</f>
        <v>54810155843</v>
      </c>
      <c r="K61" s="3" t="s">
        <v>33</v>
      </c>
      <c r="L61" s="3"/>
      <c r="M61" s="3" t="s">
        <v>34</v>
      </c>
      <c r="N61" s="3" t="str">
        <f>CONCATENATE("01925420448")</f>
        <v>01925420448</v>
      </c>
      <c r="O61" s="3" t="s">
        <v>134</v>
      </c>
      <c r="P61" s="3" t="s">
        <v>36</v>
      </c>
      <c r="Q61" s="3"/>
      <c r="R61" s="4">
        <v>45965</v>
      </c>
      <c r="S61" s="3" t="s">
        <v>37</v>
      </c>
      <c r="T61" s="3" t="s">
        <v>36</v>
      </c>
      <c r="U61" s="3" t="s">
        <v>38</v>
      </c>
      <c r="V61" s="5">
        <v>8243.93</v>
      </c>
      <c r="W61" s="5">
        <v>3503.67</v>
      </c>
      <c r="X61" s="5">
        <v>3318.18</v>
      </c>
      <c r="Y61" s="5">
        <v>1422.08</v>
      </c>
    </row>
    <row r="62" spans="1:25" ht="60.75" x14ac:dyDescent="0.25">
      <c r="A62" s="3" t="s">
        <v>26</v>
      </c>
      <c r="B62" s="3" t="s">
        <v>27</v>
      </c>
      <c r="C62" s="3" t="s">
        <v>28</v>
      </c>
      <c r="D62" s="3" t="s">
        <v>29</v>
      </c>
      <c r="E62" s="3" t="s">
        <v>44</v>
      </c>
      <c r="F62" s="3" t="s">
        <v>31</v>
      </c>
      <c r="G62" s="3" t="s">
        <v>44</v>
      </c>
      <c r="H62" s="3" t="s">
        <v>45</v>
      </c>
      <c r="I62" s="3">
        <v>2025</v>
      </c>
      <c r="J62" s="3" t="str">
        <f>CONCATENATE("54810163425")</f>
        <v>54810163425</v>
      </c>
      <c r="K62" s="3" t="s">
        <v>33</v>
      </c>
      <c r="L62" s="3"/>
      <c r="M62" s="3" t="s">
        <v>34</v>
      </c>
      <c r="N62" s="3" t="str">
        <f>CONCATENATE("SCNRGA62H11G137X")</f>
        <v>SCNRGA62H11G137X</v>
      </c>
      <c r="O62" s="3" t="s">
        <v>135</v>
      </c>
      <c r="P62" s="3" t="s">
        <v>36</v>
      </c>
      <c r="Q62" s="3"/>
      <c r="R62" s="4">
        <v>45965</v>
      </c>
      <c r="S62" s="3" t="s">
        <v>37</v>
      </c>
      <c r="T62" s="3" t="s">
        <v>36</v>
      </c>
      <c r="U62" s="3" t="s">
        <v>38</v>
      </c>
      <c r="V62" s="5">
        <v>3729.92</v>
      </c>
      <c r="W62" s="5">
        <v>1585.22</v>
      </c>
      <c r="X62" s="5">
        <v>1501.29</v>
      </c>
      <c r="Y62" s="3">
        <v>643.41</v>
      </c>
    </row>
    <row r="63" spans="1:25" ht="72.75" x14ac:dyDescent="0.25">
      <c r="A63" s="3" t="s">
        <v>26</v>
      </c>
      <c r="B63" s="3" t="s">
        <v>27</v>
      </c>
      <c r="C63" s="3" t="s">
        <v>28</v>
      </c>
      <c r="D63" s="3" t="s">
        <v>29</v>
      </c>
      <c r="E63" s="3" t="s">
        <v>44</v>
      </c>
      <c r="F63" s="3" t="s">
        <v>31</v>
      </c>
      <c r="G63" s="3" t="s">
        <v>44</v>
      </c>
      <c r="H63" s="3" t="s">
        <v>45</v>
      </c>
      <c r="I63" s="3">
        <v>2025</v>
      </c>
      <c r="J63" s="3" t="str">
        <f>CONCATENATE("54810164936")</f>
        <v>54810164936</v>
      </c>
      <c r="K63" s="3" t="s">
        <v>33</v>
      </c>
      <c r="L63" s="3"/>
      <c r="M63" s="3" t="s">
        <v>34</v>
      </c>
      <c r="N63" s="3" t="str">
        <f>CONCATENATE("SBEMSM76E27D542E")</f>
        <v>SBEMSM76E27D542E</v>
      </c>
      <c r="O63" s="3" t="s">
        <v>136</v>
      </c>
      <c r="P63" s="3" t="s">
        <v>36</v>
      </c>
      <c r="Q63" s="3"/>
      <c r="R63" s="4">
        <v>45965</v>
      </c>
      <c r="S63" s="3" t="s">
        <v>37</v>
      </c>
      <c r="T63" s="3" t="s">
        <v>36</v>
      </c>
      <c r="U63" s="3" t="s">
        <v>38</v>
      </c>
      <c r="V63" s="5">
        <v>6857.22</v>
      </c>
      <c r="W63" s="5">
        <v>2914.32</v>
      </c>
      <c r="X63" s="5">
        <v>2760.03</v>
      </c>
      <c r="Y63" s="5">
        <v>1182.8699999999999</v>
      </c>
    </row>
    <row r="64" spans="1:25" ht="72.75" x14ac:dyDescent="0.25">
      <c r="A64" s="3" t="s">
        <v>26</v>
      </c>
      <c r="B64" s="3" t="s">
        <v>27</v>
      </c>
      <c r="C64" s="3" t="s">
        <v>28</v>
      </c>
      <c r="D64" s="3" t="s">
        <v>115</v>
      </c>
      <c r="E64" s="3" t="s">
        <v>129</v>
      </c>
      <c r="F64" s="3" t="s">
        <v>115</v>
      </c>
      <c r="G64" s="3" t="s">
        <v>129</v>
      </c>
      <c r="H64" s="3" t="s">
        <v>45</v>
      </c>
      <c r="I64" s="3">
        <v>2025</v>
      </c>
      <c r="J64" s="3" t="str">
        <f>CONCATENATE("54810221223")</f>
        <v>54810221223</v>
      </c>
      <c r="K64" s="3" t="s">
        <v>33</v>
      </c>
      <c r="L64" s="3"/>
      <c r="M64" s="3" t="s">
        <v>34</v>
      </c>
      <c r="N64" s="3" t="str">
        <f>CONCATENATE("GMNPIO62B27F415D")</f>
        <v>GMNPIO62B27F415D</v>
      </c>
      <c r="O64" s="3" t="s">
        <v>137</v>
      </c>
      <c r="P64" s="3" t="s">
        <v>36</v>
      </c>
      <c r="Q64" s="3"/>
      <c r="R64" s="4">
        <v>45965</v>
      </c>
      <c r="S64" s="3" t="s">
        <v>37</v>
      </c>
      <c r="T64" s="3" t="s">
        <v>36</v>
      </c>
      <c r="U64" s="3" t="s">
        <v>38</v>
      </c>
      <c r="V64" s="5">
        <v>3502.46</v>
      </c>
      <c r="W64" s="5">
        <v>1488.55</v>
      </c>
      <c r="X64" s="5">
        <v>1409.74</v>
      </c>
      <c r="Y64" s="3">
        <v>604.16999999999996</v>
      </c>
    </row>
    <row r="65" spans="1:25" ht="60.75" x14ac:dyDescent="0.25">
      <c r="A65" s="3" t="s">
        <v>26</v>
      </c>
      <c r="B65" s="3" t="s">
        <v>27</v>
      </c>
      <c r="C65" s="3" t="s">
        <v>28</v>
      </c>
      <c r="D65" s="3" t="s">
        <v>47</v>
      </c>
      <c r="E65" s="3" t="s">
        <v>127</v>
      </c>
      <c r="F65" s="3" t="s">
        <v>49</v>
      </c>
      <c r="G65" s="3" t="s">
        <v>127</v>
      </c>
      <c r="H65" s="3" t="s">
        <v>45</v>
      </c>
      <c r="I65" s="3">
        <v>2025</v>
      </c>
      <c r="J65" s="3" t="str">
        <f>CONCATENATE("54810164894")</f>
        <v>54810164894</v>
      </c>
      <c r="K65" s="3" t="s">
        <v>33</v>
      </c>
      <c r="L65" s="3"/>
      <c r="M65" s="3" t="s">
        <v>34</v>
      </c>
      <c r="N65" s="3" t="str">
        <f>CONCATENATE("VTLGRL78T27G516V")</f>
        <v>VTLGRL78T27G516V</v>
      </c>
      <c r="O65" s="3" t="s">
        <v>138</v>
      </c>
      <c r="P65" s="3" t="s">
        <v>36</v>
      </c>
      <c r="Q65" s="3"/>
      <c r="R65" s="4">
        <v>45965</v>
      </c>
      <c r="S65" s="3" t="s">
        <v>37</v>
      </c>
      <c r="T65" s="3" t="s">
        <v>36</v>
      </c>
      <c r="U65" s="3" t="s">
        <v>38</v>
      </c>
      <c r="V65" s="5">
        <v>9202.0400000000009</v>
      </c>
      <c r="W65" s="5">
        <v>3910.87</v>
      </c>
      <c r="X65" s="5">
        <v>3703.82</v>
      </c>
      <c r="Y65" s="5">
        <v>1587.35</v>
      </c>
    </row>
    <row r="66" spans="1:25" ht="60.75" x14ac:dyDescent="0.25">
      <c r="A66" s="3" t="s">
        <v>26</v>
      </c>
      <c r="B66" s="3" t="s">
        <v>27</v>
      </c>
      <c r="C66" s="3" t="s">
        <v>28</v>
      </c>
      <c r="D66" s="3" t="s">
        <v>29</v>
      </c>
      <c r="E66" s="3" t="s">
        <v>44</v>
      </c>
      <c r="F66" s="3" t="s">
        <v>31</v>
      </c>
      <c r="G66" s="3" t="s">
        <v>44</v>
      </c>
      <c r="H66" s="3" t="s">
        <v>45</v>
      </c>
      <c r="I66" s="3">
        <v>2025</v>
      </c>
      <c r="J66" s="3" t="str">
        <f>CONCATENATE("54810165362")</f>
        <v>54810165362</v>
      </c>
      <c r="K66" s="3" t="s">
        <v>33</v>
      </c>
      <c r="L66" s="3"/>
      <c r="M66" s="3" t="s">
        <v>34</v>
      </c>
      <c r="N66" s="3" t="str">
        <f>CONCATENATE("BLLGRG76R01F501G")</f>
        <v>BLLGRG76R01F501G</v>
      </c>
      <c r="O66" s="3" t="s">
        <v>139</v>
      </c>
      <c r="P66" s="3" t="s">
        <v>36</v>
      </c>
      <c r="Q66" s="3"/>
      <c r="R66" s="4">
        <v>45965</v>
      </c>
      <c r="S66" s="3" t="s">
        <v>37</v>
      </c>
      <c r="T66" s="3" t="s">
        <v>36</v>
      </c>
      <c r="U66" s="3" t="s">
        <v>38</v>
      </c>
      <c r="V66" s="5">
        <v>4277.5</v>
      </c>
      <c r="W66" s="5">
        <v>1817.94</v>
      </c>
      <c r="X66" s="5">
        <v>1721.69</v>
      </c>
      <c r="Y66" s="3">
        <v>737.87</v>
      </c>
    </row>
    <row r="67" spans="1:25" ht="60.75" x14ac:dyDescent="0.25">
      <c r="A67" s="3" t="s">
        <v>26</v>
      </c>
      <c r="B67" s="3" t="s">
        <v>27</v>
      </c>
      <c r="C67" s="3" t="s">
        <v>28</v>
      </c>
      <c r="D67" s="3" t="s">
        <v>29</v>
      </c>
      <c r="E67" s="3" t="s">
        <v>44</v>
      </c>
      <c r="F67" s="3" t="s">
        <v>31</v>
      </c>
      <c r="G67" s="3" t="s">
        <v>44</v>
      </c>
      <c r="H67" s="3" t="s">
        <v>45</v>
      </c>
      <c r="I67" s="3">
        <v>2025</v>
      </c>
      <c r="J67" s="3" t="str">
        <f>CONCATENATE("54810282100")</f>
        <v>54810282100</v>
      </c>
      <c r="K67" s="3" t="s">
        <v>33</v>
      </c>
      <c r="L67" s="3"/>
      <c r="M67" s="3" t="s">
        <v>34</v>
      </c>
      <c r="N67" s="3" t="str">
        <f>CONCATENATE("MZZSFN89D15H769C")</f>
        <v>MZZSFN89D15H769C</v>
      </c>
      <c r="O67" s="3" t="s">
        <v>140</v>
      </c>
      <c r="P67" s="3" t="s">
        <v>36</v>
      </c>
      <c r="Q67" s="3"/>
      <c r="R67" s="4">
        <v>45965</v>
      </c>
      <c r="S67" s="3" t="s">
        <v>37</v>
      </c>
      <c r="T67" s="3" t="s">
        <v>36</v>
      </c>
      <c r="U67" s="3" t="s">
        <v>38</v>
      </c>
      <c r="V67" s="5">
        <v>4656.49</v>
      </c>
      <c r="W67" s="5">
        <v>1979.01</v>
      </c>
      <c r="X67" s="5">
        <v>1874.24</v>
      </c>
      <c r="Y67" s="3">
        <v>803.24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89</v>
      </c>
      <c r="E68" s="3" t="s">
        <v>90</v>
      </c>
      <c r="F68" s="3" t="s">
        <v>91</v>
      </c>
      <c r="G68" s="3" t="s">
        <v>90</v>
      </c>
      <c r="H68" s="3" t="s">
        <v>45</v>
      </c>
      <c r="I68" s="3">
        <v>2025</v>
      </c>
      <c r="J68" s="3" t="str">
        <f>CONCATENATE("54810319738")</f>
        <v>54810319738</v>
      </c>
      <c r="K68" s="3" t="s">
        <v>33</v>
      </c>
      <c r="L68" s="3"/>
      <c r="M68" s="3" t="s">
        <v>34</v>
      </c>
      <c r="N68" s="3" t="str">
        <f>CONCATENATE("SCNGNN59M12G137P")</f>
        <v>SCNGNN59M12G137P</v>
      </c>
      <c r="O68" s="3" t="s">
        <v>141</v>
      </c>
      <c r="P68" s="3" t="s">
        <v>36</v>
      </c>
      <c r="Q68" s="3"/>
      <c r="R68" s="4">
        <v>45965</v>
      </c>
      <c r="S68" s="3" t="s">
        <v>37</v>
      </c>
      <c r="T68" s="3" t="s">
        <v>36</v>
      </c>
      <c r="U68" s="3" t="s">
        <v>38</v>
      </c>
      <c r="V68" s="5">
        <v>3037.85</v>
      </c>
      <c r="W68" s="5">
        <v>1291.0899999999999</v>
      </c>
      <c r="X68" s="5">
        <v>1222.73</v>
      </c>
      <c r="Y68" s="3">
        <v>524.03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29</v>
      </c>
      <c r="E69" s="3" t="s">
        <v>44</v>
      </c>
      <c r="F69" s="3" t="s">
        <v>31</v>
      </c>
      <c r="G69" s="3" t="s">
        <v>44</v>
      </c>
      <c r="H69" s="3" t="s">
        <v>45</v>
      </c>
      <c r="I69" s="3">
        <v>2025</v>
      </c>
      <c r="J69" s="3" t="str">
        <f>CONCATENATE("54810363025")</f>
        <v>54810363025</v>
      </c>
      <c r="K69" s="3" t="s">
        <v>33</v>
      </c>
      <c r="L69" s="3"/>
      <c r="M69" s="3" t="s">
        <v>34</v>
      </c>
      <c r="N69" s="3" t="str">
        <f>CONCATENATE("STPFRZ61M23G516U")</f>
        <v>STPFRZ61M23G516U</v>
      </c>
      <c r="O69" s="3" t="s">
        <v>142</v>
      </c>
      <c r="P69" s="3" t="s">
        <v>36</v>
      </c>
      <c r="Q69" s="3"/>
      <c r="R69" s="4">
        <v>45965</v>
      </c>
      <c r="S69" s="3" t="s">
        <v>37</v>
      </c>
      <c r="T69" s="3" t="s">
        <v>36</v>
      </c>
      <c r="U69" s="3" t="s">
        <v>38</v>
      </c>
      <c r="V69" s="5">
        <v>2547.84</v>
      </c>
      <c r="W69" s="5">
        <v>1082.83</v>
      </c>
      <c r="X69" s="5">
        <v>1025.51</v>
      </c>
      <c r="Y69" s="3">
        <v>439.5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57</v>
      </c>
      <c r="E70" s="3" t="s">
        <v>61</v>
      </c>
      <c r="F70" s="3" t="s">
        <v>59</v>
      </c>
      <c r="G70" s="3" t="s">
        <v>61</v>
      </c>
      <c r="H70" s="3" t="s">
        <v>42</v>
      </c>
      <c r="I70" s="3">
        <v>2025</v>
      </c>
      <c r="J70" s="3" t="str">
        <f>CONCATENATE("54810214442")</f>
        <v>54810214442</v>
      </c>
      <c r="K70" s="3" t="s">
        <v>33</v>
      </c>
      <c r="L70" s="3"/>
      <c r="M70" s="3" t="s">
        <v>34</v>
      </c>
      <c r="N70" s="3" t="str">
        <f>CONCATENATE("VLNLRT47H11E783T")</f>
        <v>VLNLRT47H11E783T</v>
      </c>
      <c r="O70" s="3" t="s">
        <v>143</v>
      </c>
      <c r="P70" s="3" t="s">
        <v>36</v>
      </c>
      <c r="Q70" s="3"/>
      <c r="R70" s="4">
        <v>45965</v>
      </c>
      <c r="S70" s="3" t="s">
        <v>37</v>
      </c>
      <c r="T70" s="3" t="s">
        <v>36</v>
      </c>
      <c r="U70" s="3" t="s">
        <v>38</v>
      </c>
      <c r="V70" s="5">
        <v>3859.27</v>
      </c>
      <c r="W70" s="5">
        <v>1640.19</v>
      </c>
      <c r="X70" s="5">
        <v>1553.36</v>
      </c>
      <c r="Y70" s="3">
        <v>665.72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47</v>
      </c>
      <c r="E71" s="3" t="s">
        <v>48</v>
      </c>
      <c r="F71" s="3" t="s">
        <v>49</v>
      </c>
      <c r="G71" s="3" t="s">
        <v>48</v>
      </c>
      <c r="H71" s="3" t="s">
        <v>45</v>
      </c>
      <c r="I71" s="3">
        <v>2025</v>
      </c>
      <c r="J71" s="3" t="str">
        <f>CONCATENATE("54810206117")</f>
        <v>54810206117</v>
      </c>
      <c r="K71" s="3" t="s">
        <v>33</v>
      </c>
      <c r="L71" s="3"/>
      <c r="M71" s="3" t="s">
        <v>34</v>
      </c>
      <c r="N71" s="3" t="str">
        <f>CONCATENATE("TSSLGU67R25G137F")</f>
        <v>TSSLGU67R25G137F</v>
      </c>
      <c r="O71" s="3" t="s">
        <v>144</v>
      </c>
      <c r="P71" s="3" t="s">
        <v>36</v>
      </c>
      <c r="Q71" s="3"/>
      <c r="R71" s="4">
        <v>45965</v>
      </c>
      <c r="S71" s="3" t="s">
        <v>37</v>
      </c>
      <c r="T71" s="3" t="s">
        <v>36</v>
      </c>
      <c r="U71" s="3" t="s">
        <v>38</v>
      </c>
      <c r="V71" s="5">
        <v>2961.84</v>
      </c>
      <c r="W71" s="5">
        <v>1258.78</v>
      </c>
      <c r="X71" s="5">
        <v>1192.1400000000001</v>
      </c>
      <c r="Y71" s="3">
        <v>510.92</v>
      </c>
    </row>
    <row r="72" spans="1:25" ht="36.75" x14ac:dyDescent="0.25">
      <c r="A72" s="3" t="s">
        <v>26</v>
      </c>
      <c r="B72" s="3" t="s">
        <v>27</v>
      </c>
      <c r="C72" s="3" t="s">
        <v>28</v>
      </c>
      <c r="D72" s="3" t="s">
        <v>115</v>
      </c>
      <c r="E72" s="3" t="s">
        <v>129</v>
      </c>
      <c r="F72" s="3" t="s">
        <v>115</v>
      </c>
      <c r="G72" s="3" t="s">
        <v>129</v>
      </c>
      <c r="H72" s="3" t="s">
        <v>45</v>
      </c>
      <c r="I72" s="3">
        <v>2025</v>
      </c>
      <c r="J72" s="3" t="str">
        <f>CONCATENATE("54810237948")</f>
        <v>54810237948</v>
      </c>
      <c r="K72" s="3" t="s">
        <v>33</v>
      </c>
      <c r="L72" s="3"/>
      <c r="M72" s="3" t="s">
        <v>34</v>
      </c>
      <c r="N72" s="3" t="str">
        <f>CONCATENATE("01194690440")</f>
        <v>01194690440</v>
      </c>
      <c r="O72" s="3" t="s">
        <v>145</v>
      </c>
      <c r="P72" s="3" t="s">
        <v>36</v>
      </c>
      <c r="Q72" s="3"/>
      <c r="R72" s="4">
        <v>45965</v>
      </c>
      <c r="S72" s="3" t="s">
        <v>37</v>
      </c>
      <c r="T72" s="3" t="s">
        <v>36</v>
      </c>
      <c r="U72" s="3" t="s">
        <v>38</v>
      </c>
      <c r="V72" s="5">
        <v>7819.54</v>
      </c>
      <c r="W72" s="5">
        <v>3323.3</v>
      </c>
      <c r="X72" s="5">
        <v>3147.36</v>
      </c>
      <c r="Y72" s="5">
        <v>1348.88</v>
      </c>
    </row>
    <row r="73" spans="1:25" ht="72.75" x14ac:dyDescent="0.25">
      <c r="A73" s="3" t="s">
        <v>26</v>
      </c>
      <c r="B73" s="3" t="s">
        <v>27</v>
      </c>
      <c r="C73" s="3" t="s">
        <v>28</v>
      </c>
      <c r="D73" s="3" t="s">
        <v>29</v>
      </c>
      <c r="E73" s="3" t="s">
        <v>44</v>
      </c>
      <c r="F73" s="3" t="s">
        <v>31</v>
      </c>
      <c r="G73" s="3" t="s">
        <v>44</v>
      </c>
      <c r="H73" s="3" t="s">
        <v>45</v>
      </c>
      <c r="I73" s="3">
        <v>2025</v>
      </c>
      <c r="J73" s="3" t="str">
        <f>CONCATENATE("54810327061")</f>
        <v>54810327061</v>
      </c>
      <c r="K73" s="3" t="s">
        <v>33</v>
      </c>
      <c r="L73" s="3"/>
      <c r="M73" s="3" t="s">
        <v>34</v>
      </c>
      <c r="N73" s="3" t="str">
        <f>CONCATENATE("CCHMTT90B24D542W")</f>
        <v>CCHMTT90B24D542W</v>
      </c>
      <c r="O73" s="3" t="s">
        <v>146</v>
      </c>
      <c r="P73" s="3" t="s">
        <v>36</v>
      </c>
      <c r="Q73" s="3"/>
      <c r="R73" s="4">
        <v>45965</v>
      </c>
      <c r="S73" s="3" t="s">
        <v>37</v>
      </c>
      <c r="T73" s="3" t="s">
        <v>36</v>
      </c>
      <c r="U73" s="3" t="s">
        <v>38</v>
      </c>
      <c r="V73" s="5">
        <v>3010.72</v>
      </c>
      <c r="W73" s="5">
        <v>1279.56</v>
      </c>
      <c r="X73" s="5">
        <v>1211.81</v>
      </c>
      <c r="Y73" s="3">
        <v>519.35</v>
      </c>
    </row>
    <row r="74" spans="1:25" ht="60.75" x14ac:dyDescent="0.25">
      <c r="A74" s="3" t="s">
        <v>26</v>
      </c>
      <c r="B74" s="3" t="s">
        <v>27</v>
      </c>
      <c r="C74" s="3" t="s">
        <v>28</v>
      </c>
      <c r="D74" s="3" t="s">
        <v>115</v>
      </c>
      <c r="E74" s="3" t="s">
        <v>116</v>
      </c>
      <c r="F74" s="3" t="s">
        <v>115</v>
      </c>
      <c r="G74" s="3" t="s">
        <v>116</v>
      </c>
      <c r="H74" s="3" t="s">
        <v>45</v>
      </c>
      <c r="I74" s="3">
        <v>2025</v>
      </c>
      <c r="J74" s="3" t="str">
        <f>CONCATENATE("54810403953")</f>
        <v>54810403953</v>
      </c>
      <c r="K74" s="3" t="s">
        <v>33</v>
      </c>
      <c r="L74" s="3"/>
      <c r="M74" s="3" t="s">
        <v>34</v>
      </c>
      <c r="N74" s="3" t="str">
        <f>CONCATENATE("DRSPQL70L11G137M")</f>
        <v>DRSPQL70L11G137M</v>
      </c>
      <c r="O74" s="3" t="s">
        <v>147</v>
      </c>
      <c r="P74" s="3" t="s">
        <v>36</v>
      </c>
      <c r="Q74" s="3"/>
      <c r="R74" s="4">
        <v>45965</v>
      </c>
      <c r="S74" s="3" t="s">
        <v>37</v>
      </c>
      <c r="T74" s="3" t="s">
        <v>36</v>
      </c>
      <c r="U74" s="3" t="s">
        <v>38</v>
      </c>
      <c r="V74" s="5">
        <v>3338.95</v>
      </c>
      <c r="W74" s="5">
        <v>1419.05</v>
      </c>
      <c r="X74" s="5">
        <v>1343.93</v>
      </c>
      <c r="Y74" s="3">
        <v>575.97</v>
      </c>
    </row>
    <row r="75" spans="1:25" ht="60.75" x14ac:dyDescent="0.25">
      <c r="A75" s="3" t="s">
        <v>26</v>
      </c>
      <c r="B75" s="3" t="s">
        <v>27</v>
      </c>
      <c r="C75" s="3" t="s">
        <v>28</v>
      </c>
      <c r="D75" s="3" t="s">
        <v>29</v>
      </c>
      <c r="E75" s="3" t="s">
        <v>44</v>
      </c>
      <c r="F75" s="3" t="s">
        <v>31</v>
      </c>
      <c r="G75" s="3" t="s">
        <v>44</v>
      </c>
      <c r="H75" s="3" t="s">
        <v>45</v>
      </c>
      <c r="I75" s="3">
        <v>2025</v>
      </c>
      <c r="J75" s="3" t="str">
        <f>CONCATENATE("54810325412")</f>
        <v>54810325412</v>
      </c>
      <c r="K75" s="3" t="s">
        <v>33</v>
      </c>
      <c r="L75" s="3"/>
      <c r="M75" s="3" t="s">
        <v>34</v>
      </c>
      <c r="N75" s="3" t="str">
        <f>CONCATENATE("STPHMS90C31H769B")</f>
        <v>STPHMS90C31H769B</v>
      </c>
      <c r="O75" s="3" t="s">
        <v>148</v>
      </c>
      <c r="P75" s="3" t="s">
        <v>36</v>
      </c>
      <c r="Q75" s="3"/>
      <c r="R75" s="4">
        <v>45965</v>
      </c>
      <c r="S75" s="3" t="s">
        <v>37</v>
      </c>
      <c r="T75" s="3" t="s">
        <v>36</v>
      </c>
      <c r="U75" s="3" t="s">
        <v>38</v>
      </c>
      <c r="V75" s="5">
        <v>3768.6</v>
      </c>
      <c r="W75" s="5">
        <v>1601.66</v>
      </c>
      <c r="X75" s="5">
        <v>1516.86</v>
      </c>
      <c r="Y75" s="3">
        <v>650.08000000000004</v>
      </c>
    </row>
    <row r="76" spans="1:25" ht="36.75" x14ac:dyDescent="0.25">
      <c r="A76" s="3" t="s">
        <v>26</v>
      </c>
      <c r="B76" s="3" t="s">
        <v>27</v>
      </c>
      <c r="C76" s="3" t="s">
        <v>28</v>
      </c>
      <c r="D76" s="3" t="s">
        <v>29</v>
      </c>
      <c r="E76" s="3" t="s">
        <v>149</v>
      </c>
      <c r="F76" s="3" t="s">
        <v>31</v>
      </c>
      <c r="G76" s="3" t="s">
        <v>149</v>
      </c>
      <c r="H76" s="3" t="s">
        <v>42</v>
      </c>
      <c r="I76" s="3">
        <v>2025</v>
      </c>
      <c r="J76" s="3" t="str">
        <f>CONCATENATE("54810715604")</f>
        <v>54810715604</v>
      </c>
      <c r="K76" s="3" t="s">
        <v>33</v>
      </c>
      <c r="L76" s="3"/>
      <c r="M76" s="3" t="s">
        <v>34</v>
      </c>
      <c r="N76" s="3" t="str">
        <f>CONCATENATE("01468950439")</f>
        <v>01468950439</v>
      </c>
      <c r="O76" s="3" t="s">
        <v>150</v>
      </c>
      <c r="P76" s="3" t="s">
        <v>36</v>
      </c>
      <c r="Q76" s="3"/>
      <c r="R76" s="4">
        <v>45965</v>
      </c>
      <c r="S76" s="3" t="s">
        <v>37</v>
      </c>
      <c r="T76" s="3" t="s">
        <v>36</v>
      </c>
      <c r="U76" s="3" t="s">
        <v>38</v>
      </c>
      <c r="V76" s="5">
        <v>7061.11</v>
      </c>
      <c r="W76" s="5">
        <v>3000.97</v>
      </c>
      <c r="X76" s="5">
        <v>2842.1</v>
      </c>
      <c r="Y76" s="5">
        <v>1218.04</v>
      </c>
    </row>
    <row r="77" spans="1:25" ht="60.75" x14ac:dyDescent="0.25">
      <c r="A77" s="3" t="s">
        <v>26</v>
      </c>
      <c r="B77" s="3" t="s">
        <v>27</v>
      </c>
      <c r="C77" s="3" t="s">
        <v>28</v>
      </c>
      <c r="D77" s="3" t="s">
        <v>29</v>
      </c>
      <c r="E77" s="3" t="s">
        <v>44</v>
      </c>
      <c r="F77" s="3" t="s">
        <v>31</v>
      </c>
      <c r="G77" s="3" t="s">
        <v>44</v>
      </c>
      <c r="H77" s="3" t="s">
        <v>45</v>
      </c>
      <c r="I77" s="3">
        <v>2025</v>
      </c>
      <c r="J77" s="3" t="str">
        <f>CONCATENATE("54810322385")</f>
        <v>54810322385</v>
      </c>
      <c r="K77" s="3" t="s">
        <v>33</v>
      </c>
      <c r="L77" s="3"/>
      <c r="M77" s="3" t="s">
        <v>34</v>
      </c>
      <c r="N77" s="3" t="str">
        <f>CONCATENATE("BGLDNY90B23H769I")</f>
        <v>BGLDNY90B23H769I</v>
      </c>
      <c r="O77" s="3" t="s">
        <v>151</v>
      </c>
      <c r="P77" s="3" t="s">
        <v>36</v>
      </c>
      <c r="Q77" s="3"/>
      <c r="R77" s="4">
        <v>45965</v>
      </c>
      <c r="S77" s="3" t="s">
        <v>37</v>
      </c>
      <c r="T77" s="3" t="s">
        <v>36</v>
      </c>
      <c r="U77" s="3" t="s">
        <v>38</v>
      </c>
      <c r="V77" s="5">
        <v>3371.52</v>
      </c>
      <c r="W77" s="5">
        <v>1432.9</v>
      </c>
      <c r="X77" s="5">
        <v>1357.04</v>
      </c>
      <c r="Y77" s="3">
        <v>581.58000000000004</v>
      </c>
    </row>
    <row r="78" spans="1:25" ht="60.75" x14ac:dyDescent="0.25">
      <c r="A78" s="3" t="s">
        <v>26</v>
      </c>
      <c r="B78" s="3" t="s">
        <v>27</v>
      </c>
      <c r="C78" s="3" t="s">
        <v>28</v>
      </c>
      <c r="D78" s="3" t="s">
        <v>47</v>
      </c>
      <c r="E78" s="3" t="s">
        <v>152</v>
      </c>
      <c r="F78" s="3" t="s">
        <v>49</v>
      </c>
      <c r="G78" s="3" t="s">
        <v>152</v>
      </c>
      <c r="H78" s="3" t="s">
        <v>68</v>
      </c>
      <c r="I78" s="3">
        <v>2025</v>
      </c>
      <c r="J78" s="3" t="str">
        <f>CONCATENATE("54810349073")</f>
        <v>54810349073</v>
      </c>
      <c r="K78" s="3" t="s">
        <v>33</v>
      </c>
      <c r="L78" s="3"/>
      <c r="M78" s="3" t="s">
        <v>34</v>
      </c>
      <c r="N78" s="3" t="str">
        <f>CONCATENATE("LVEDVD84L17G479I")</f>
        <v>LVEDVD84L17G479I</v>
      </c>
      <c r="O78" s="3" t="s">
        <v>153</v>
      </c>
      <c r="P78" s="3" t="s">
        <v>36</v>
      </c>
      <c r="Q78" s="3"/>
      <c r="R78" s="4">
        <v>45965</v>
      </c>
      <c r="S78" s="3" t="s">
        <v>37</v>
      </c>
      <c r="T78" s="3" t="s">
        <v>36</v>
      </c>
      <c r="U78" s="3" t="s">
        <v>38</v>
      </c>
      <c r="V78" s="5">
        <v>3090.65</v>
      </c>
      <c r="W78" s="5">
        <v>1313.53</v>
      </c>
      <c r="X78" s="5">
        <v>1243.99</v>
      </c>
      <c r="Y78" s="3">
        <v>533.13</v>
      </c>
    </row>
    <row r="79" spans="1:25" ht="36.75" x14ac:dyDescent="0.25">
      <c r="A79" s="3" t="s">
        <v>26</v>
      </c>
      <c r="B79" s="3" t="s">
        <v>27</v>
      </c>
      <c r="C79" s="3" t="s">
        <v>28</v>
      </c>
      <c r="D79" s="3" t="s">
        <v>29</v>
      </c>
      <c r="E79" s="3" t="s">
        <v>44</v>
      </c>
      <c r="F79" s="3" t="s">
        <v>31</v>
      </c>
      <c r="G79" s="3" t="s">
        <v>44</v>
      </c>
      <c r="H79" s="3" t="s">
        <v>45</v>
      </c>
      <c r="I79" s="3">
        <v>2025</v>
      </c>
      <c r="J79" s="3" t="str">
        <f>CONCATENATE("54810350071")</f>
        <v>54810350071</v>
      </c>
      <c r="K79" s="3" t="s">
        <v>33</v>
      </c>
      <c r="L79" s="3"/>
      <c r="M79" s="3" t="s">
        <v>34</v>
      </c>
      <c r="N79" s="3" t="str">
        <f>CONCATENATE("00746520444")</f>
        <v>00746520444</v>
      </c>
      <c r="O79" s="3" t="s">
        <v>154</v>
      </c>
      <c r="P79" s="3" t="s">
        <v>36</v>
      </c>
      <c r="Q79" s="3"/>
      <c r="R79" s="4">
        <v>45965</v>
      </c>
      <c r="S79" s="3" t="s">
        <v>37</v>
      </c>
      <c r="T79" s="3" t="s">
        <v>36</v>
      </c>
      <c r="U79" s="3" t="s">
        <v>38</v>
      </c>
      <c r="V79" s="5">
        <v>4446.07</v>
      </c>
      <c r="W79" s="5">
        <v>1889.58</v>
      </c>
      <c r="X79" s="5">
        <v>1789.54</v>
      </c>
      <c r="Y79" s="3">
        <v>766.95</v>
      </c>
    </row>
    <row r="80" spans="1:25" ht="36.75" x14ac:dyDescent="0.25">
      <c r="A80" s="3" t="s">
        <v>26</v>
      </c>
      <c r="B80" s="3" t="s">
        <v>27</v>
      </c>
      <c r="C80" s="3" t="s">
        <v>28</v>
      </c>
      <c r="D80" s="3" t="s">
        <v>89</v>
      </c>
      <c r="E80" s="3" t="s">
        <v>155</v>
      </c>
      <c r="F80" s="3" t="s">
        <v>91</v>
      </c>
      <c r="G80" s="3" t="s">
        <v>155</v>
      </c>
      <c r="H80" s="3" t="s">
        <v>42</v>
      </c>
      <c r="I80" s="3">
        <v>2025</v>
      </c>
      <c r="J80" s="3" t="str">
        <f>CONCATENATE("54810437019")</f>
        <v>54810437019</v>
      </c>
      <c r="K80" s="3" t="s">
        <v>33</v>
      </c>
      <c r="L80" s="3"/>
      <c r="M80" s="3" t="s">
        <v>34</v>
      </c>
      <c r="N80" s="3" t="str">
        <f>CONCATENATE("00744160433")</f>
        <v>00744160433</v>
      </c>
      <c r="O80" s="3" t="s">
        <v>156</v>
      </c>
      <c r="P80" s="3" t="s">
        <v>36</v>
      </c>
      <c r="Q80" s="3"/>
      <c r="R80" s="4">
        <v>45965</v>
      </c>
      <c r="S80" s="3" t="s">
        <v>37</v>
      </c>
      <c r="T80" s="3" t="s">
        <v>36</v>
      </c>
      <c r="U80" s="3" t="s">
        <v>38</v>
      </c>
      <c r="V80" s="5">
        <v>2928.28</v>
      </c>
      <c r="W80" s="5">
        <v>1244.52</v>
      </c>
      <c r="X80" s="5">
        <v>1178.6300000000001</v>
      </c>
      <c r="Y80" s="3">
        <v>505.13</v>
      </c>
    </row>
    <row r="81" spans="1:25" ht="60.75" x14ac:dyDescent="0.25">
      <c r="A81" s="3" t="s">
        <v>26</v>
      </c>
      <c r="B81" s="3" t="s">
        <v>27</v>
      </c>
      <c r="C81" s="3" t="s">
        <v>28</v>
      </c>
      <c r="D81" s="3" t="s">
        <v>29</v>
      </c>
      <c r="E81" s="3" t="s">
        <v>44</v>
      </c>
      <c r="F81" s="3" t="s">
        <v>31</v>
      </c>
      <c r="G81" s="3" t="s">
        <v>44</v>
      </c>
      <c r="H81" s="3" t="s">
        <v>45</v>
      </c>
      <c r="I81" s="3">
        <v>2025</v>
      </c>
      <c r="J81" s="3" t="str">
        <f>CONCATENATE("54810505997")</f>
        <v>54810505997</v>
      </c>
      <c r="K81" s="3" t="s">
        <v>33</v>
      </c>
      <c r="L81" s="3"/>
      <c r="M81" s="3" t="s">
        <v>34</v>
      </c>
      <c r="N81" s="3" t="str">
        <f>CONCATENATE("NGLCLD69E17G516V")</f>
        <v>NGLCLD69E17G516V</v>
      </c>
      <c r="O81" s="3" t="s">
        <v>157</v>
      </c>
      <c r="P81" s="3" t="s">
        <v>36</v>
      </c>
      <c r="Q81" s="3"/>
      <c r="R81" s="4">
        <v>45965</v>
      </c>
      <c r="S81" s="3" t="s">
        <v>37</v>
      </c>
      <c r="T81" s="3" t="s">
        <v>36</v>
      </c>
      <c r="U81" s="3" t="s">
        <v>38</v>
      </c>
      <c r="V81" s="5">
        <v>3363.31</v>
      </c>
      <c r="W81" s="5">
        <v>1429.41</v>
      </c>
      <c r="X81" s="5">
        <v>1353.73</v>
      </c>
      <c r="Y81" s="3">
        <v>580.16999999999996</v>
      </c>
    </row>
    <row r="82" spans="1:25" ht="60.75" x14ac:dyDescent="0.25">
      <c r="A82" s="3" t="s">
        <v>26</v>
      </c>
      <c r="B82" s="3" t="s">
        <v>27</v>
      </c>
      <c r="C82" s="3" t="s">
        <v>28</v>
      </c>
      <c r="D82" s="3" t="s">
        <v>29</v>
      </c>
      <c r="E82" s="3" t="s">
        <v>74</v>
      </c>
      <c r="F82" s="3" t="s">
        <v>31</v>
      </c>
      <c r="G82" s="3" t="s">
        <v>74</v>
      </c>
      <c r="H82" s="3" t="s">
        <v>68</v>
      </c>
      <c r="I82" s="3">
        <v>2025</v>
      </c>
      <c r="J82" s="3" t="str">
        <f>CONCATENATE("54810660776")</f>
        <v>54810660776</v>
      </c>
      <c r="K82" s="3" t="s">
        <v>33</v>
      </c>
      <c r="L82" s="3"/>
      <c r="M82" s="3" t="s">
        <v>34</v>
      </c>
      <c r="N82" s="3" t="str">
        <f>CONCATENATE("LGIMRC66E25G479J")</f>
        <v>LGIMRC66E25G479J</v>
      </c>
      <c r="O82" s="3" t="s">
        <v>158</v>
      </c>
      <c r="P82" s="3" t="s">
        <v>36</v>
      </c>
      <c r="Q82" s="3"/>
      <c r="R82" s="4">
        <v>45965</v>
      </c>
      <c r="S82" s="3" t="s">
        <v>37</v>
      </c>
      <c r="T82" s="3" t="s">
        <v>36</v>
      </c>
      <c r="U82" s="3" t="s">
        <v>38</v>
      </c>
      <c r="V82" s="5">
        <v>3918.53</v>
      </c>
      <c r="W82" s="5">
        <v>1665.38</v>
      </c>
      <c r="X82" s="5">
        <v>1577.21</v>
      </c>
      <c r="Y82" s="3">
        <v>675.94</v>
      </c>
    </row>
    <row r="83" spans="1:25" ht="60.75" x14ac:dyDescent="0.25">
      <c r="A83" s="3" t="s">
        <v>26</v>
      </c>
      <c r="B83" s="3" t="s">
        <v>27</v>
      </c>
      <c r="C83" s="3" t="s">
        <v>28</v>
      </c>
      <c r="D83" s="3" t="s">
        <v>29</v>
      </c>
      <c r="E83" s="3" t="s">
        <v>64</v>
      </c>
      <c r="F83" s="3" t="s">
        <v>31</v>
      </c>
      <c r="G83" s="3" t="s">
        <v>64</v>
      </c>
      <c r="H83" s="3" t="s">
        <v>42</v>
      </c>
      <c r="I83" s="3">
        <v>2025</v>
      </c>
      <c r="J83" s="3" t="str">
        <f>CONCATENATE("54810445988")</f>
        <v>54810445988</v>
      </c>
      <c r="K83" s="3" t="s">
        <v>33</v>
      </c>
      <c r="L83" s="3"/>
      <c r="M83" s="3" t="s">
        <v>34</v>
      </c>
      <c r="N83" s="3" t="str">
        <f>CONCATENATE("BVLSML85L02D042O")</f>
        <v>BVLSML85L02D042O</v>
      </c>
      <c r="O83" s="3" t="s">
        <v>159</v>
      </c>
      <c r="P83" s="3" t="s">
        <v>36</v>
      </c>
      <c r="Q83" s="3"/>
      <c r="R83" s="4">
        <v>45965</v>
      </c>
      <c r="S83" s="3" t="s">
        <v>37</v>
      </c>
      <c r="T83" s="3" t="s">
        <v>36</v>
      </c>
      <c r="U83" s="3" t="s">
        <v>38</v>
      </c>
      <c r="V83" s="5">
        <v>2206.41</v>
      </c>
      <c r="W83" s="3">
        <v>937.72</v>
      </c>
      <c r="X83" s="3">
        <v>888.08</v>
      </c>
      <c r="Y83" s="3">
        <v>380.61</v>
      </c>
    </row>
    <row r="84" spans="1:25" ht="36.75" x14ac:dyDescent="0.25">
      <c r="A84" s="3" t="s">
        <v>26</v>
      </c>
      <c r="B84" s="3" t="s">
        <v>27</v>
      </c>
      <c r="C84" s="3" t="s">
        <v>28</v>
      </c>
      <c r="D84" s="3" t="s">
        <v>57</v>
      </c>
      <c r="E84" s="3" t="s">
        <v>61</v>
      </c>
      <c r="F84" s="3" t="s">
        <v>59</v>
      </c>
      <c r="G84" s="3" t="s">
        <v>61</v>
      </c>
      <c r="H84" s="3" t="s">
        <v>42</v>
      </c>
      <c r="I84" s="3">
        <v>2025</v>
      </c>
      <c r="J84" s="3" t="str">
        <f>CONCATENATE("54810049459")</f>
        <v>54810049459</v>
      </c>
      <c r="K84" s="3" t="s">
        <v>33</v>
      </c>
      <c r="L84" s="3"/>
      <c r="M84" s="3" t="s">
        <v>34</v>
      </c>
      <c r="N84" s="3" t="str">
        <f>CONCATENATE("01840370439")</f>
        <v>01840370439</v>
      </c>
      <c r="O84" s="3" t="s">
        <v>160</v>
      </c>
      <c r="P84" s="3" t="s">
        <v>36</v>
      </c>
      <c r="Q84" s="3"/>
      <c r="R84" s="4">
        <v>45965</v>
      </c>
      <c r="S84" s="3" t="s">
        <v>37</v>
      </c>
      <c r="T84" s="3" t="s">
        <v>36</v>
      </c>
      <c r="U84" s="3" t="s">
        <v>38</v>
      </c>
      <c r="V84" s="5">
        <v>5100.3999999999996</v>
      </c>
      <c r="W84" s="5">
        <v>2167.67</v>
      </c>
      <c r="X84" s="5">
        <v>2052.91</v>
      </c>
      <c r="Y84" s="3">
        <v>879.82</v>
      </c>
    </row>
    <row r="85" spans="1:25" ht="72.75" x14ac:dyDescent="0.25">
      <c r="A85" s="3" t="s">
        <v>26</v>
      </c>
      <c r="B85" s="3" t="s">
        <v>27</v>
      </c>
      <c r="C85" s="3" t="s">
        <v>28</v>
      </c>
      <c r="D85" s="3" t="s">
        <v>115</v>
      </c>
      <c r="E85" s="3" t="s">
        <v>129</v>
      </c>
      <c r="F85" s="3" t="s">
        <v>115</v>
      </c>
      <c r="G85" s="3" t="s">
        <v>129</v>
      </c>
      <c r="H85" s="3" t="s">
        <v>45</v>
      </c>
      <c r="I85" s="3">
        <v>2025</v>
      </c>
      <c r="J85" s="3" t="str">
        <f>CONCATENATE("54810144805")</f>
        <v>54810144805</v>
      </c>
      <c r="K85" s="3" t="s">
        <v>33</v>
      </c>
      <c r="L85" s="3"/>
      <c r="M85" s="3" t="s">
        <v>34</v>
      </c>
      <c r="N85" s="3" t="str">
        <f>CONCATENATE("CTLMTT89H13D542V")</f>
        <v>CTLMTT89H13D542V</v>
      </c>
      <c r="O85" s="3" t="s">
        <v>161</v>
      </c>
      <c r="P85" s="3" t="s">
        <v>36</v>
      </c>
      <c r="Q85" s="3"/>
      <c r="R85" s="4">
        <v>45965</v>
      </c>
      <c r="S85" s="3" t="s">
        <v>37</v>
      </c>
      <c r="T85" s="3" t="s">
        <v>36</v>
      </c>
      <c r="U85" s="3" t="s">
        <v>38</v>
      </c>
      <c r="V85" s="5">
        <v>2728.4</v>
      </c>
      <c r="W85" s="5">
        <v>1159.57</v>
      </c>
      <c r="X85" s="5">
        <v>1098.18</v>
      </c>
      <c r="Y85" s="3">
        <v>470.65</v>
      </c>
    </row>
    <row r="86" spans="1:25" ht="60.75" x14ac:dyDescent="0.25">
      <c r="A86" s="3" t="s">
        <v>26</v>
      </c>
      <c r="B86" s="3" t="s">
        <v>27</v>
      </c>
      <c r="C86" s="3" t="s">
        <v>28</v>
      </c>
      <c r="D86" s="3" t="s">
        <v>115</v>
      </c>
      <c r="E86" s="3" t="s">
        <v>129</v>
      </c>
      <c r="F86" s="3" t="s">
        <v>115</v>
      </c>
      <c r="G86" s="3" t="s">
        <v>129</v>
      </c>
      <c r="H86" s="3" t="s">
        <v>45</v>
      </c>
      <c r="I86" s="3">
        <v>2025</v>
      </c>
      <c r="J86" s="3" t="str">
        <f>CONCATENATE("54810141413")</f>
        <v>54810141413</v>
      </c>
      <c r="K86" s="3" t="s">
        <v>33</v>
      </c>
      <c r="L86" s="3"/>
      <c r="M86" s="3" t="s">
        <v>34</v>
      </c>
      <c r="N86" s="3" t="str">
        <f>CONCATENATE("VGNGFR64P08G516S")</f>
        <v>VGNGFR64P08G516S</v>
      </c>
      <c r="O86" s="3" t="s">
        <v>162</v>
      </c>
      <c r="P86" s="3" t="s">
        <v>36</v>
      </c>
      <c r="Q86" s="3"/>
      <c r="R86" s="4">
        <v>45965</v>
      </c>
      <c r="S86" s="3" t="s">
        <v>37</v>
      </c>
      <c r="T86" s="3" t="s">
        <v>36</v>
      </c>
      <c r="U86" s="3" t="s">
        <v>38</v>
      </c>
      <c r="V86" s="5">
        <v>5256.71</v>
      </c>
      <c r="W86" s="5">
        <v>2234.1</v>
      </c>
      <c r="X86" s="5">
        <v>2115.83</v>
      </c>
      <c r="Y86" s="3">
        <v>906.78</v>
      </c>
    </row>
    <row r="87" spans="1:25" ht="60.75" x14ac:dyDescent="0.25">
      <c r="A87" s="3" t="s">
        <v>26</v>
      </c>
      <c r="B87" s="3" t="s">
        <v>27</v>
      </c>
      <c r="C87" s="3" t="s">
        <v>28</v>
      </c>
      <c r="D87" s="3" t="s">
        <v>57</v>
      </c>
      <c r="E87" s="3" t="s">
        <v>61</v>
      </c>
      <c r="F87" s="3" t="s">
        <v>59</v>
      </c>
      <c r="G87" s="3" t="s">
        <v>61</v>
      </c>
      <c r="H87" s="3" t="s">
        <v>42</v>
      </c>
      <c r="I87" s="3">
        <v>2025</v>
      </c>
      <c r="J87" s="3" t="str">
        <f>CONCATENATE("54810072998")</f>
        <v>54810072998</v>
      </c>
      <c r="K87" s="3" t="s">
        <v>33</v>
      </c>
      <c r="L87" s="3"/>
      <c r="M87" s="3" t="s">
        <v>34</v>
      </c>
      <c r="N87" s="3" t="str">
        <f>CONCATENATE("PRGGPP47B55H501J")</f>
        <v>PRGGPP47B55H501J</v>
      </c>
      <c r="O87" s="3" t="s">
        <v>163</v>
      </c>
      <c r="P87" s="3" t="s">
        <v>36</v>
      </c>
      <c r="Q87" s="3"/>
      <c r="R87" s="4">
        <v>45965</v>
      </c>
      <c r="S87" s="3" t="s">
        <v>37</v>
      </c>
      <c r="T87" s="3" t="s">
        <v>36</v>
      </c>
      <c r="U87" s="3" t="s">
        <v>38</v>
      </c>
      <c r="V87" s="5">
        <v>3010.81</v>
      </c>
      <c r="W87" s="5">
        <v>1279.5899999999999</v>
      </c>
      <c r="X87" s="5">
        <v>1211.8499999999999</v>
      </c>
      <c r="Y87" s="3">
        <v>519.37</v>
      </c>
    </row>
    <row r="88" spans="1:25" ht="36.75" x14ac:dyDescent="0.25">
      <c r="A88" s="3" t="s">
        <v>26</v>
      </c>
      <c r="B88" s="3" t="s">
        <v>27</v>
      </c>
      <c r="C88" s="3" t="s">
        <v>28</v>
      </c>
      <c r="D88" s="3" t="s">
        <v>57</v>
      </c>
      <c r="E88" s="3" t="s">
        <v>61</v>
      </c>
      <c r="F88" s="3" t="s">
        <v>59</v>
      </c>
      <c r="G88" s="3" t="s">
        <v>61</v>
      </c>
      <c r="H88" s="3" t="s">
        <v>42</v>
      </c>
      <c r="I88" s="3">
        <v>2025</v>
      </c>
      <c r="J88" s="3" t="str">
        <f>CONCATENATE("54810069168")</f>
        <v>54810069168</v>
      </c>
      <c r="K88" s="3" t="s">
        <v>33</v>
      </c>
      <c r="L88" s="3"/>
      <c r="M88" s="3" t="s">
        <v>34</v>
      </c>
      <c r="N88" s="3" t="str">
        <f>CONCATENATE("01885930436")</f>
        <v>01885930436</v>
      </c>
      <c r="O88" s="3" t="s">
        <v>164</v>
      </c>
      <c r="P88" s="3" t="s">
        <v>36</v>
      </c>
      <c r="Q88" s="3"/>
      <c r="R88" s="4">
        <v>45965</v>
      </c>
      <c r="S88" s="3" t="s">
        <v>37</v>
      </c>
      <c r="T88" s="3" t="s">
        <v>36</v>
      </c>
      <c r="U88" s="3" t="s">
        <v>38</v>
      </c>
      <c r="V88" s="5">
        <v>3404.48</v>
      </c>
      <c r="W88" s="5">
        <v>1446.9</v>
      </c>
      <c r="X88" s="5">
        <v>1370.3</v>
      </c>
      <c r="Y88" s="3">
        <v>587.28</v>
      </c>
    </row>
    <row r="89" spans="1:25" ht="60.75" x14ac:dyDescent="0.25">
      <c r="A89" s="3" t="s">
        <v>26</v>
      </c>
      <c r="B89" s="3" t="s">
        <v>27</v>
      </c>
      <c r="C89" s="3" t="s">
        <v>28</v>
      </c>
      <c r="D89" s="3" t="s">
        <v>115</v>
      </c>
      <c r="E89" s="3" t="s">
        <v>129</v>
      </c>
      <c r="F89" s="3" t="s">
        <v>115</v>
      </c>
      <c r="G89" s="3" t="s">
        <v>129</v>
      </c>
      <c r="H89" s="3" t="s">
        <v>45</v>
      </c>
      <c r="I89" s="3">
        <v>2025</v>
      </c>
      <c r="J89" s="3" t="str">
        <f>CONCATENATE("54810141728")</f>
        <v>54810141728</v>
      </c>
      <c r="K89" s="3" t="s">
        <v>33</v>
      </c>
      <c r="L89" s="3"/>
      <c r="M89" s="3" t="s">
        <v>34</v>
      </c>
      <c r="N89" s="3" t="str">
        <f>CONCATENATE("GLNMRK80E14D542J")</f>
        <v>GLNMRK80E14D542J</v>
      </c>
      <c r="O89" s="3" t="s">
        <v>165</v>
      </c>
      <c r="P89" s="3" t="s">
        <v>36</v>
      </c>
      <c r="Q89" s="3"/>
      <c r="R89" s="4">
        <v>45965</v>
      </c>
      <c r="S89" s="3" t="s">
        <v>37</v>
      </c>
      <c r="T89" s="3" t="s">
        <v>36</v>
      </c>
      <c r="U89" s="3" t="s">
        <v>38</v>
      </c>
      <c r="V89" s="5">
        <v>2488.85</v>
      </c>
      <c r="W89" s="5">
        <v>1057.76</v>
      </c>
      <c r="X89" s="5">
        <v>1001.76</v>
      </c>
      <c r="Y89" s="3">
        <v>429.33</v>
      </c>
    </row>
    <row r="90" spans="1:25" ht="60.75" x14ac:dyDescent="0.25">
      <c r="A90" s="3" t="s">
        <v>26</v>
      </c>
      <c r="B90" s="3" t="s">
        <v>27</v>
      </c>
      <c r="C90" s="3" t="s">
        <v>28</v>
      </c>
      <c r="D90" s="3" t="s">
        <v>29</v>
      </c>
      <c r="E90" s="3" t="s">
        <v>41</v>
      </c>
      <c r="F90" s="3" t="s">
        <v>31</v>
      </c>
      <c r="G90" s="3" t="s">
        <v>41</v>
      </c>
      <c r="H90" s="3" t="s">
        <v>42</v>
      </c>
      <c r="I90" s="3">
        <v>2025</v>
      </c>
      <c r="J90" s="3" t="str">
        <f>CONCATENATE("54810080298")</f>
        <v>54810080298</v>
      </c>
      <c r="K90" s="3" t="s">
        <v>33</v>
      </c>
      <c r="L90" s="3"/>
      <c r="M90" s="3" t="s">
        <v>34</v>
      </c>
      <c r="N90" s="3" t="str">
        <f>CONCATENATE("BRCLRA67T64A252D")</f>
        <v>BRCLRA67T64A252D</v>
      </c>
      <c r="O90" s="3" t="s">
        <v>166</v>
      </c>
      <c r="P90" s="3" t="s">
        <v>36</v>
      </c>
      <c r="Q90" s="3"/>
      <c r="R90" s="4">
        <v>45965</v>
      </c>
      <c r="S90" s="3" t="s">
        <v>37</v>
      </c>
      <c r="T90" s="3" t="s">
        <v>36</v>
      </c>
      <c r="U90" s="3" t="s">
        <v>38</v>
      </c>
      <c r="V90" s="3">
        <v>291.20999999999998</v>
      </c>
      <c r="W90" s="3">
        <v>123.76</v>
      </c>
      <c r="X90" s="3">
        <v>117.21</v>
      </c>
      <c r="Y90" s="3">
        <v>50.24</v>
      </c>
    </row>
    <row r="91" spans="1:25" ht="36.75" x14ac:dyDescent="0.25">
      <c r="A91" s="3" t="s">
        <v>26</v>
      </c>
      <c r="B91" s="3" t="s">
        <v>27</v>
      </c>
      <c r="C91" s="3" t="s">
        <v>28</v>
      </c>
      <c r="D91" s="3" t="s">
        <v>57</v>
      </c>
      <c r="E91" s="3" t="s">
        <v>61</v>
      </c>
      <c r="F91" s="3" t="s">
        <v>59</v>
      </c>
      <c r="G91" s="3" t="s">
        <v>61</v>
      </c>
      <c r="H91" s="3" t="s">
        <v>45</v>
      </c>
      <c r="I91" s="3">
        <v>2025</v>
      </c>
      <c r="J91" s="3" t="str">
        <f>CONCATENATE("54810088721")</f>
        <v>54810088721</v>
      </c>
      <c r="K91" s="3" t="s">
        <v>33</v>
      </c>
      <c r="L91" s="3"/>
      <c r="M91" s="3" t="s">
        <v>34</v>
      </c>
      <c r="N91" s="3" t="str">
        <f>CONCATENATE("02063860445")</f>
        <v>02063860445</v>
      </c>
      <c r="O91" s="3" t="s">
        <v>167</v>
      </c>
      <c r="P91" s="3" t="s">
        <v>36</v>
      </c>
      <c r="Q91" s="3"/>
      <c r="R91" s="4">
        <v>45965</v>
      </c>
      <c r="S91" s="3" t="s">
        <v>37</v>
      </c>
      <c r="T91" s="3" t="s">
        <v>36</v>
      </c>
      <c r="U91" s="3" t="s">
        <v>38</v>
      </c>
      <c r="V91" s="5">
        <v>10104.02</v>
      </c>
      <c r="W91" s="5">
        <v>4294.21</v>
      </c>
      <c r="X91" s="5">
        <v>4066.87</v>
      </c>
      <c r="Y91" s="5">
        <v>1742.94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29</v>
      </c>
      <c r="E92" s="3" t="s">
        <v>64</v>
      </c>
      <c r="F92" s="3" t="s">
        <v>31</v>
      </c>
      <c r="G92" s="3" t="s">
        <v>64</v>
      </c>
      <c r="H92" s="3" t="s">
        <v>42</v>
      </c>
      <c r="I92" s="3">
        <v>2025</v>
      </c>
      <c r="J92" s="3" t="str">
        <f>CONCATENATE("54810101037")</f>
        <v>54810101037</v>
      </c>
      <c r="K92" s="3" t="s">
        <v>33</v>
      </c>
      <c r="L92" s="3"/>
      <c r="M92" s="3" t="s">
        <v>34</v>
      </c>
      <c r="N92" s="3" t="str">
        <f>CONCATENATE("CVLMNL73B18E783T")</f>
        <v>CVLMNL73B18E783T</v>
      </c>
      <c r="O92" s="3" t="s">
        <v>168</v>
      </c>
      <c r="P92" s="3" t="s">
        <v>36</v>
      </c>
      <c r="Q92" s="3"/>
      <c r="R92" s="4">
        <v>45965</v>
      </c>
      <c r="S92" s="3" t="s">
        <v>37</v>
      </c>
      <c r="T92" s="3" t="s">
        <v>36</v>
      </c>
      <c r="U92" s="3" t="s">
        <v>38</v>
      </c>
      <c r="V92" s="5">
        <v>6429.89</v>
      </c>
      <c r="W92" s="5">
        <v>2732.7</v>
      </c>
      <c r="X92" s="5">
        <v>2588.0300000000002</v>
      </c>
      <c r="Y92" s="5">
        <v>1109.1600000000001</v>
      </c>
    </row>
    <row r="93" spans="1:25" ht="60.75" x14ac:dyDescent="0.25">
      <c r="A93" s="3" t="s">
        <v>26</v>
      </c>
      <c r="B93" s="3" t="s">
        <v>27</v>
      </c>
      <c r="C93" s="3" t="s">
        <v>28</v>
      </c>
      <c r="D93" s="3" t="s">
        <v>57</v>
      </c>
      <c r="E93" s="3" t="s">
        <v>61</v>
      </c>
      <c r="F93" s="3" t="s">
        <v>59</v>
      </c>
      <c r="G93" s="3" t="s">
        <v>61</v>
      </c>
      <c r="H93" s="3" t="s">
        <v>42</v>
      </c>
      <c r="I93" s="3">
        <v>2025</v>
      </c>
      <c r="J93" s="3" t="str">
        <f>CONCATENATE("54810225281")</f>
        <v>54810225281</v>
      </c>
      <c r="K93" s="3" t="s">
        <v>33</v>
      </c>
      <c r="L93" s="3"/>
      <c r="M93" s="3" t="s">
        <v>34</v>
      </c>
      <c r="N93" s="3" t="str">
        <f>CONCATENATE("STZSMN85C22F522I")</f>
        <v>STZSMN85C22F522I</v>
      </c>
      <c r="O93" s="3" t="s">
        <v>169</v>
      </c>
      <c r="P93" s="3" t="s">
        <v>36</v>
      </c>
      <c r="Q93" s="3"/>
      <c r="R93" s="4">
        <v>45965</v>
      </c>
      <c r="S93" s="3" t="s">
        <v>37</v>
      </c>
      <c r="T93" s="3" t="s">
        <v>36</v>
      </c>
      <c r="U93" s="3" t="s">
        <v>38</v>
      </c>
      <c r="V93" s="5">
        <v>10999.4</v>
      </c>
      <c r="W93" s="5">
        <v>4674.75</v>
      </c>
      <c r="X93" s="5">
        <v>4427.26</v>
      </c>
      <c r="Y93" s="5">
        <v>1897.39</v>
      </c>
    </row>
    <row r="94" spans="1:25" ht="60.75" x14ac:dyDescent="0.25">
      <c r="A94" s="3" t="s">
        <v>26</v>
      </c>
      <c r="B94" s="3" t="s">
        <v>27</v>
      </c>
      <c r="C94" s="3" t="s">
        <v>28</v>
      </c>
      <c r="D94" s="3" t="s">
        <v>29</v>
      </c>
      <c r="E94" s="3" t="s">
        <v>53</v>
      </c>
      <c r="F94" s="3" t="s">
        <v>31</v>
      </c>
      <c r="G94" s="3" t="s">
        <v>53</v>
      </c>
      <c r="H94" s="3" t="s">
        <v>42</v>
      </c>
      <c r="I94" s="3">
        <v>2025</v>
      </c>
      <c r="J94" s="3" t="str">
        <f>CONCATENATE("54810653896")</f>
        <v>54810653896</v>
      </c>
      <c r="K94" s="3" t="s">
        <v>33</v>
      </c>
      <c r="L94" s="3"/>
      <c r="M94" s="3" t="s">
        <v>34</v>
      </c>
      <c r="N94" s="3" t="str">
        <f>CONCATENATE("TVLSLV77M48I156T")</f>
        <v>TVLSLV77M48I156T</v>
      </c>
      <c r="O94" s="3" t="s">
        <v>170</v>
      </c>
      <c r="P94" s="3" t="s">
        <v>36</v>
      </c>
      <c r="Q94" s="3"/>
      <c r="R94" s="4">
        <v>45965</v>
      </c>
      <c r="S94" s="3" t="s">
        <v>37</v>
      </c>
      <c r="T94" s="3" t="s">
        <v>36</v>
      </c>
      <c r="U94" s="3" t="s">
        <v>38</v>
      </c>
      <c r="V94" s="5">
        <v>3872.91</v>
      </c>
      <c r="W94" s="5">
        <v>1645.99</v>
      </c>
      <c r="X94" s="5">
        <v>1558.85</v>
      </c>
      <c r="Y94" s="3">
        <v>668.07</v>
      </c>
    </row>
    <row r="95" spans="1:25" ht="60.75" x14ac:dyDescent="0.25">
      <c r="A95" s="3" t="s">
        <v>26</v>
      </c>
      <c r="B95" s="3" t="s">
        <v>27</v>
      </c>
      <c r="C95" s="3" t="s">
        <v>28</v>
      </c>
      <c r="D95" s="3" t="s">
        <v>29</v>
      </c>
      <c r="E95" s="3" t="s">
        <v>74</v>
      </c>
      <c r="F95" s="3" t="s">
        <v>31</v>
      </c>
      <c r="G95" s="3" t="s">
        <v>74</v>
      </c>
      <c r="H95" s="3" t="s">
        <v>68</v>
      </c>
      <c r="I95" s="3">
        <v>2025</v>
      </c>
      <c r="J95" s="3" t="str">
        <f>CONCATENATE("54810986825")</f>
        <v>54810986825</v>
      </c>
      <c r="K95" s="3" t="s">
        <v>33</v>
      </c>
      <c r="L95" s="3"/>
      <c r="M95" s="3" t="s">
        <v>34</v>
      </c>
      <c r="N95" s="3" t="str">
        <f>CONCATENATE("FLCFRZ75D05G479W")</f>
        <v>FLCFRZ75D05G479W</v>
      </c>
      <c r="O95" s="3" t="s">
        <v>171</v>
      </c>
      <c r="P95" s="3" t="s">
        <v>36</v>
      </c>
      <c r="Q95" s="3"/>
      <c r="R95" s="4">
        <v>45965</v>
      </c>
      <c r="S95" s="3" t="s">
        <v>37</v>
      </c>
      <c r="T95" s="3" t="s">
        <v>36</v>
      </c>
      <c r="U95" s="3" t="s">
        <v>38</v>
      </c>
      <c r="V95" s="5">
        <v>4494.91</v>
      </c>
      <c r="W95" s="5">
        <v>1910.34</v>
      </c>
      <c r="X95" s="5">
        <v>1809.2</v>
      </c>
      <c r="Y95" s="3">
        <v>775.37</v>
      </c>
    </row>
    <row r="96" spans="1:25" ht="72.75" x14ac:dyDescent="0.25">
      <c r="A96" s="3" t="s">
        <v>26</v>
      </c>
      <c r="B96" s="3" t="s">
        <v>27</v>
      </c>
      <c r="C96" s="3" t="s">
        <v>28</v>
      </c>
      <c r="D96" s="3" t="s">
        <v>57</v>
      </c>
      <c r="E96" s="3" t="s">
        <v>61</v>
      </c>
      <c r="F96" s="3" t="s">
        <v>59</v>
      </c>
      <c r="G96" s="3" t="s">
        <v>61</v>
      </c>
      <c r="H96" s="3" t="s">
        <v>42</v>
      </c>
      <c r="I96" s="3">
        <v>2025</v>
      </c>
      <c r="J96" s="3" t="str">
        <f>CONCATENATE("54810138559")</f>
        <v>54810138559</v>
      </c>
      <c r="K96" s="3" t="s">
        <v>33</v>
      </c>
      <c r="L96" s="3"/>
      <c r="M96" s="3" t="s">
        <v>34</v>
      </c>
      <c r="N96" s="3" t="str">
        <f>CONCATENATE("RMDMTT87B04E783N")</f>
        <v>RMDMTT87B04E783N</v>
      </c>
      <c r="O96" s="3" t="s">
        <v>172</v>
      </c>
      <c r="P96" s="3" t="s">
        <v>36</v>
      </c>
      <c r="Q96" s="3"/>
      <c r="R96" s="4">
        <v>45965</v>
      </c>
      <c r="S96" s="3" t="s">
        <v>37</v>
      </c>
      <c r="T96" s="3" t="s">
        <v>36</v>
      </c>
      <c r="U96" s="3" t="s">
        <v>38</v>
      </c>
      <c r="V96" s="5">
        <v>9212.3799999999992</v>
      </c>
      <c r="W96" s="5">
        <v>3915.26</v>
      </c>
      <c r="X96" s="5">
        <v>3707.98</v>
      </c>
      <c r="Y96" s="5">
        <v>1589.14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57</v>
      </c>
      <c r="E97" s="3" t="s">
        <v>61</v>
      </c>
      <c r="F97" s="3" t="s">
        <v>59</v>
      </c>
      <c r="G97" s="3" t="s">
        <v>61</v>
      </c>
      <c r="H97" s="3" t="s">
        <v>42</v>
      </c>
      <c r="I97" s="3">
        <v>2025</v>
      </c>
      <c r="J97" s="3" t="str">
        <f>CONCATENATE("54810154432")</f>
        <v>54810154432</v>
      </c>
      <c r="K97" s="3" t="s">
        <v>33</v>
      </c>
      <c r="L97" s="3"/>
      <c r="M97" s="3" t="s">
        <v>34</v>
      </c>
      <c r="N97" s="3" t="str">
        <f>CONCATENATE("RMDFRZ57S29F268Z")</f>
        <v>RMDFRZ57S29F268Z</v>
      </c>
      <c r="O97" s="3" t="s">
        <v>173</v>
      </c>
      <c r="P97" s="3" t="s">
        <v>36</v>
      </c>
      <c r="Q97" s="3"/>
      <c r="R97" s="4">
        <v>45965</v>
      </c>
      <c r="S97" s="3" t="s">
        <v>37</v>
      </c>
      <c r="T97" s="3" t="s">
        <v>36</v>
      </c>
      <c r="U97" s="3" t="s">
        <v>38</v>
      </c>
      <c r="V97" s="5">
        <v>7242.2</v>
      </c>
      <c r="W97" s="5">
        <v>3077.94</v>
      </c>
      <c r="X97" s="5">
        <v>2914.99</v>
      </c>
      <c r="Y97" s="5">
        <v>1249.27</v>
      </c>
    </row>
    <row r="98" spans="1:25" ht="60.75" x14ac:dyDescent="0.25">
      <c r="A98" s="3" t="s">
        <v>26</v>
      </c>
      <c r="B98" s="3" t="s">
        <v>27</v>
      </c>
      <c r="C98" s="3" t="s">
        <v>28</v>
      </c>
      <c r="D98" s="3" t="s">
        <v>29</v>
      </c>
      <c r="E98" s="3" t="s">
        <v>64</v>
      </c>
      <c r="F98" s="3" t="s">
        <v>31</v>
      </c>
      <c r="G98" s="3" t="s">
        <v>64</v>
      </c>
      <c r="H98" s="3" t="s">
        <v>42</v>
      </c>
      <c r="I98" s="3">
        <v>2025</v>
      </c>
      <c r="J98" s="3" t="str">
        <f>CONCATENATE("54810179850")</f>
        <v>54810179850</v>
      </c>
      <c r="K98" s="3" t="s">
        <v>33</v>
      </c>
      <c r="L98" s="3"/>
      <c r="M98" s="3" t="s">
        <v>34</v>
      </c>
      <c r="N98" s="3" t="str">
        <f>CONCATENATE("FRTGDE37P25F268Y")</f>
        <v>FRTGDE37P25F268Y</v>
      </c>
      <c r="O98" s="3" t="s">
        <v>174</v>
      </c>
      <c r="P98" s="3" t="s">
        <v>36</v>
      </c>
      <c r="Q98" s="3"/>
      <c r="R98" s="4">
        <v>45965</v>
      </c>
      <c r="S98" s="3" t="s">
        <v>37</v>
      </c>
      <c r="T98" s="3" t="s">
        <v>36</v>
      </c>
      <c r="U98" s="3" t="s">
        <v>38</v>
      </c>
      <c r="V98" s="5">
        <v>2528.09</v>
      </c>
      <c r="W98" s="5">
        <v>1074.44</v>
      </c>
      <c r="X98" s="5">
        <v>1017.56</v>
      </c>
      <c r="Y98" s="3">
        <v>436.09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57</v>
      </c>
      <c r="E99" s="3" t="s">
        <v>61</v>
      </c>
      <c r="F99" s="3" t="s">
        <v>59</v>
      </c>
      <c r="G99" s="3" t="s">
        <v>61</v>
      </c>
      <c r="H99" s="3" t="s">
        <v>42</v>
      </c>
      <c r="I99" s="3">
        <v>2025</v>
      </c>
      <c r="J99" s="3" t="str">
        <f>CONCATENATE("54810225687")</f>
        <v>54810225687</v>
      </c>
      <c r="K99" s="3" t="s">
        <v>33</v>
      </c>
      <c r="L99" s="3"/>
      <c r="M99" s="3" t="s">
        <v>34</v>
      </c>
      <c r="N99" s="3" t="str">
        <f>CONCATENATE("STZFRZ54E14F621U")</f>
        <v>STZFRZ54E14F621U</v>
      </c>
      <c r="O99" s="3" t="s">
        <v>175</v>
      </c>
      <c r="P99" s="3" t="s">
        <v>36</v>
      </c>
      <c r="Q99" s="3"/>
      <c r="R99" s="4">
        <v>45965</v>
      </c>
      <c r="S99" s="3" t="s">
        <v>37</v>
      </c>
      <c r="T99" s="3" t="s">
        <v>36</v>
      </c>
      <c r="U99" s="3" t="s">
        <v>38</v>
      </c>
      <c r="V99" s="5">
        <v>3873.82</v>
      </c>
      <c r="W99" s="5">
        <v>1646.37</v>
      </c>
      <c r="X99" s="5">
        <v>1559.21</v>
      </c>
      <c r="Y99" s="3">
        <v>668.24</v>
      </c>
    </row>
    <row r="100" spans="1:25" ht="60.75" x14ac:dyDescent="0.25">
      <c r="A100" s="3" t="s">
        <v>26</v>
      </c>
      <c r="B100" s="3" t="s">
        <v>27</v>
      </c>
      <c r="C100" s="3" t="s">
        <v>28</v>
      </c>
      <c r="D100" s="3" t="s">
        <v>115</v>
      </c>
      <c r="E100" s="3" t="s">
        <v>129</v>
      </c>
      <c r="F100" s="3" t="s">
        <v>115</v>
      </c>
      <c r="G100" s="3" t="s">
        <v>129</v>
      </c>
      <c r="H100" s="3" t="s">
        <v>45</v>
      </c>
      <c r="I100" s="3">
        <v>2025</v>
      </c>
      <c r="J100" s="3" t="str">
        <f>CONCATENATE("54810247335")</f>
        <v>54810247335</v>
      </c>
      <c r="K100" s="3" t="s">
        <v>33</v>
      </c>
      <c r="L100" s="3"/>
      <c r="M100" s="3" t="s">
        <v>34</v>
      </c>
      <c r="N100" s="3" t="str">
        <f>CONCATENATE("PSQMRC65L13F415F")</f>
        <v>PSQMRC65L13F415F</v>
      </c>
      <c r="O100" s="3" t="s">
        <v>176</v>
      </c>
      <c r="P100" s="3" t="s">
        <v>36</v>
      </c>
      <c r="Q100" s="3"/>
      <c r="R100" s="4">
        <v>45965</v>
      </c>
      <c r="S100" s="3" t="s">
        <v>37</v>
      </c>
      <c r="T100" s="3" t="s">
        <v>36</v>
      </c>
      <c r="U100" s="3" t="s">
        <v>38</v>
      </c>
      <c r="V100" s="5">
        <v>4530.25</v>
      </c>
      <c r="W100" s="5">
        <v>1925.36</v>
      </c>
      <c r="X100" s="5">
        <v>1823.43</v>
      </c>
      <c r="Y100" s="3">
        <v>781.46</v>
      </c>
    </row>
    <row r="101" spans="1:25" ht="72.75" x14ac:dyDescent="0.25">
      <c r="A101" s="3" t="s">
        <v>26</v>
      </c>
      <c r="B101" s="3" t="s">
        <v>27</v>
      </c>
      <c r="C101" s="3" t="s">
        <v>28</v>
      </c>
      <c r="D101" s="3" t="s">
        <v>29</v>
      </c>
      <c r="E101" s="3" t="s">
        <v>51</v>
      </c>
      <c r="F101" s="3" t="s">
        <v>31</v>
      </c>
      <c r="G101" s="3" t="s">
        <v>51</v>
      </c>
      <c r="H101" s="3" t="s">
        <v>42</v>
      </c>
      <c r="I101" s="3">
        <v>2025</v>
      </c>
      <c r="J101" s="3" t="str">
        <f>CONCATENATE("54810245339")</f>
        <v>54810245339</v>
      </c>
      <c r="K101" s="3" t="s">
        <v>33</v>
      </c>
      <c r="L101" s="3"/>
      <c r="M101" s="3" t="s">
        <v>34</v>
      </c>
      <c r="N101" s="3" t="str">
        <f>CONCATENATE("QTTGPP59A11H211W")</f>
        <v>QTTGPP59A11H211W</v>
      </c>
      <c r="O101" s="3" t="s">
        <v>177</v>
      </c>
      <c r="P101" s="3" t="s">
        <v>36</v>
      </c>
      <c r="Q101" s="3"/>
      <c r="R101" s="4">
        <v>45965</v>
      </c>
      <c r="S101" s="3" t="s">
        <v>37</v>
      </c>
      <c r="T101" s="3" t="s">
        <v>36</v>
      </c>
      <c r="U101" s="3" t="s">
        <v>38</v>
      </c>
      <c r="V101" s="5">
        <v>10865.98</v>
      </c>
      <c r="W101" s="5">
        <v>4618.04</v>
      </c>
      <c r="X101" s="5">
        <v>4373.5600000000004</v>
      </c>
      <c r="Y101" s="5">
        <v>1874.38</v>
      </c>
    </row>
    <row r="102" spans="1:25" ht="60.75" x14ac:dyDescent="0.25">
      <c r="A102" s="3" t="s">
        <v>26</v>
      </c>
      <c r="B102" s="3" t="s">
        <v>27</v>
      </c>
      <c r="C102" s="3" t="s">
        <v>28</v>
      </c>
      <c r="D102" s="3" t="s">
        <v>29</v>
      </c>
      <c r="E102" s="3" t="s">
        <v>44</v>
      </c>
      <c r="F102" s="3" t="s">
        <v>31</v>
      </c>
      <c r="G102" s="3" t="s">
        <v>44</v>
      </c>
      <c r="H102" s="3" t="s">
        <v>45</v>
      </c>
      <c r="I102" s="3">
        <v>2025</v>
      </c>
      <c r="J102" s="3" t="str">
        <f>CONCATENATE("54810283660")</f>
        <v>54810283660</v>
      </c>
      <c r="K102" s="3" t="s">
        <v>33</v>
      </c>
      <c r="L102" s="3"/>
      <c r="M102" s="3" t="s">
        <v>34</v>
      </c>
      <c r="N102" s="3" t="str">
        <f>CONCATENATE("MSTCHR92E55G388U")</f>
        <v>MSTCHR92E55G388U</v>
      </c>
      <c r="O102" s="3" t="s">
        <v>178</v>
      </c>
      <c r="P102" s="3" t="s">
        <v>36</v>
      </c>
      <c r="Q102" s="3"/>
      <c r="R102" s="4">
        <v>45965</v>
      </c>
      <c r="S102" s="3" t="s">
        <v>37</v>
      </c>
      <c r="T102" s="3" t="s">
        <v>36</v>
      </c>
      <c r="U102" s="3" t="s">
        <v>38</v>
      </c>
      <c r="V102" s="5">
        <v>4271.99</v>
      </c>
      <c r="W102" s="5">
        <v>1815.6</v>
      </c>
      <c r="X102" s="5">
        <v>1719.48</v>
      </c>
      <c r="Y102" s="3">
        <v>736.91</v>
      </c>
    </row>
    <row r="103" spans="1:25" ht="60.75" x14ac:dyDescent="0.25">
      <c r="A103" s="3" t="s">
        <v>26</v>
      </c>
      <c r="B103" s="3" t="s">
        <v>27</v>
      </c>
      <c r="C103" s="3" t="s">
        <v>28</v>
      </c>
      <c r="D103" s="3" t="s">
        <v>29</v>
      </c>
      <c r="E103" s="3" t="s">
        <v>149</v>
      </c>
      <c r="F103" s="3" t="s">
        <v>31</v>
      </c>
      <c r="G103" s="3" t="s">
        <v>149</v>
      </c>
      <c r="H103" s="3" t="s">
        <v>42</v>
      </c>
      <c r="I103" s="3">
        <v>2025</v>
      </c>
      <c r="J103" s="3" t="str">
        <f>CONCATENATE("54810531936")</f>
        <v>54810531936</v>
      </c>
      <c r="K103" s="3" t="s">
        <v>33</v>
      </c>
      <c r="L103" s="3"/>
      <c r="M103" s="3" t="s">
        <v>34</v>
      </c>
      <c r="N103" s="3" t="str">
        <f>CONCATENATE("SPRLRD94L03E388B")</f>
        <v>SPRLRD94L03E388B</v>
      </c>
      <c r="O103" s="3" t="s">
        <v>179</v>
      </c>
      <c r="P103" s="3" t="s">
        <v>36</v>
      </c>
      <c r="Q103" s="3"/>
      <c r="R103" s="4">
        <v>45965</v>
      </c>
      <c r="S103" s="3" t="s">
        <v>37</v>
      </c>
      <c r="T103" s="3" t="s">
        <v>36</v>
      </c>
      <c r="U103" s="3" t="s">
        <v>38</v>
      </c>
      <c r="V103" s="5">
        <v>3928.88</v>
      </c>
      <c r="W103" s="5">
        <v>1669.77</v>
      </c>
      <c r="X103" s="5">
        <v>1581.37</v>
      </c>
      <c r="Y103" s="3">
        <v>677.74</v>
      </c>
    </row>
    <row r="104" spans="1:25" ht="60.75" x14ac:dyDescent="0.25">
      <c r="A104" s="3" t="s">
        <v>26</v>
      </c>
      <c r="B104" s="3" t="s">
        <v>27</v>
      </c>
      <c r="C104" s="3" t="s">
        <v>28</v>
      </c>
      <c r="D104" s="3" t="s">
        <v>29</v>
      </c>
      <c r="E104" s="3" t="s">
        <v>149</v>
      </c>
      <c r="F104" s="3" t="s">
        <v>31</v>
      </c>
      <c r="G104" s="3" t="s">
        <v>149</v>
      </c>
      <c r="H104" s="3" t="s">
        <v>42</v>
      </c>
      <c r="I104" s="3">
        <v>2025</v>
      </c>
      <c r="J104" s="3" t="str">
        <f>CONCATENATE("54810824117")</f>
        <v>54810824117</v>
      </c>
      <c r="K104" s="3" t="s">
        <v>33</v>
      </c>
      <c r="L104" s="3"/>
      <c r="M104" s="3" t="s">
        <v>34</v>
      </c>
      <c r="N104" s="3" t="str">
        <f>CONCATENATE("BNCJLO93L20E388K")</f>
        <v>BNCJLO93L20E388K</v>
      </c>
      <c r="O104" s="3" t="s">
        <v>180</v>
      </c>
      <c r="P104" s="3" t="s">
        <v>36</v>
      </c>
      <c r="Q104" s="3"/>
      <c r="R104" s="4">
        <v>45965</v>
      </c>
      <c r="S104" s="3" t="s">
        <v>37</v>
      </c>
      <c r="T104" s="3" t="s">
        <v>36</v>
      </c>
      <c r="U104" s="3" t="s">
        <v>38</v>
      </c>
      <c r="V104" s="5">
        <v>35317.32</v>
      </c>
      <c r="W104" s="5">
        <v>15009.86</v>
      </c>
      <c r="X104" s="5">
        <v>14215.22</v>
      </c>
      <c r="Y104" s="5">
        <v>6092.24</v>
      </c>
    </row>
    <row r="105" spans="1:25" ht="60.75" x14ac:dyDescent="0.25">
      <c r="A105" s="3" t="s">
        <v>26</v>
      </c>
      <c r="B105" s="3" t="s">
        <v>27</v>
      </c>
      <c r="C105" s="3" t="s">
        <v>28</v>
      </c>
      <c r="D105" s="3" t="s">
        <v>29</v>
      </c>
      <c r="E105" s="3" t="s">
        <v>51</v>
      </c>
      <c r="F105" s="3" t="s">
        <v>31</v>
      </c>
      <c r="G105" s="3" t="s">
        <v>51</v>
      </c>
      <c r="H105" s="3" t="s">
        <v>42</v>
      </c>
      <c r="I105" s="3">
        <v>2025</v>
      </c>
      <c r="J105" s="3" t="str">
        <f>CONCATENATE("54810869955")</f>
        <v>54810869955</v>
      </c>
      <c r="K105" s="3" t="s">
        <v>33</v>
      </c>
      <c r="L105" s="3"/>
      <c r="M105" s="3" t="s">
        <v>34</v>
      </c>
      <c r="N105" s="3" t="str">
        <f>CONCATENATE("GZZFNC68P12H211F")</f>
        <v>GZZFNC68P12H211F</v>
      </c>
      <c r="O105" s="3" t="s">
        <v>181</v>
      </c>
      <c r="P105" s="3" t="s">
        <v>36</v>
      </c>
      <c r="Q105" s="3"/>
      <c r="R105" s="4">
        <v>45965</v>
      </c>
      <c r="S105" s="3" t="s">
        <v>37</v>
      </c>
      <c r="T105" s="3" t="s">
        <v>36</v>
      </c>
      <c r="U105" s="3" t="s">
        <v>38</v>
      </c>
      <c r="V105" s="5">
        <v>12656.1</v>
      </c>
      <c r="W105" s="5">
        <v>5378.84</v>
      </c>
      <c r="X105" s="5">
        <v>5094.08</v>
      </c>
      <c r="Y105" s="5">
        <v>2183.1799999999998</v>
      </c>
    </row>
    <row r="106" spans="1:25" ht="36.75" x14ac:dyDescent="0.25">
      <c r="A106" s="3" t="s">
        <v>26</v>
      </c>
      <c r="B106" s="3" t="s">
        <v>27</v>
      </c>
      <c r="C106" s="3" t="s">
        <v>28</v>
      </c>
      <c r="D106" s="3" t="s">
        <v>29</v>
      </c>
      <c r="E106" s="3" t="s">
        <v>51</v>
      </c>
      <c r="F106" s="3" t="s">
        <v>31</v>
      </c>
      <c r="G106" s="3" t="s">
        <v>51</v>
      </c>
      <c r="H106" s="3" t="s">
        <v>42</v>
      </c>
      <c r="I106" s="3">
        <v>2025</v>
      </c>
      <c r="J106" s="3" t="str">
        <f>CONCATENATE("54810857935")</f>
        <v>54810857935</v>
      </c>
      <c r="K106" s="3" t="s">
        <v>33</v>
      </c>
      <c r="L106" s="3"/>
      <c r="M106" s="3" t="s">
        <v>34</v>
      </c>
      <c r="N106" s="3" t="str">
        <f>CONCATENATE("01291590436")</f>
        <v>01291590436</v>
      </c>
      <c r="O106" s="3" t="s">
        <v>182</v>
      </c>
      <c r="P106" s="3" t="s">
        <v>36</v>
      </c>
      <c r="Q106" s="3"/>
      <c r="R106" s="4">
        <v>45965</v>
      </c>
      <c r="S106" s="3" t="s">
        <v>37</v>
      </c>
      <c r="T106" s="3" t="s">
        <v>36</v>
      </c>
      <c r="U106" s="3" t="s">
        <v>38</v>
      </c>
      <c r="V106" s="5">
        <v>12722.9</v>
      </c>
      <c r="W106" s="5">
        <v>5407.23</v>
      </c>
      <c r="X106" s="5">
        <v>5120.97</v>
      </c>
      <c r="Y106" s="5">
        <v>2194.6999999999998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29</v>
      </c>
      <c r="E107" s="3" t="s">
        <v>64</v>
      </c>
      <c r="F107" s="3" t="s">
        <v>31</v>
      </c>
      <c r="G107" s="3" t="s">
        <v>64</v>
      </c>
      <c r="H107" s="3" t="s">
        <v>42</v>
      </c>
      <c r="I107" s="3">
        <v>2025</v>
      </c>
      <c r="J107" s="3" t="str">
        <f>CONCATENATE("54810347929")</f>
        <v>54810347929</v>
      </c>
      <c r="K107" s="3" t="s">
        <v>33</v>
      </c>
      <c r="L107" s="3"/>
      <c r="M107" s="3" t="s">
        <v>34</v>
      </c>
      <c r="N107" s="3" t="str">
        <f>CONCATENATE("LRNGNN80R10L366S")</f>
        <v>LRNGNN80R10L366S</v>
      </c>
      <c r="O107" s="3" t="s">
        <v>183</v>
      </c>
      <c r="P107" s="3" t="s">
        <v>36</v>
      </c>
      <c r="Q107" s="3"/>
      <c r="R107" s="4">
        <v>45965</v>
      </c>
      <c r="S107" s="3" t="s">
        <v>37</v>
      </c>
      <c r="T107" s="3" t="s">
        <v>36</v>
      </c>
      <c r="U107" s="3" t="s">
        <v>38</v>
      </c>
      <c r="V107" s="5">
        <v>4299.2700000000004</v>
      </c>
      <c r="W107" s="5">
        <v>1827.19</v>
      </c>
      <c r="X107" s="5">
        <v>1730.46</v>
      </c>
      <c r="Y107" s="3">
        <v>741.62</v>
      </c>
    </row>
    <row r="108" spans="1:25" ht="60.75" x14ac:dyDescent="0.25">
      <c r="A108" s="3" t="s">
        <v>26</v>
      </c>
      <c r="B108" s="3" t="s">
        <v>27</v>
      </c>
      <c r="C108" s="3" t="s">
        <v>28</v>
      </c>
      <c r="D108" s="3" t="s">
        <v>29</v>
      </c>
      <c r="E108" s="3" t="s">
        <v>51</v>
      </c>
      <c r="F108" s="3" t="s">
        <v>31</v>
      </c>
      <c r="G108" s="3" t="s">
        <v>51</v>
      </c>
      <c r="H108" s="3" t="s">
        <v>42</v>
      </c>
      <c r="I108" s="3">
        <v>2025</v>
      </c>
      <c r="J108" s="3" t="str">
        <f>CONCATENATE("54810882594")</f>
        <v>54810882594</v>
      </c>
      <c r="K108" s="3" t="s">
        <v>33</v>
      </c>
      <c r="L108" s="3"/>
      <c r="M108" s="3" t="s">
        <v>34</v>
      </c>
      <c r="N108" s="3" t="str">
        <f>CONCATENATE("MCHLCN56S03H211N")</f>
        <v>MCHLCN56S03H211N</v>
      </c>
      <c r="O108" s="3" t="s">
        <v>184</v>
      </c>
      <c r="P108" s="3" t="s">
        <v>36</v>
      </c>
      <c r="Q108" s="3"/>
      <c r="R108" s="4">
        <v>45965</v>
      </c>
      <c r="S108" s="3" t="s">
        <v>37</v>
      </c>
      <c r="T108" s="3" t="s">
        <v>36</v>
      </c>
      <c r="U108" s="3" t="s">
        <v>38</v>
      </c>
      <c r="V108" s="5">
        <v>7325.1</v>
      </c>
      <c r="W108" s="5">
        <v>3113.17</v>
      </c>
      <c r="X108" s="5">
        <v>2948.35</v>
      </c>
      <c r="Y108" s="5">
        <v>1263.58</v>
      </c>
    </row>
    <row r="109" spans="1:25" ht="60.75" x14ac:dyDescent="0.25">
      <c r="A109" s="3" t="s">
        <v>26</v>
      </c>
      <c r="B109" s="3" t="s">
        <v>27</v>
      </c>
      <c r="C109" s="3" t="s">
        <v>28</v>
      </c>
      <c r="D109" s="3" t="s">
        <v>29</v>
      </c>
      <c r="E109" s="3" t="s">
        <v>51</v>
      </c>
      <c r="F109" s="3" t="s">
        <v>31</v>
      </c>
      <c r="G109" s="3" t="s">
        <v>51</v>
      </c>
      <c r="H109" s="3" t="s">
        <v>42</v>
      </c>
      <c r="I109" s="3">
        <v>2025</v>
      </c>
      <c r="J109" s="3" t="str">
        <f>CONCATENATE("54810361656")</f>
        <v>54810361656</v>
      </c>
      <c r="K109" s="3" t="s">
        <v>33</v>
      </c>
      <c r="L109" s="3"/>
      <c r="M109" s="3" t="s">
        <v>34</v>
      </c>
      <c r="N109" s="3" t="str">
        <f>CONCATENATE("SVRSML78S28H211D")</f>
        <v>SVRSML78S28H211D</v>
      </c>
      <c r="O109" s="3" t="s">
        <v>185</v>
      </c>
      <c r="P109" s="3" t="s">
        <v>36</v>
      </c>
      <c r="Q109" s="3"/>
      <c r="R109" s="4">
        <v>45965</v>
      </c>
      <c r="S109" s="3" t="s">
        <v>37</v>
      </c>
      <c r="T109" s="3" t="s">
        <v>36</v>
      </c>
      <c r="U109" s="3" t="s">
        <v>38</v>
      </c>
      <c r="V109" s="5">
        <v>4959.8</v>
      </c>
      <c r="W109" s="5">
        <v>2107.92</v>
      </c>
      <c r="X109" s="5">
        <v>1996.32</v>
      </c>
      <c r="Y109" s="3">
        <v>855.56</v>
      </c>
    </row>
    <row r="110" spans="1:25" ht="36.75" x14ac:dyDescent="0.25">
      <c r="A110" s="3" t="s">
        <v>26</v>
      </c>
      <c r="B110" s="3" t="s">
        <v>27</v>
      </c>
      <c r="C110" s="3" t="s">
        <v>28</v>
      </c>
      <c r="D110" s="3" t="s">
        <v>29</v>
      </c>
      <c r="E110" s="3" t="s">
        <v>64</v>
      </c>
      <c r="F110" s="3" t="s">
        <v>31</v>
      </c>
      <c r="G110" s="3" t="s">
        <v>64</v>
      </c>
      <c r="H110" s="3" t="s">
        <v>42</v>
      </c>
      <c r="I110" s="3">
        <v>2025</v>
      </c>
      <c r="J110" s="3" t="str">
        <f>CONCATENATE("54810392248")</f>
        <v>54810392248</v>
      </c>
      <c r="K110" s="3" t="s">
        <v>33</v>
      </c>
      <c r="L110" s="3"/>
      <c r="M110" s="3" t="s">
        <v>34</v>
      </c>
      <c r="N110" s="3" t="str">
        <f>CONCATENATE("01945890430")</f>
        <v>01945890430</v>
      </c>
      <c r="O110" s="3" t="s">
        <v>186</v>
      </c>
      <c r="P110" s="3" t="s">
        <v>36</v>
      </c>
      <c r="Q110" s="3"/>
      <c r="R110" s="4">
        <v>45965</v>
      </c>
      <c r="S110" s="3" t="s">
        <v>37</v>
      </c>
      <c r="T110" s="3" t="s">
        <v>36</v>
      </c>
      <c r="U110" s="3" t="s">
        <v>38</v>
      </c>
      <c r="V110" s="5">
        <v>8535.32</v>
      </c>
      <c r="W110" s="5">
        <v>3627.51</v>
      </c>
      <c r="X110" s="5">
        <v>3435.47</v>
      </c>
      <c r="Y110" s="5">
        <v>1472.34</v>
      </c>
    </row>
    <row r="111" spans="1:25" ht="36.75" x14ac:dyDescent="0.25">
      <c r="A111" s="3" t="s">
        <v>26</v>
      </c>
      <c r="B111" s="3" t="s">
        <v>27</v>
      </c>
      <c r="C111" s="3" t="s">
        <v>28</v>
      </c>
      <c r="D111" s="3" t="s">
        <v>29</v>
      </c>
      <c r="E111" s="3" t="s">
        <v>51</v>
      </c>
      <c r="F111" s="3" t="s">
        <v>31</v>
      </c>
      <c r="G111" s="3" t="s">
        <v>51</v>
      </c>
      <c r="H111" s="3" t="s">
        <v>42</v>
      </c>
      <c r="I111" s="3">
        <v>2025</v>
      </c>
      <c r="J111" s="3" t="str">
        <f>CONCATENATE("54810871464")</f>
        <v>54810871464</v>
      </c>
      <c r="K111" s="3" t="s">
        <v>33</v>
      </c>
      <c r="L111" s="3"/>
      <c r="M111" s="3" t="s">
        <v>34</v>
      </c>
      <c r="N111" s="3" t="str">
        <f>CONCATENATE("02005870437")</f>
        <v>02005870437</v>
      </c>
      <c r="O111" s="3" t="s">
        <v>187</v>
      </c>
      <c r="P111" s="3" t="s">
        <v>36</v>
      </c>
      <c r="Q111" s="3"/>
      <c r="R111" s="4">
        <v>45965</v>
      </c>
      <c r="S111" s="3" t="s">
        <v>37</v>
      </c>
      <c r="T111" s="3" t="s">
        <v>36</v>
      </c>
      <c r="U111" s="3" t="s">
        <v>38</v>
      </c>
      <c r="V111" s="5">
        <v>9999.5300000000007</v>
      </c>
      <c r="W111" s="5">
        <v>4249.8</v>
      </c>
      <c r="X111" s="5">
        <v>4024.81</v>
      </c>
      <c r="Y111" s="5">
        <v>1724.92</v>
      </c>
    </row>
    <row r="112" spans="1:25" ht="36.75" x14ac:dyDescent="0.25">
      <c r="A112" s="3" t="s">
        <v>26</v>
      </c>
      <c r="B112" s="3" t="s">
        <v>27</v>
      </c>
      <c r="C112" s="3" t="s">
        <v>28</v>
      </c>
      <c r="D112" s="3" t="s">
        <v>29</v>
      </c>
      <c r="E112" s="3" t="s">
        <v>30</v>
      </c>
      <c r="F112" s="3" t="s">
        <v>31</v>
      </c>
      <c r="G112" s="3" t="s">
        <v>30</v>
      </c>
      <c r="H112" s="3" t="s">
        <v>32</v>
      </c>
      <c r="I112" s="3">
        <v>2025</v>
      </c>
      <c r="J112" s="3" t="str">
        <f>CONCATENATE("54810397163")</f>
        <v>54810397163</v>
      </c>
      <c r="K112" s="3" t="s">
        <v>33</v>
      </c>
      <c r="L112" s="3"/>
      <c r="M112" s="3" t="s">
        <v>34</v>
      </c>
      <c r="N112" s="3" t="str">
        <f>CONCATENATE("02787380423")</f>
        <v>02787380423</v>
      </c>
      <c r="O112" s="3" t="s">
        <v>188</v>
      </c>
      <c r="P112" s="3" t="s">
        <v>36</v>
      </c>
      <c r="Q112" s="3"/>
      <c r="R112" s="4">
        <v>45965</v>
      </c>
      <c r="S112" s="3" t="s">
        <v>37</v>
      </c>
      <c r="T112" s="3" t="s">
        <v>36</v>
      </c>
      <c r="U112" s="3" t="s">
        <v>38</v>
      </c>
      <c r="V112" s="5">
        <v>17158.46</v>
      </c>
      <c r="W112" s="5">
        <v>7292.35</v>
      </c>
      <c r="X112" s="5">
        <v>6906.28</v>
      </c>
      <c r="Y112" s="5">
        <v>2959.83</v>
      </c>
    </row>
    <row r="113" spans="1:25" ht="60.75" x14ac:dyDescent="0.25">
      <c r="A113" s="3" t="s">
        <v>26</v>
      </c>
      <c r="B113" s="3" t="s">
        <v>27</v>
      </c>
      <c r="C113" s="3" t="s">
        <v>28</v>
      </c>
      <c r="D113" s="3" t="s">
        <v>29</v>
      </c>
      <c r="E113" s="3" t="s">
        <v>149</v>
      </c>
      <c r="F113" s="3" t="s">
        <v>31</v>
      </c>
      <c r="G113" s="3" t="s">
        <v>149</v>
      </c>
      <c r="H113" s="3" t="s">
        <v>42</v>
      </c>
      <c r="I113" s="3">
        <v>2025</v>
      </c>
      <c r="J113" s="3" t="str">
        <f>CONCATENATE("54810824224")</f>
        <v>54810824224</v>
      </c>
      <c r="K113" s="3" t="s">
        <v>33</v>
      </c>
      <c r="L113" s="3"/>
      <c r="M113" s="3" t="s">
        <v>34</v>
      </c>
      <c r="N113" s="3" t="str">
        <f>CONCATENATE("RSTGCR58A30C704S")</f>
        <v>RSTGCR58A30C704S</v>
      </c>
      <c r="O113" s="3" t="s">
        <v>189</v>
      </c>
      <c r="P113" s="3" t="s">
        <v>36</v>
      </c>
      <c r="Q113" s="3"/>
      <c r="R113" s="4">
        <v>45965</v>
      </c>
      <c r="S113" s="3" t="s">
        <v>37</v>
      </c>
      <c r="T113" s="3" t="s">
        <v>36</v>
      </c>
      <c r="U113" s="3" t="s">
        <v>38</v>
      </c>
      <c r="V113" s="5">
        <v>9242.74</v>
      </c>
      <c r="W113" s="5">
        <v>3928.16</v>
      </c>
      <c r="X113" s="5">
        <v>3720.2</v>
      </c>
      <c r="Y113" s="5">
        <v>1594.38</v>
      </c>
    </row>
    <row r="114" spans="1:25" ht="36.75" x14ac:dyDescent="0.25">
      <c r="A114" s="3" t="s">
        <v>26</v>
      </c>
      <c r="B114" s="3" t="s">
        <v>27</v>
      </c>
      <c r="C114" s="3" t="s">
        <v>28</v>
      </c>
      <c r="D114" s="3" t="s">
        <v>29</v>
      </c>
      <c r="E114" s="3" t="s">
        <v>149</v>
      </c>
      <c r="F114" s="3" t="s">
        <v>31</v>
      </c>
      <c r="G114" s="3" t="s">
        <v>149</v>
      </c>
      <c r="H114" s="3" t="s">
        <v>42</v>
      </c>
      <c r="I114" s="3">
        <v>2025</v>
      </c>
      <c r="J114" s="3" t="str">
        <f>CONCATENATE("54810737418")</f>
        <v>54810737418</v>
      </c>
      <c r="K114" s="3" t="s">
        <v>33</v>
      </c>
      <c r="L114" s="3"/>
      <c r="M114" s="3" t="s">
        <v>34</v>
      </c>
      <c r="N114" s="3" t="str">
        <f>CONCATENATE("01523900437")</f>
        <v>01523900437</v>
      </c>
      <c r="O114" s="3" t="s">
        <v>190</v>
      </c>
      <c r="P114" s="3" t="s">
        <v>36</v>
      </c>
      <c r="Q114" s="3"/>
      <c r="R114" s="4">
        <v>45965</v>
      </c>
      <c r="S114" s="3" t="s">
        <v>37</v>
      </c>
      <c r="T114" s="3" t="s">
        <v>36</v>
      </c>
      <c r="U114" s="3" t="s">
        <v>38</v>
      </c>
      <c r="V114" s="5">
        <v>2718.64</v>
      </c>
      <c r="W114" s="5">
        <v>1155.42</v>
      </c>
      <c r="X114" s="5">
        <v>1094.25</v>
      </c>
      <c r="Y114" s="3">
        <v>468.97</v>
      </c>
    </row>
    <row r="115" spans="1:25" ht="36.75" x14ac:dyDescent="0.25">
      <c r="A115" s="3" t="s">
        <v>26</v>
      </c>
      <c r="B115" s="3" t="s">
        <v>27</v>
      </c>
      <c r="C115" s="3" t="s">
        <v>28</v>
      </c>
      <c r="D115" s="3" t="s">
        <v>29</v>
      </c>
      <c r="E115" s="3" t="s">
        <v>44</v>
      </c>
      <c r="F115" s="3" t="s">
        <v>31</v>
      </c>
      <c r="G115" s="3" t="s">
        <v>44</v>
      </c>
      <c r="H115" s="3" t="s">
        <v>45</v>
      </c>
      <c r="I115" s="3">
        <v>2025</v>
      </c>
      <c r="J115" s="3" t="str">
        <f>CONCATENATE("54810536091")</f>
        <v>54810536091</v>
      </c>
      <c r="K115" s="3" t="s">
        <v>33</v>
      </c>
      <c r="L115" s="3"/>
      <c r="M115" s="3" t="s">
        <v>34</v>
      </c>
      <c r="N115" s="3" t="str">
        <f>CONCATENATE("00485130447")</f>
        <v>00485130447</v>
      </c>
      <c r="O115" s="3" t="s">
        <v>191</v>
      </c>
      <c r="P115" s="3" t="s">
        <v>36</v>
      </c>
      <c r="Q115" s="3"/>
      <c r="R115" s="4">
        <v>45965</v>
      </c>
      <c r="S115" s="3" t="s">
        <v>37</v>
      </c>
      <c r="T115" s="3" t="s">
        <v>36</v>
      </c>
      <c r="U115" s="3" t="s">
        <v>38</v>
      </c>
      <c r="V115" s="5">
        <v>5437.9</v>
      </c>
      <c r="W115" s="5">
        <v>2311.11</v>
      </c>
      <c r="X115" s="5">
        <v>2188.75</v>
      </c>
      <c r="Y115" s="3">
        <v>938.04</v>
      </c>
    </row>
    <row r="116" spans="1:25" ht="36.75" x14ac:dyDescent="0.25">
      <c r="A116" s="3" t="s">
        <v>26</v>
      </c>
      <c r="B116" s="3" t="s">
        <v>27</v>
      </c>
      <c r="C116" s="3" t="s">
        <v>28</v>
      </c>
      <c r="D116" s="3" t="s">
        <v>29</v>
      </c>
      <c r="E116" s="3" t="s">
        <v>64</v>
      </c>
      <c r="F116" s="3" t="s">
        <v>31</v>
      </c>
      <c r="G116" s="3" t="s">
        <v>64</v>
      </c>
      <c r="H116" s="3" t="s">
        <v>42</v>
      </c>
      <c r="I116" s="3">
        <v>2025</v>
      </c>
      <c r="J116" s="3" t="str">
        <f>CONCATENATE("54810569522")</f>
        <v>54810569522</v>
      </c>
      <c r="K116" s="3" t="s">
        <v>33</v>
      </c>
      <c r="L116" s="3"/>
      <c r="M116" s="3" t="s">
        <v>34</v>
      </c>
      <c r="N116" s="3" t="str">
        <f>CONCATENATE("01791640434")</f>
        <v>01791640434</v>
      </c>
      <c r="O116" s="3" t="s">
        <v>192</v>
      </c>
      <c r="P116" s="3" t="s">
        <v>36</v>
      </c>
      <c r="Q116" s="3"/>
      <c r="R116" s="4">
        <v>45965</v>
      </c>
      <c r="S116" s="3" t="s">
        <v>37</v>
      </c>
      <c r="T116" s="3" t="s">
        <v>36</v>
      </c>
      <c r="U116" s="3" t="s">
        <v>38</v>
      </c>
      <c r="V116" s="5">
        <v>1675.65</v>
      </c>
      <c r="W116" s="3">
        <v>712.15</v>
      </c>
      <c r="X116" s="3">
        <v>674.45</v>
      </c>
      <c r="Y116" s="3">
        <v>289.05</v>
      </c>
    </row>
    <row r="117" spans="1:25" ht="36.75" x14ac:dyDescent="0.25">
      <c r="A117" s="3" t="s">
        <v>26</v>
      </c>
      <c r="B117" s="3" t="s">
        <v>27</v>
      </c>
      <c r="C117" s="3" t="s">
        <v>28</v>
      </c>
      <c r="D117" s="3" t="s">
        <v>89</v>
      </c>
      <c r="E117" s="3" t="s">
        <v>90</v>
      </c>
      <c r="F117" s="3" t="s">
        <v>91</v>
      </c>
      <c r="G117" s="3" t="s">
        <v>90</v>
      </c>
      <c r="H117" s="3" t="s">
        <v>45</v>
      </c>
      <c r="I117" s="3">
        <v>2025</v>
      </c>
      <c r="J117" s="3" t="str">
        <f>CONCATENATE("54810596822")</f>
        <v>54810596822</v>
      </c>
      <c r="K117" s="3" t="s">
        <v>33</v>
      </c>
      <c r="L117" s="3"/>
      <c r="M117" s="3" t="s">
        <v>34</v>
      </c>
      <c r="N117" s="3" t="str">
        <f>CONCATENATE("01891610444")</f>
        <v>01891610444</v>
      </c>
      <c r="O117" s="3" t="s">
        <v>193</v>
      </c>
      <c r="P117" s="3" t="s">
        <v>36</v>
      </c>
      <c r="Q117" s="3"/>
      <c r="R117" s="4">
        <v>45965</v>
      </c>
      <c r="S117" s="3" t="s">
        <v>37</v>
      </c>
      <c r="T117" s="3" t="s">
        <v>36</v>
      </c>
      <c r="U117" s="3" t="s">
        <v>38</v>
      </c>
      <c r="V117" s="5">
        <v>49738.8</v>
      </c>
      <c r="W117" s="5">
        <v>21138.99</v>
      </c>
      <c r="X117" s="5">
        <v>20019.87</v>
      </c>
      <c r="Y117" s="5">
        <v>8579.94</v>
      </c>
    </row>
    <row r="118" spans="1:25" ht="36.75" x14ac:dyDescent="0.25">
      <c r="A118" s="3" t="s">
        <v>26</v>
      </c>
      <c r="B118" s="3" t="s">
        <v>27</v>
      </c>
      <c r="C118" s="3" t="s">
        <v>28</v>
      </c>
      <c r="D118" s="3" t="s">
        <v>47</v>
      </c>
      <c r="E118" s="3" t="s">
        <v>48</v>
      </c>
      <c r="F118" s="3" t="s">
        <v>49</v>
      </c>
      <c r="G118" s="3" t="s">
        <v>48</v>
      </c>
      <c r="H118" s="3" t="s">
        <v>45</v>
      </c>
      <c r="I118" s="3">
        <v>2025</v>
      </c>
      <c r="J118" s="3" t="str">
        <f>CONCATENATE("54810608247")</f>
        <v>54810608247</v>
      </c>
      <c r="K118" s="3" t="s">
        <v>33</v>
      </c>
      <c r="L118" s="3"/>
      <c r="M118" s="3" t="s">
        <v>34</v>
      </c>
      <c r="N118" s="3" t="str">
        <f>CONCATENATE("02563690441")</f>
        <v>02563690441</v>
      </c>
      <c r="O118" s="3" t="s">
        <v>194</v>
      </c>
      <c r="P118" s="3" t="s">
        <v>36</v>
      </c>
      <c r="Q118" s="3"/>
      <c r="R118" s="4">
        <v>45965</v>
      </c>
      <c r="S118" s="3" t="s">
        <v>37</v>
      </c>
      <c r="T118" s="3" t="s">
        <v>36</v>
      </c>
      <c r="U118" s="3" t="s">
        <v>38</v>
      </c>
      <c r="V118" s="5">
        <v>2066.88</v>
      </c>
      <c r="W118" s="3">
        <v>878.42</v>
      </c>
      <c r="X118" s="3">
        <v>831.92</v>
      </c>
      <c r="Y118" s="3">
        <v>356.54</v>
      </c>
    </row>
    <row r="119" spans="1:25" ht="60.75" x14ac:dyDescent="0.25">
      <c r="A119" s="3" t="s">
        <v>26</v>
      </c>
      <c r="B119" s="3" t="s">
        <v>27</v>
      </c>
      <c r="C119" s="3" t="s">
        <v>28</v>
      </c>
      <c r="D119" s="3" t="s">
        <v>89</v>
      </c>
      <c r="E119" s="3" t="s">
        <v>155</v>
      </c>
      <c r="F119" s="3" t="s">
        <v>59</v>
      </c>
      <c r="G119" s="3" t="s">
        <v>109</v>
      </c>
      <c r="H119" s="3" t="s">
        <v>42</v>
      </c>
      <c r="I119" s="3">
        <v>2024</v>
      </c>
      <c r="J119" s="3" t="str">
        <f>CONCATENATE("44810668044")</f>
        <v>44810668044</v>
      </c>
      <c r="K119" s="3" t="s">
        <v>33</v>
      </c>
      <c r="L119" s="3"/>
      <c r="M119" s="3" t="s">
        <v>195</v>
      </c>
      <c r="N119" s="3" t="str">
        <f>CONCATENATE("RSLFLV94M30H501X")</f>
        <v>RSLFLV94M30H501X</v>
      </c>
      <c r="O119" s="3" t="s">
        <v>196</v>
      </c>
      <c r="P119" s="3" t="s">
        <v>197</v>
      </c>
      <c r="Q119" s="3" t="s">
        <v>198</v>
      </c>
      <c r="R119" s="4">
        <v>45966</v>
      </c>
      <c r="S119" s="3" t="s">
        <v>37</v>
      </c>
      <c r="T119" s="3" t="s">
        <v>199</v>
      </c>
      <c r="U119" s="3" t="s">
        <v>38</v>
      </c>
      <c r="V119" s="3">
        <v>698.12</v>
      </c>
      <c r="W119" s="3">
        <v>296.7</v>
      </c>
      <c r="X119" s="3">
        <v>280.99</v>
      </c>
      <c r="Y119" s="3">
        <v>120.43</v>
      </c>
    </row>
    <row r="120" spans="1:25" ht="36.75" x14ac:dyDescent="0.25">
      <c r="A120" s="3" t="s">
        <v>26</v>
      </c>
      <c r="B120" s="3" t="s">
        <v>27</v>
      </c>
      <c r="C120" s="3" t="s">
        <v>28</v>
      </c>
      <c r="D120" s="3" t="s">
        <v>29</v>
      </c>
      <c r="E120" s="3" t="s">
        <v>41</v>
      </c>
      <c r="F120" s="3" t="s">
        <v>31</v>
      </c>
      <c r="G120" s="3" t="s">
        <v>41</v>
      </c>
      <c r="H120" s="3" t="s">
        <v>42</v>
      </c>
      <c r="I120" s="3">
        <v>2024</v>
      </c>
      <c r="J120" s="3" t="str">
        <f>CONCATENATE("44811057908")</f>
        <v>44811057908</v>
      </c>
      <c r="K120" s="3" t="s">
        <v>33</v>
      </c>
      <c r="L120" s="3"/>
      <c r="M120" s="3" t="s">
        <v>195</v>
      </c>
      <c r="N120" s="3" t="str">
        <f>CONCATENATE("02107800431")</f>
        <v>02107800431</v>
      </c>
      <c r="O120" s="3" t="s">
        <v>200</v>
      </c>
      <c r="P120" s="3" t="s">
        <v>197</v>
      </c>
      <c r="Q120" s="3" t="s">
        <v>198</v>
      </c>
      <c r="R120" s="4">
        <v>45966</v>
      </c>
      <c r="S120" s="3" t="s">
        <v>37</v>
      </c>
      <c r="T120" s="3" t="s">
        <v>199</v>
      </c>
      <c r="U120" s="3" t="s">
        <v>38</v>
      </c>
      <c r="V120" s="3">
        <v>416.65</v>
      </c>
      <c r="W120" s="3">
        <v>177.08</v>
      </c>
      <c r="X120" s="3">
        <v>167.7</v>
      </c>
      <c r="Y120" s="3">
        <v>71.87</v>
      </c>
    </row>
    <row r="121" spans="1:25" ht="36.75" x14ac:dyDescent="0.25">
      <c r="A121" s="3" t="s">
        <v>26</v>
      </c>
      <c r="B121" s="3" t="s">
        <v>27</v>
      </c>
      <c r="C121" s="3" t="s">
        <v>28</v>
      </c>
      <c r="D121" s="3" t="s">
        <v>57</v>
      </c>
      <c r="E121" s="3" t="s">
        <v>58</v>
      </c>
      <c r="F121" s="3" t="s">
        <v>59</v>
      </c>
      <c r="G121" s="3" t="s">
        <v>58</v>
      </c>
      <c r="H121" s="3" t="s">
        <v>42</v>
      </c>
      <c r="I121" s="3">
        <v>2024</v>
      </c>
      <c r="J121" s="3" t="str">
        <f>CONCATENATE("44810586162")</f>
        <v>44810586162</v>
      </c>
      <c r="K121" s="3" t="s">
        <v>33</v>
      </c>
      <c r="L121" s="3"/>
      <c r="M121" s="3" t="s">
        <v>195</v>
      </c>
      <c r="N121" s="3" t="str">
        <f>CONCATENATE("01822020432")</f>
        <v>01822020432</v>
      </c>
      <c r="O121" s="3" t="s">
        <v>201</v>
      </c>
      <c r="P121" s="3" t="s">
        <v>197</v>
      </c>
      <c r="Q121" s="3" t="s">
        <v>198</v>
      </c>
      <c r="R121" s="4">
        <v>45966</v>
      </c>
      <c r="S121" s="3" t="s">
        <v>37</v>
      </c>
      <c r="T121" s="3" t="s">
        <v>199</v>
      </c>
      <c r="U121" s="3" t="s">
        <v>38</v>
      </c>
      <c r="V121" s="5">
        <v>2492.0500000000002</v>
      </c>
      <c r="W121" s="5">
        <v>1059.1199999999999</v>
      </c>
      <c r="X121" s="5">
        <v>1003.05</v>
      </c>
      <c r="Y121" s="3">
        <v>429.88</v>
      </c>
    </row>
    <row r="122" spans="1:25" ht="36.75" x14ac:dyDescent="0.25">
      <c r="A122" s="3" t="s">
        <v>26</v>
      </c>
      <c r="B122" s="3" t="s">
        <v>27</v>
      </c>
      <c r="C122" s="3" t="s">
        <v>28</v>
      </c>
      <c r="D122" s="3" t="s">
        <v>57</v>
      </c>
      <c r="E122" s="3" t="s">
        <v>58</v>
      </c>
      <c r="F122" s="3" t="s">
        <v>59</v>
      </c>
      <c r="G122" s="3" t="s">
        <v>58</v>
      </c>
      <c r="H122" s="3" t="s">
        <v>42</v>
      </c>
      <c r="I122" s="3">
        <v>2024</v>
      </c>
      <c r="J122" s="3" t="str">
        <f>CONCATENATE("44810582682")</f>
        <v>44810582682</v>
      </c>
      <c r="K122" s="3" t="s">
        <v>33</v>
      </c>
      <c r="L122" s="3"/>
      <c r="M122" s="3" t="s">
        <v>195</v>
      </c>
      <c r="N122" s="3" t="str">
        <f>CONCATENATE("01990470435")</f>
        <v>01990470435</v>
      </c>
      <c r="O122" s="3" t="s">
        <v>202</v>
      </c>
      <c r="P122" s="3" t="s">
        <v>197</v>
      </c>
      <c r="Q122" s="3" t="s">
        <v>198</v>
      </c>
      <c r="R122" s="4">
        <v>45966</v>
      </c>
      <c r="S122" s="3" t="s">
        <v>37</v>
      </c>
      <c r="T122" s="3" t="s">
        <v>199</v>
      </c>
      <c r="U122" s="3" t="s">
        <v>38</v>
      </c>
      <c r="V122" s="3">
        <v>389.54</v>
      </c>
      <c r="W122" s="3">
        <v>165.55</v>
      </c>
      <c r="X122" s="3">
        <v>156.79</v>
      </c>
      <c r="Y122" s="3">
        <v>67.2</v>
      </c>
    </row>
    <row r="123" spans="1:25" ht="36.75" x14ac:dyDescent="0.25">
      <c r="A123" s="3" t="s">
        <v>26</v>
      </c>
      <c r="B123" s="3" t="s">
        <v>27</v>
      </c>
      <c r="C123" s="3" t="s">
        <v>28</v>
      </c>
      <c r="D123" s="3" t="s">
        <v>57</v>
      </c>
      <c r="E123" s="3" t="s">
        <v>61</v>
      </c>
      <c r="F123" s="3" t="s">
        <v>59</v>
      </c>
      <c r="G123" s="3" t="s">
        <v>61</v>
      </c>
      <c r="H123" s="3" t="s">
        <v>42</v>
      </c>
      <c r="I123" s="3">
        <v>2024</v>
      </c>
      <c r="J123" s="3" t="str">
        <f>CONCATENATE("44810994168")</f>
        <v>44810994168</v>
      </c>
      <c r="K123" s="3" t="s">
        <v>33</v>
      </c>
      <c r="L123" s="3"/>
      <c r="M123" s="3" t="s">
        <v>195</v>
      </c>
      <c r="N123" s="3" t="str">
        <f>CONCATENATE("01838330437")</f>
        <v>01838330437</v>
      </c>
      <c r="O123" s="3" t="s">
        <v>203</v>
      </c>
      <c r="P123" s="3" t="s">
        <v>197</v>
      </c>
      <c r="Q123" s="3" t="s">
        <v>198</v>
      </c>
      <c r="R123" s="4">
        <v>45966</v>
      </c>
      <c r="S123" s="3" t="s">
        <v>37</v>
      </c>
      <c r="T123" s="3" t="s">
        <v>199</v>
      </c>
      <c r="U123" s="3" t="s">
        <v>38</v>
      </c>
      <c r="V123" s="5">
        <v>1098.72</v>
      </c>
      <c r="W123" s="3">
        <v>466.96</v>
      </c>
      <c r="X123" s="3">
        <v>442.23</v>
      </c>
      <c r="Y123" s="3">
        <v>189.53</v>
      </c>
    </row>
    <row r="124" spans="1:25" ht="36.75" x14ac:dyDescent="0.25">
      <c r="A124" s="3" t="s">
        <v>26</v>
      </c>
      <c r="B124" s="3" t="s">
        <v>27</v>
      </c>
      <c r="C124" s="3" t="s">
        <v>28</v>
      </c>
      <c r="D124" s="3" t="s">
        <v>89</v>
      </c>
      <c r="E124" s="3" t="s">
        <v>204</v>
      </c>
      <c r="F124" s="3" t="s">
        <v>91</v>
      </c>
      <c r="G124" s="3" t="s">
        <v>204</v>
      </c>
      <c r="H124" s="3" t="s">
        <v>42</v>
      </c>
      <c r="I124" s="3">
        <v>2024</v>
      </c>
      <c r="J124" s="3" t="str">
        <f>CONCATENATE("44810840890")</f>
        <v>44810840890</v>
      </c>
      <c r="K124" s="3" t="s">
        <v>33</v>
      </c>
      <c r="L124" s="3"/>
      <c r="M124" s="3" t="s">
        <v>195</v>
      </c>
      <c r="N124" s="3" t="str">
        <f>CONCATENATE("01985780434")</f>
        <v>01985780434</v>
      </c>
      <c r="O124" s="3" t="s">
        <v>205</v>
      </c>
      <c r="P124" s="3" t="s">
        <v>197</v>
      </c>
      <c r="Q124" s="3" t="s">
        <v>198</v>
      </c>
      <c r="R124" s="4">
        <v>45966</v>
      </c>
      <c r="S124" s="3" t="s">
        <v>37</v>
      </c>
      <c r="T124" s="3" t="s">
        <v>199</v>
      </c>
      <c r="U124" s="3" t="s">
        <v>38</v>
      </c>
      <c r="V124" s="3">
        <v>419.19</v>
      </c>
      <c r="W124" s="3">
        <v>178.16</v>
      </c>
      <c r="X124" s="3">
        <v>168.72</v>
      </c>
      <c r="Y124" s="3">
        <v>72.31</v>
      </c>
    </row>
    <row r="125" spans="1:25" ht="36.75" x14ac:dyDescent="0.25">
      <c r="A125" s="3" t="s">
        <v>26</v>
      </c>
      <c r="B125" s="3" t="s">
        <v>27</v>
      </c>
      <c r="C125" s="3" t="s">
        <v>28</v>
      </c>
      <c r="D125" s="3" t="s">
        <v>57</v>
      </c>
      <c r="E125" s="3" t="s">
        <v>107</v>
      </c>
      <c r="F125" s="3" t="s">
        <v>59</v>
      </c>
      <c r="G125" s="3" t="s">
        <v>107</v>
      </c>
      <c r="H125" s="3" t="s">
        <v>42</v>
      </c>
      <c r="I125" s="3">
        <v>2024</v>
      </c>
      <c r="J125" s="3" t="str">
        <f>CONCATENATE("44811184785")</f>
        <v>44811184785</v>
      </c>
      <c r="K125" s="3" t="s">
        <v>33</v>
      </c>
      <c r="L125" s="3"/>
      <c r="M125" s="3" t="s">
        <v>195</v>
      </c>
      <c r="N125" s="3" t="str">
        <f>CONCATENATE("00626190433")</f>
        <v>00626190433</v>
      </c>
      <c r="O125" s="3" t="s">
        <v>206</v>
      </c>
      <c r="P125" s="3" t="s">
        <v>197</v>
      </c>
      <c r="Q125" s="3" t="s">
        <v>198</v>
      </c>
      <c r="R125" s="4">
        <v>45966</v>
      </c>
      <c r="S125" s="3" t="s">
        <v>37</v>
      </c>
      <c r="T125" s="3" t="s">
        <v>199</v>
      </c>
      <c r="U125" s="3" t="s">
        <v>38</v>
      </c>
      <c r="V125" s="3">
        <v>714.73</v>
      </c>
      <c r="W125" s="3">
        <v>303.76</v>
      </c>
      <c r="X125" s="3">
        <v>287.68</v>
      </c>
      <c r="Y125" s="3">
        <v>123.29</v>
      </c>
    </row>
    <row r="126" spans="1:25" ht="36.75" x14ac:dyDescent="0.25">
      <c r="A126" s="3" t="s">
        <v>26</v>
      </c>
      <c r="B126" s="3" t="s">
        <v>27</v>
      </c>
      <c r="C126" s="3" t="s">
        <v>28</v>
      </c>
      <c r="D126" s="3" t="s">
        <v>57</v>
      </c>
      <c r="E126" s="3" t="s">
        <v>58</v>
      </c>
      <c r="F126" s="3" t="s">
        <v>59</v>
      </c>
      <c r="G126" s="3" t="s">
        <v>58</v>
      </c>
      <c r="H126" s="3" t="s">
        <v>42</v>
      </c>
      <c r="I126" s="3">
        <v>2024</v>
      </c>
      <c r="J126" s="3" t="str">
        <f>CONCATENATE("44810885358")</f>
        <v>44810885358</v>
      </c>
      <c r="K126" s="3" t="s">
        <v>33</v>
      </c>
      <c r="L126" s="3"/>
      <c r="M126" s="3" t="s">
        <v>195</v>
      </c>
      <c r="N126" s="3" t="str">
        <f>CONCATENATE("01941350439")</f>
        <v>01941350439</v>
      </c>
      <c r="O126" s="3" t="s">
        <v>207</v>
      </c>
      <c r="P126" s="3" t="s">
        <v>197</v>
      </c>
      <c r="Q126" s="3" t="s">
        <v>198</v>
      </c>
      <c r="R126" s="4">
        <v>45966</v>
      </c>
      <c r="S126" s="3" t="s">
        <v>37</v>
      </c>
      <c r="T126" s="3" t="s">
        <v>199</v>
      </c>
      <c r="U126" s="3" t="s">
        <v>38</v>
      </c>
      <c r="V126" s="3">
        <v>531.54999999999995</v>
      </c>
      <c r="W126" s="3">
        <v>225.91</v>
      </c>
      <c r="X126" s="3">
        <v>213.95</v>
      </c>
      <c r="Y126" s="3">
        <v>91.69</v>
      </c>
    </row>
    <row r="127" spans="1:25" ht="60.75" x14ac:dyDescent="0.25">
      <c r="A127" s="3" t="s">
        <v>26</v>
      </c>
      <c r="B127" s="3" t="s">
        <v>27</v>
      </c>
      <c r="C127" s="3" t="s">
        <v>28</v>
      </c>
      <c r="D127" s="3" t="s">
        <v>57</v>
      </c>
      <c r="E127" s="3" t="s">
        <v>109</v>
      </c>
      <c r="F127" s="3" t="s">
        <v>59</v>
      </c>
      <c r="G127" s="3" t="s">
        <v>109</v>
      </c>
      <c r="H127" s="3" t="s">
        <v>42</v>
      </c>
      <c r="I127" s="3">
        <v>2024</v>
      </c>
      <c r="J127" s="3" t="str">
        <f>CONCATENATE("44810170439")</f>
        <v>44810170439</v>
      </c>
      <c r="K127" s="3" t="s">
        <v>33</v>
      </c>
      <c r="L127" s="3"/>
      <c r="M127" s="3" t="s">
        <v>195</v>
      </c>
      <c r="N127" s="3" t="str">
        <f>CONCATENATE("SLRMCR52E48H501C")</f>
        <v>SLRMCR52E48H501C</v>
      </c>
      <c r="O127" s="3" t="s">
        <v>208</v>
      </c>
      <c r="P127" s="3" t="s">
        <v>197</v>
      </c>
      <c r="Q127" s="3" t="s">
        <v>198</v>
      </c>
      <c r="R127" s="4">
        <v>45966</v>
      </c>
      <c r="S127" s="3" t="s">
        <v>37</v>
      </c>
      <c r="T127" s="3" t="s">
        <v>199</v>
      </c>
      <c r="U127" s="3" t="s">
        <v>38</v>
      </c>
      <c r="V127" s="3">
        <v>589.55999999999995</v>
      </c>
      <c r="W127" s="3">
        <v>250.56</v>
      </c>
      <c r="X127" s="3">
        <v>237.3</v>
      </c>
      <c r="Y127" s="3">
        <v>101.7</v>
      </c>
    </row>
    <row r="128" spans="1:25" ht="60.75" x14ac:dyDescent="0.25">
      <c r="A128" s="3" t="s">
        <v>26</v>
      </c>
      <c r="B128" s="3" t="s">
        <v>27</v>
      </c>
      <c r="C128" s="3" t="s">
        <v>28</v>
      </c>
      <c r="D128" s="3" t="s">
        <v>47</v>
      </c>
      <c r="E128" s="3" t="s">
        <v>55</v>
      </c>
      <c r="F128" s="3" t="s">
        <v>49</v>
      </c>
      <c r="G128" s="3" t="s">
        <v>55</v>
      </c>
      <c r="H128" s="3" t="s">
        <v>42</v>
      </c>
      <c r="I128" s="3">
        <v>2024</v>
      </c>
      <c r="J128" s="3" t="str">
        <f>CONCATENATE("44810211944")</f>
        <v>44810211944</v>
      </c>
      <c r="K128" s="3" t="s">
        <v>33</v>
      </c>
      <c r="L128" s="3"/>
      <c r="M128" s="3" t="s">
        <v>195</v>
      </c>
      <c r="N128" s="3" t="str">
        <f>CONCATENATE("VLPVNN74R12E783T")</f>
        <v>VLPVNN74R12E783T</v>
      </c>
      <c r="O128" s="3" t="s">
        <v>209</v>
      </c>
      <c r="P128" s="3" t="s">
        <v>197</v>
      </c>
      <c r="Q128" s="3" t="s">
        <v>198</v>
      </c>
      <c r="R128" s="4">
        <v>45966</v>
      </c>
      <c r="S128" s="3" t="s">
        <v>37</v>
      </c>
      <c r="T128" s="3" t="s">
        <v>199</v>
      </c>
      <c r="U128" s="3" t="s">
        <v>38</v>
      </c>
      <c r="V128" s="3">
        <v>448.18</v>
      </c>
      <c r="W128" s="3">
        <v>190.48</v>
      </c>
      <c r="X128" s="3">
        <v>180.39</v>
      </c>
      <c r="Y128" s="3">
        <v>77.31</v>
      </c>
    </row>
    <row r="129" spans="1:25" ht="36.75" x14ac:dyDescent="0.25">
      <c r="A129" s="3" t="s">
        <v>26</v>
      </c>
      <c r="B129" s="3" t="s">
        <v>27</v>
      </c>
      <c r="C129" s="3" t="s">
        <v>28</v>
      </c>
      <c r="D129" s="3" t="s">
        <v>29</v>
      </c>
      <c r="E129" s="3" t="s">
        <v>51</v>
      </c>
      <c r="F129" s="3" t="s">
        <v>31</v>
      </c>
      <c r="G129" s="3" t="s">
        <v>51</v>
      </c>
      <c r="H129" s="3" t="s">
        <v>42</v>
      </c>
      <c r="I129" s="3">
        <v>2024</v>
      </c>
      <c r="J129" s="3" t="str">
        <f>CONCATENATE("44810462331")</f>
        <v>44810462331</v>
      </c>
      <c r="K129" s="3" t="s">
        <v>33</v>
      </c>
      <c r="L129" s="3"/>
      <c r="M129" s="3" t="s">
        <v>34</v>
      </c>
      <c r="N129" s="3" t="str">
        <f>CONCATENATE("01291590436")</f>
        <v>01291590436</v>
      </c>
      <c r="O129" s="3" t="s">
        <v>182</v>
      </c>
      <c r="P129" s="3" t="s">
        <v>197</v>
      </c>
      <c r="Q129" s="3" t="s">
        <v>210</v>
      </c>
      <c r="R129" s="4">
        <v>45966</v>
      </c>
      <c r="S129" s="3" t="s">
        <v>37</v>
      </c>
      <c r="T129" s="3" t="s">
        <v>199</v>
      </c>
      <c r="U129" s="3" t="s">
        <v>38</v>
      </c>
      <c r="V129" s="5">
        <v>16027.43</v>
      </c>
      <c r="W129" s="5">
        <v>6811.66</v>
      </c>
      <c r="X129" s="5">
        <v>6451.04</v>
      </c>
      <c r="Y129" s="5">
        <v>2764.73</v>
      </c>
    </row>
    <row r="130" spans="1:25" ht="60.75" x14ac:dyDescent="0.25">
      <c r="A130" s="3" t="s">
        <v>26</v>
      </c>
      <c r="B130" s="3" t="s">
        <v>27</v>
      </c>
      <c r="C130" s="3" t="s">
        <v>28</v>
      </c>
      <c r="D130" s="3" t="s">
        <v>29</v>
      </c>
      <c r="E130" s="3" t="s">
        <v>53</v>
      </c>
      <c r="F130" s="3" t="s">
        <v>31</v>
      </c>
      <c r="G130" s="3" t="s">
        <v>53</v>
      </c>
      <c r="H130" s="3" t="s">
        <v>42</v>
      </c>
      <c r="I130" s="3">
        <v>2024</v>
      </c>
      <c r="J130" s="3" t="str">
        <f>CONCATENATE("44811051455")</f>
        <v>44811051455</v>
      </c>
      <c r="K130" s="3" t="s">
        <v>33</v>
      </c>
      <c r="L130" s="3"/>
      <c r="M130" s="3" t="s">
        <v>34</v>
      </c>
      <c r="N130" s="3" t="str">
        <f>CONCATENATE("FRNNRC65D17I156Q")</f>
        <v>FRNNRC65D17I156Q</v>
      </c>
      <c r="O130" s="3" t="s">
        <v>54</v>
      </c>
      <c r="P130" s="3" t="s">
        <v>197</v>
      </c>
      <c r="Q130" s="3" t="s">
        <v>210</v>
      </c>
      <c r="R130" s="4">
        <v>45966</v>
      </c>
      <c r="S130" s="3" t="s">
        <v>37</v>
      </c>
      <c r="T130" s="3" t="s">
        <v>199</v>
      </c>
      <c r="U130" s="3" t="s">
        <v>38</v>
      </c>
      <c r="V130" s="5">
        <v>22057.14</v>
      </c>
      <c r="W130" s="5">
        <v>9374.2800000000007</v>
      </c>
      <c r="X130" s="5">
        <v>8878</v>
      </c>
      <c r="Y130" s="5">
        <v>3804.86</v>
      </c>
    </row>
    <row r="131" spans="1:25" ht="60.75" x14ac:dyDescent="0.25">
      <c r="A131" s="3" t="s">
        <v>26</v>
      </c>
      <c r="B131" s="3" t="s">
        <v>27</v>
      </c>
      <c r="C131" s="3" t="s">
        <v>28</v>
      </c>
      <c r="D131" s="3" t="s">
        <v>29</v>
      </c>
      <c r="E131" s="3" t="s">
        <v>64</v>
      </c>
      <c r="F131" s="3" t="s">
        <v>31</v>
      </c>
      <c r="G131" s="3" t="s">
        <v>64</v>
      </c>
      <c r="H131" s="3" t="s">
        <v>42</v>
      </c>
      <c r="I131" s="3">
        <v>2024</v>
      </c>
      <c r="J131" s="3" t="str">
        <f>CONCATENATE("44810088730")</f>
        <v>44810088730</v>
      </c>
      <c r="K131" s="3" t="s">
        <v>33</v>
      </c>
      <c r="L131" s="3"/>
      <c r="M131" s="3" t="s">
        <v>34</v>
      </c>
      <c r="N131" s="3" t="str">
        <f>CONCATENATE("LRNGNN80R10L366S")</f>
        <v>LRNGNN80R10L366S</v>
      </c>
      <c r="O131" s="3" t="s">
        <v>183</v>
      </c>
      <c r="P131" s="3" t="s">
        <v>197</v>
      </c>
      <c r="Q131" s="3" t="s">
        <v>210</v>
      </c>
      <c r="R131" s="4">
        <v>45966</v>
      </c>
      <c r="S131" s="3" t="s">
        <v>37</v>
      </c>
      <c r="T131" s="3" t="s">
        <v>199</v>
      </c>
      <c r="U131" s="3" t="s">
        <v>38</v>
      </c>
      <c r="V131" s="5">
        <v>3059.59</v>
      </c>
      <c r="W131" s="5">
        <v>1300.33</v>
      </c>
      <c r="X131" s="5">
        <v>1231.48</v>
      </c>
      <c r="Y131" s="3">
        <v>527.78</v>
      </c>
    </row>
    <row r="132" spans="1:25" ht="72.75" x14ac:dyDescent="0.25">
      <c r="A132" s="3" t="s">
        <v>26</v>
      </c>
      <c r="B132" s="3" t="s">
        <v>27</v>
      </c>
      <c r="C132" s="3" t="s">
        <v>28</v>
      </c>
      <c r="D132" s="3" t="s">
        <v>29</v>
      </c>
      <c r="E132" s="3" t="s">
        <v>64</v>
      </c>
      <c r="F132" s="3" t="s">
        <v>31</v>
      </c>
      <c r="G132" s="3" t="s">
        <v>64</v>
      </c>
      <c r="H132" s="3" t="s">
        <v>42</v>
      </c>
      <c r="I132" s="3">
        <v>2024</v>
      </c>
      <c r="J132" s="3" t="str">
        <f>CONCATENATE("44810710424")</f>
        <v>44810710424</v>
      </c>
      <c r="K132" s="3" t="s">
        <v>33</v>
      </c>
      <c r="L132" s="3"/>
      <c r="M132" s="3" t="s">
        <v>34</v>
      </c>
      <c r="N132" s="3" t="str">
        <f>CONCATENATE("MRCDNL70R05H211V")</f>
        <v>MRCDNL70R05H211V</v>
      </c>
      <c r="O132" s="3" t="s">
        <v>126</v>
      </c>
      <c r="P132" s="3" t="s">
        <v>197</v>
      </c>
      <c r="Q132" s="3" t="s">
        <v>210</v>
      </c>
      <c r="R132" s="4">
        <v>45966</v>
      </c>
      <c r="S132" s="3" t="s">
        <v>37</v>
      </c>
      <c r="T132" s="3" t="s">
        <v>199</v>
      </c>
      <c r="U132" s="3" t="s">
        <v>38</v>
      </c>
      <c r="V132" s="3">
        <v>881.61</v>
      </c>
      <c r="W132" s="3">
        <v>374.68</v>
      </c>
      <c r="X132" s="3">
        <v>354.85</v>
      </c>
      <c r="Y132" s="3">
        <v>152.08000000000001</v>
      </c>
    </row>
    <row r="133" spans="1:25" ht="60.75" x14ac:dyDescent="0.25">
      <c r="A133" s="3" t="s">
        <v>26</v>
      </c>
      <c r="B133" s="3" t="s">
        <v>27</v>
      </c>
      <c r="C133" s="3" t="s">
        <v>28</v>
      </c>
      <c r="D133" s="3" t="s">
        <v>47</v>
      </c>
      <c r="E133" s="3" t="s">
        <v>211</v>
      </c>
      <c r="F133" s="3" t="s">
        <v>49</v>
      </c>
      <c r="G133" s="3" t="s">
        <v>211</v>
      </c>
      <c r="H133" s="3" t="s">
        <v>68</v>
      </c>
      <c r="I133" s="3">
        <v>2024</v>
      </c>
      <c r="J133" s="3" t="str">
        <f>CONCATENATE("44810557668")</f>
        <v>44810557668</v>
      </c>
      <c r="K133" s="3" t="s">
        <v>33</v>
      </c>
      <c r="L133" s="3"/>
      <c r="M133" s="3" t="s">
        <v>212</v>
      </c>
      <c r="N133" s="3" t="str">
        <f>CONCATENATE("RVLMRC75A17G453T")</f>
        <v>RVLMRC75A17G453T</v>
      </c>
      <c r="O133" s="3" t="s">
        <v>213</v>
      </c>
      <c r="P133" s="3" t="s">
        <v>197</v>
      </c>
      <c r="Q133" s="3" t="s">
        <v>214</v>
      </c>
      <c r="R133" s="4">
        <v>45966</v>
      </c>
      <c r="S133" s="3" t="s">
        <v>37</v>
      </c>
      <c r="T133" s="3" t="s">
        <v>199</v>
      </c>
      <c r="U133" s="3" t="s">
        <v>38</v>
      </c>
      <c r="V133" s="5">
        <v>1000</v>
      </c>
      <c r="W133" s="3">
        <v>425</v>
      </c>
      <c r="X133" s="3">
        <v>402.5</v>
      </c>
      <c r="Y133" s="3">
        <v>172.5</v>
      </c>
    </row>
    <row r="134" spans="1:25" ht="36.75" x14ac:dyDescent="0.25">
      <c r="A134" s="3" t="s">
        <v>26</v>
      </c>
      <c r="B134" s="3" t="s">
        <v>27</v>
      </c>
      <c r="C134" s="3" t="s">
        <v>28</v>
      </c>
      <c r="D134" s="3" t="s">
        <v>29</v>
      </c>
      <c r="E134" s="3" t="s">
        <v>64</v>
      </c>
      <c r="F134" s="3" t="s">
        <v>31</v>
      </c>
      <c r="G134" s="3" t="s">
        <v>64</v>
      </c>
      <c r="H134" s="3" t="s">
        <v>42</v>
      </c>
      <c r="I134" s="3">
        <v>2024</v>
      </c>
      <c r="J134" s="3" t="str">
        <f>CONCATENATE("44810776532")</f>
        <v>44810776532</v>
      </c>
      <c r="K134" s="3" t="s">
        <v>33</v>
      </c>
      <c r="L134" s="3"/>
      <c r="M134" s="3" t="s">
        <v>195</v>
      </c>
      <c r="N134" s="3" t="str">
        <f>CONCATENATE("01464870433")</f>
        <v>01464870433</v>
      </c>
      <c r="O134" s="3" t="s">
        <v>215</v>
      </c>
      <c r="P134" s="3" t="s">
        <v>197</v>
      </c>
      <c r="Q134" s="3" t="s">
        <v>198</v>
      </c>
      <c r="R134" s="4">
        <v>45966</v>
      </c>
      <c r="S134" s="3" t="s">
        <v>37</v>
      </c>
      <c r="T134" s="3" t="s">
        <v>199</v>
      </c>
      <c r="U134" s="3" t="s">
        <v>38</v>
      </c>
      <c r="V134" s="5">
        <v>1056.06</v>
      </c>
      <c r="W134" s="3">
        <v>448.83</v>
      </c>
      <c r="X134" s="3">
        <v>425.06</v>
      </c>
      <c r="Y134" s="3">
        <v>182.17</v>
      </c>
    </row>
    <row r="135" spans="1:25" ht="60.75" x14ac:dyDescent="0.25">
      <c r="A135" s="3" t="s">
        <v>26</v>
      </c>
      <c r="B135" s="3" t="s">
        <v>27</v>
      </c>
      <c r="C135" s="3" t="s">
        <v>28</v>
      </c>
      <c r="D135" s="3" t="s">
        <v>29</v>
      </c>
      <c r="E135" s="3" t="s">
        <v>41</v>
      </c>
      <c r="F135" s="3" t="s">
        <v>31</v>
      </c>
      <c r="G135" s="3" t="s">
        <v>41</v>
      </c>
      <c r="H135" s="3" t="s">
        <v>42</v>
      </c>
      <c r="I135" s="3">
        <v>2024</v>
      </c>
      <c r="J135" s="3" t="str">
        <f>CONCATENATE("44810260628")</f>
        <v>44810260628</v>
      </c>
      <c r="K135" s="3" t="s">
        <v>33</v>
      </c>
      <c r="L135" s="3"/>
      <c r="M135" s="3" t="s">
        <v>195</v>
      </c>
      <c r="N135" s="3" t="str">
        <f>CONCATENATE("GRDPGS48S09I436Q")</f>
        <v>GRDPGS48S09I436Q</v>
      </c>
      <c r="O135" s="3" t="s">
        <v>216</v>
      </c>
      <c r="P135" s="3" t="s">
        <v>197</v>
      </c>
      <c r="Q135" s="3" t="s">
        <v>198</v>
      </c>
      <c r="R135" s="4">
        <v>45966</v>
      </c>
      <c r="S135" s="3" t="s">
        <v>37</v>
      </c>
      <c r="T135" s="3" t="s">
        <v>199</v>
      </c>
      <c r="U135" s="3" t="s">
        <v>38</v>
      </c>
      <c r="V135" s="3">
        <v>918</v>
      </c>
      <c r="W135" s="3">
        <v>390.15</v>
      </c>
      <c r="X135" s="3">
        <v>369.5</v>
      </c>
      <c r="Y135" s="3">
        <v>158.35</v>
      </c>
    </row>
    <row r="136" spans="1:25" ht="60.75" x14ac:dyDescent="0.25">
      <c r="A136" s="3" t="s">
        <v>26</v>
      </c>
      <c r="B136" s="3" t="s">
        <v>27</v>
      </c>
      <c r="C136" s="3" t="s">
        <v>28</v>
      </c>
      <c r="D136" s="3" t="s">
        <v>29</v>
      </c>
      <c r="E136" s="3" t="s">
        <v>149</v>
      </c>
      <c r="F136" s="3" t="s">
        <v>31</v>
      </c>
      <c r="G136" s="3" t="s">
        <v>149</v>
      </c>
      <c r="H136" s="3" t="s">
        <v>42</v>
      </c>
      <c r="I136" s="3">
        <v>2024</v>
      </c>
      <c r="J136" s="3" t="str">
        <f>CONCATENATE("44810191435")</f>
        <v>44810191435</v>
      </c>
      <c r="K136" s="3" t="s">
        <v>33</v>
      </c>
      <c r="L136" s="3"/>
      <c r="M136" s="3" t="s">
        <v>195</v>
      </c>
      <c r="N136" s="3" t="str">
        <f>CONCATENATE("CLFNGL68P64F240U")</f>
        <v>CLFNGL68P64F240U</v>
      </c>
      <c r="O136" s="3" t="s">
        <v>217</v>
      </c>
      <c r="P136" s="3" t="s">
        <v>197</v>
      </c>
      <c r="Q136" s="3" t="s">
        <v>198</v>
      </c>
      <c r="R136" s="4">
        <v>45966</v>
      </c>
      <c r="S136" s="3" t="s">
        <v>37</v>
      </c>
      <c r="T136" s="3" t="s">
        <v>199</v>
      </c>
      <c r="U136" s="3" t="s">
        <v>38</v>
      </c>
      <c r="V136" s="5">
        <v>1113.76</v>
      </c>
      <c r="W136" s="3">
        <v>473.35</v>
      </c>
      <c r="X136" s="3">
        <v>448.29</v>
      </c>
      <c r="Y136" s="3">
        <v>192.12</v>
      </c>
    </row>
    <row r="137" spans="1:25" ht="60.75" x14ac:dyDescent="0.25">
      <c r="A137" s="3" t="s">
        <v>26</v>
      </c>
      <c r="B137" s="3" t="s">
        <v>27</v>
      </c>
      <c r="C137" s="3" t="s">
        <v>28</v>
      </c>
      <c r="D137" s="3" t="s">
        <v>57</v>
      </c>
      <c r="E137" s="3" t="s">
        <v>109</v>
      </c>
      <c r="F137" s="3" t="s">
        <v>59</v>
      </c>
      <c r="G137" s="3" t="s">
        <v>109</v>
      </c>
      <c r="H137" s="3" t="s">
        <v>42</v>
      </c>
      <c r="I137" s="3">
        <v>2024</v>
      </c>
      <c r="J137" s="3" t="str">
        <f>CONCATENATE("44811086949")</f>
        <v>44811086949</v>
      </c>
      <c r="K137" s="3" t="s">
        <v>33</v>
      </c>
      <c r="L137" s="3"/>
      <c r="M137" s="3" t="s">
        <v>195</v>
      </c>
      <c r="N137" s="3" t="str">
        <f>CONCATENATE("PRMJRU95S23I156U")</f>
        <v>PRMJRU95S23I156U</v>
      </c>
      <c r="O137" s="3" t="s">
        <v>218</v>
      </c>
      <c r="P137" s="3" t="s">
        <v>197</v>
      </c>
      <c r="Q137" s="3" t="s">
        <v>198</v>
      </c>
      <c r="R137" s="4">
        <v>45966</v>
      </c>
      <c r="S137" s="3" t="s">
        <v>37</v>
      </c>
      <c r="T137" s="3" t="s">
        <v>199</v>
      </c>
      <c r="U137" s="3" t="s">
        <v>38</v>
      </c>
      <c r="V137" s="3">
        <v>510.6</v>
      </c>
      <c r="W137" s="3">
        <v>217.01</v>
      </c>
      <c r="X137" s="3">
        <v>205.52</v>
      </c>
      <c r="Y137" s="3">
        <v>88.07</v>
      </c>
    </row>
    <row r="138" spans="1:25" ht="72.75" x14ac:dyDescent="0.25">
      <c r="A138" s="3" t="s">
        <v>26</v>
      </c>
      <c r="B138" s="3" t="s">
        <v>27</v>
      </c>
      <c r="C138" s="3" t="s">
        <v>28</v>
      </c>
      <c r="D138" s="3" t="s">
        <v>29</v>
      </c>
      <c r="E138" s="3" t="s">
        <v>64</v>
      </c>
      <c r="F138" s="3" t="s">
        <v>31</v>
      </c>
      <c r="G138" s="3" t="s">
        <v>64</v>
      </c>
      <c r="H138" s="3" t="s">
        <v>42</v>
      </c>
      <c r="I138" s="3">
        <v>2024</v>
      </c>
      <c r="J138" s="3" t="str">
        <f>CONCATENATE("44810780849")</f>
        <v>44810780849</v>
      </c>
      <c r="K138" s="3" t="s">
        <v>33</v>
      </c>
      <c r="L138" s="3"/>
      <c r="M138" s="3" t="s">
        <v>195</v>
      </c>
      <c r="N138" s="3" t="str">
        <f>CONCATENATE("STRVRN75R03H211B")</f>
        <v>STRVRN75R03H211B</v>
      </c>
      <c r="O138" s="3" t="s">
        <v>219</v>
      </c>
      <c r="P138" s="3" t="s">
        <v>197</v>
      </c>
      <c r="Q138" s="3" t="s">
        <v>198</v>
      </c>
      <c r="R138" s="4">
        <v>45966</v>
      </c>
      <c r="S138" s="3" t="s">
        <v>37</v>
      </c>
      <c r="T138" s="3" t="s">
        <v>199</v>
      </c>
      <c r="U138" s="3" t="s">
        <v>38</v>
      </c>
      <c r="V138" s="3">
        <v>344.18</v>
      </c>
      <c r="W138" s="3">
        <v>146.28</v>
      </c>
      <c r="X138" s="3">
        <v>138.53</v>
      </c>
      <c r="Y138" s="3">
        <v>59.37</v>
      </c>
    </row>
    <row r="139" spans="1:25" ht="60.75" x14ac:dyDescent="0.25">
      <c r="A139" s="3" t="s">
        <v>26</v>
      </c>
      <c r="B139" s="3" t="s">
        <v>27</v>
      </c>
      <c r="C139" s="3" t="s">
        <v>28</v>
      </c>
      <c r="D139" s="3" t="s">
        <v>57</v>
      </c>
      <c r="E139" s="3" t="s">
        <v>58</v>
      </c>
      <c r="F139" s="3" t="s">
        <v>59</v>
      </c>
      <c r="G139" s="3" t="s">
        <v>58</v>
      </c>
      <c r="H139" s="3" t="s">
        <v>42</v>
      </c>
      <c r="I139" s="3">
        <v>2024</v>
      </c>
      <c r="J139" s="3" t="str">
        <f>CONCATENATE("44810299162")</f>
        <v>44810299162</v>
      </c>
      <c r="K139" s="3" t="s">
        <v>33</v>
      </c>
      <c r="L139" s="3"/>
      <c r="M139" s="3" t="s">
        <v>195</v>
      </c>
      <c r="N139" s="3" t="str">
        <f>CONCATENATE("GTTTTR51P08C704G")</f>
        <v>GTTTTR51P08C704G</v>
      </c>
      <c r="O139" s="3" t="s">
        <v>220</v>
      </c>
      <c r="P139" s="3" t="s">
        <v>197</v>
      </c>
      <c r="Q139" s="3" t="s">
        <v>198</v>
      </c>
      <c r="R139" s="4">
        <v>45966</v>
      </c>
      <c r="S139" s="3" t="s">
        <v>37</v>
      </c>
      <c r="T139" s="3" t="s">
        <v>199</v>
      </c>
      <c r="U139" s="3" t="s">
        <v>38</v>
      </c>
      <c r="V139" s="3">
        <v>416.8</v>
      </c>
      <c r="W139" s="3">
        <v>177.14</v>
      </c>
      <c r="X139" s="3">
        <v>167.76</v>
      </c>
      <c r="Y139" s="3">
        <v>71.900000000000006</v>
      </c>
    </row>
    <row r="140" spans="1:25" ht="36.75" x14ac:dyDescent="0.25">
      <c r="A140" s="3" t="s">
        <v>26</v>
      </c>
      <c r="B140" s="3" t="s">
        <v>27</v>
      </c>
      <c r="C140" s="3" t="s">
        <v>28</v>
      </c>
      <c r="D140" s="3" t="s">
        <v>57</v>
      </c>
      <c r="E140" s="3" t="s">
        <v>109</v>
      </c>
      <c r="F140" s="3" t="s">
        <v>59</v>
      </c>
      <c r="G140" s="3" t="s">
        <v>109</v>
      </c>
      <c r="H140" s="3" t="s">
        <v>42</v>
      </c>
      <c r="I140" s="3">
        <v>2024</v>
      </c>
      <c r="J140" s="3" t="str">
        <f>CONCATENATE("44810372621")</f>
        <v>44810372621</v>
      </c>
      <c r="K140" s="3" t="s">
        <v>33</v>
      </c>
      <c r="L140" s="3"/>
      <c r="M140" s="3" t="s">
        <v>195</v>
      </c>
      <c r="N140" s="3" t="str">
        <f>CONCATENATE("01987370432")</f>
        <v>01987370432</v>
      </c>
      <c r="O140" s="3" t="s">
        <v>221</v>
      </c>
      <c r="P140" s="3" t="s">
        <v>197</v>
      </c>
      <c r="Q140" s="3" t="s">
        <v>198</v>
      </c>
      <c r="R140" s="4">
        <v>45966</v>
      </c>
      <c r="S140" s="3" t="s">
        <v>37</v>
      </c>
      <c r="T140" s="3" t="s">
        <v>199</v>
      </c>
      <c r="U140" s="3" t="s">
        <v>38</v>
      </c>
      <c r="V140" s="5">
        <v>1091.22</v>
      </c>
      <c r="W140" s="3">
        <v>463.77</v>
      </c>
      <c r="X140" s="3">
        <v>439.22</v>
      </c>
      <c r="Y140" s="3">
        <v>188.23</v>
      </c>
    </row>
    <row r="141" spans="1:25" ht="36.75" x14ac:dyDescent="0.25">
      <c r="A141" s="3" t="s">
        <v>26</v>
      </c>
      <c r="B141" s="3" t="s">
        <v>27</v>
      </c>
      <c r="C141" s="3" t="s">
        <v>28</v>
      </c>
      <c r="D141" s="3" t="s">
        <v>57</v>
      </c>
      <c r="E141" s="3" t="s">
        <v>58</v>
      </c>
      <c r="F141" s="3" t="s">
        <v>59</v>
      </c>
      <c r="G141" s="3" t="s">
        <v>58</v>
      </c>
      <c r="H141" s="3" t="s">
        <v>42</v>
      </c>
      <c r="I141" s="3">
        <v>2024</v>
      </c>
      <c r="J141" s="3" t="str">
        <f>CONCATENATE("44810887834")</f>
        <v>44810887834</v>
      </c>
      <c r="K141" s="3" t="s">
        <v>33</v>
      </c>
      <c r="L141" s="3"/>
      <c r="M141" s="3" t="s">
        <v>195</v>
      </c>
      <c r="N141" s="3" t="str">
        <f>CONCATENATE("02042090437")</f>
        <v>02042090437</v>
      </c>
      <c r="O141" s="3" t="s">
        <v>222</v>
      </c>
      <c r="P141" s="3" t="s">
        <v>197</v>
      </c>
      <c r="Q141" s="3" t="s">
        <v>198</v>
      </c>
      <c r="R141" s="4">
        <v>45966</v>
      </c>
      <c r="S141" s="3" t="s">
        <v>37</v>
      </c>
      <c r="T141" s="3" t="s">
        <v>199</v>
      </c>
      <c r="U141" s="3" t="s">
        <v>38</v>
      </c>
      <c r="V141" s="3">
        <v>612.08000000000004</v>
      </c>
      <c r="W141" s="3">
        <v>260.13</v>
      </c>
      <c r="X141" s="3">
        <v>246.36</v>
      </c>
      <c r="Y141" s="3">
        <v>105.59</v>
      </c>
    </row>
    <row r="142" spans="1:25" ht="36.75" x14ac:dyDescent="0.25">
      <c r="A142" s="3" t="s">
        <v>26</v>
      </c>
      <c r="B142" s="3" t="s">
        <v>27</v>
      </c>
      <c r="C142" s="3" t="s">
        <v>28</v>
      </c>
      <c r="D142" s="3" t="s">
        <v>89</v>
      </c>
      <c r="E142" s="3" t="s">
        <v>155</v>
      </c>
      <c r="F142" s="3" t="s">
        <v>91</v>
      </c>
      <c r="G142" s="3" t="s">
        <v>155</v>
      </c>
      <c r="H142" s="3" t="s">
        <v>42</v>
      </c>
      <c r="I142" s="3">
        <v>2024</v>
      </c>
      <c r="J142" s="3" t="str">
        <f>CONCATENATE("44810665024")</f>
        <v>44810665024</v>
      </c>
      <c r="K142" s="3" t="s">
        <v>33</v>
      </c>
      <c r="L142" s="3"/>
      <c r="M142" s="3" t="s">
        <v>195</v>
      </c>
      <c r="N142" s="3" t="str">
        <f>CONCATENATE("01003530431")</f>
        <v>01003530431</v>
      </c>
      <c r="O142" s="3" t="s">
        <v>223</v>
      </c>
      <c r="P142" s="3" t="s">
        <v>197</v>
      </c>
      <c r="Q142" s="3" t="s">
        <v>198</v>
      </c>
      <c r="R142" s="4">
        <v>45966</v>
      </c>
      <c r="S142" s="3" t="s">
        <v>37</v>
      </c>
      <c r="T142" s="3" t="s">
        <v>199</v>
      </c>
      <c r="U142" s="3" t="s">
        <v>38</v>
      </c>
      <c r="V142" s="3">
        <v>159.61000000000001</v>
      </c>
      <c r="W142" s="3">
        <v>67.83</v>
      </c>
      <c r="X142" s="3">
        <v>64.239999999999995</v>
      </c>
      <c r="Y142" s="3">
        <v>27.54</v>
      </c>
    </row>
    <row r="143" spans="1:25" ht="36.75" x14ac:dyDescent="0.25">
      <c r="A143" s="3" t="s">
        <v>26</v>
      </c>
      <c r="B143" s="3" t="s">
        <v>27</v>
      </c>
      <c r="C143" s="3" t="s">
        <v>28</v>
      </c>
      <c r="D143" s="3" t="s">
        <v>57</v>
      </c>
      <c r="E143" s="3" t="s">
        <v>109</v>
      </c>
      <c r="F143" s="3" t="s">
        <v>59</v>
      </c>
      <c r="G143" s="3" t="s">
        <v>109</v>
      </c>
      <c r="H143" s="3" t="s">
        <v>42</v>
      </c>
      <c r="I143" s="3">
        <v>2024</v>
      </c>
      <c r="J143" s="3" t="str">
        <f>CONCATENATE("44810325058")</f>
        <v>44810325058</v>
      </c>
      <c r="K143" s="3" t="s">
        <v>33</v>
      </c>
      <c r="L143" s="3"/>
      <c r="M143" s="3" t="s">
        <v>195</v>
      </c>
      <c r="N143" s="3" t="str">
        <f>CONCATENATE("01913730436")</f>
        <v>01913730436</v>
      </c>
      <c r="O143" s="3" t="s">
        <v>224</v>
      </c>
      <c r="P143" s="3" t="s">
        <v>197</v>
      </c>
      <c r="Q143" s="3" t="s">
        <v>198</v>
      </c>
      <c r="R143" s="4">
        <v>45966</v>
      </c>
      <c r="S143" s="3" t="s">
        <v>37</v>
      </c>
      <c r="T143" s="3" t="s">
        <v>199</v>
      </c>
      <c r="U143" s="3" t="s">
        <v>38</v>
      </c>
      <c r="V143" s="3">
        <v>484.7</v>
      </c>
      <c r="W143" s="3">
        <v>206</v>
      </c>
      <c r="X143" s="3">
        <v>195.09</v>
      </c>
      <c r="Y143" s="3">
        <v>83.61</v>
      </c>
    </row>
    <row r="144" spans="1:25" ht="60.75" x14ac:dyDescent="0.25">
      <c r="A144" s="3" t="s">
        <v>26</v>
      </c>
      <c r="B144" s="3" t="s">
        <v>27</v>
      </c>
      <c r="C144" s="3" t="s">
        <v>28</v>
      </c>
      <c r="D144" s="3" t="s">
        <v>57</v>
      </c>
      <c r="E144" s="3" t="s">
        <v>109</v>
      </c>
      <c r="F144" s="3" t="s">
        <v>59</v>
      </c>
      <c r="G144" s="3" t="s">
        <v>109</v>
      </c>
      <c r="H144" s="3" t="s">
        <v>42</v>
      </c>
      <c r="I144" s="3">
        <v>2024</v>
      </c>
      <c r="J144" s="3" t="str">
        <f>CONCATENATE("44810398345")</f>
        <v>44810398345</v>
      </c>
      <c r="K144" s="3" t="s">
        <v>33</v>
      </c>
      <c r="L144" s="3"/>
      <c r="M144" s="3" t="s">
        <v>195</v>
      </c>
      <c r="N144" s="3" t="str">
        <f>CONCATENATE("TRRMTN76P43E783V")</f>
        <v>TRRMTN76P43E783V</v>
      </c>
      <c r="O144" s="3" t="s">
        <v>225</v>
      </c>
      <c r="P144" s="3" t="s">
        <v>197</v>
      </c>
      <c r="Q144" s="3" t="s">
        <v>198</v>
      </c>
      <c r="R144" s="4">
        <v>45966</v>
      </c>
      <c r="S144" s="3" t="s">
        <v>37</v>
      </c>
      <c r="T144" s="3" t="s">
        <v>199</v>
      </c>
      <c r="U144" s="3" t="s">
        <v>38</v>
      </c>
      <c r="V144" s="3">
        <v>216.6</v>
      </c>
      <c r="W144" s="3">
        <v>92.06</v>
      </c>
      <c r="X144" s="3">
        <v>87.18</v>
      </c>
      <c r="Y144" s="3">
        <v>37.36</v>
      </c>
    </row>
    <row r="145" spans="1:25" ht="60.75" x14ac:dyDescent="0.25">
      <c r="A145" s="3" t="s">
        <v>26</v>
      </c>
      <c r="B145" s="3" t="s">
        <v>27</v>
      </c>
      <c r="C145" s="3" t="s">
        <v>28</v>
      </c>
      <c r="D145" s="3" t="s">
        <v>57</v>
      </c>
      <c r="E145" s="3" t="s">
        <v>58</v>
      </c>
      <c r="F145" s="3" t="s">
        <v>59</v>
      </c>
      <c r="G145" s="3" t="s">
        <v>58</v>
      </c>
      <c r="H145" s="3" t="s">
        <v>42</v>
      </c>
      <c r="I145" s="3">
        <v>2024</v>
      </c>
      <c r="J145" s="3" t="str">
        <f>CONCATENATE("44810225787")</f>
        <v>44810225787</v>
      </c>
      <c r="K145" s="3" t="s">
        <v>33</v>
      </c>
      <c r="L145" s="3"/>
      <c r="M145" s="3" t="s">
        <v>195</v>
      </c>
      <c r="N145" s="3" t="str">
        <f>CONCATENATE("VSSMRK77B15L191Y")</f>
        <v>VSSMRK77B15L191Y</v>
      </c>
      <c r="O145" s="3" t="s">
        <v>226</v>
      </c>
      <c r="P145" s="3" t="s">
        <v>197</v>
      </c>
      <c r="Q145" s="3" t="s">
        <v>198</v>
      </c>
      <c r="R145" s="4">
        <v>45966</v>
      </c>
      <c r="S145" s="3" t="s">
        <v>37</v>
      </c>
      <c r="T145" s="3" t="s">
        <v>199</v>
      </c>
      <c r="U145" s="3" t="s">
        <v>38</v>
      </c>
      <c r="V145" s="3">
        <v>198.87</v>
      </c>
      <c r="W145" s="3">
        <v>84.52</v>
      </c>
      <c r="X145" s="3">
        <v>80.05</v>
      </c>
      <c r="Y145" s="3">
        <v>34.299999999999997</v>
      </c>
    </row>
    <row r="146" spans="1:25" ht="60.75" x14ac:dyDescent="0.25">
      <c r="A146" s="3" t="s">
        <v>26</v>
      </c>
      <c r="B146" s="3" t="s">
        <v>27</v>
      </c>
      <c r="C146" s="3" t="s">
        <v>28</v>
      </c>
      <c r="D146" s="3" t="s">
        <v>29</v>
      </c>
      <c r="E146" s="3" t="s">
        <v>44</v>
      </c>
      <c r="F146" s="3" t="s">
        <v>31</v>
      </c>
      <c r="G146" s="3" t="s">
        <v>44</v>
      </c>
      <c r="H146" s="3" t="s">
        <v>45</v>
      </c>
      <c r="I146" s="3">
        <v>2024</v>
      </c>
      <c r="J146" s="3" t="str">
        <f>CONCATENATE("44810467330")</f>
        <v>44810467330</v>
      </c>
      <c r="K146" s="3" t="s">
        <v>33</v>
      </c>
      <c r="L146" s="3"/>
      <c r="M146" s="3" t="s">
        <v>34</v>
      </c>
      <c r="N146" s="3" t="str">
        <f>CONCATENATE("NGLCLD69E17G516V")</f>
        <v>NGLCLD69E17G516V</v>
      </c>
      <c r="O146" s="3" t="s">
        <v>157</v>
      </c>
      <c r="P146" s="3" t="s">
        <v>197</v>
      </c>
      <c r="Q146" s="3" t="s">
        <v>227</v>
      </c>
      <c r="R146" s="4">
        <v>45966</v>
      </c>
      <c r="S146" s="3" t="s">
        <v>37</v>
      </c>
      <c r="T146" s="3" t="s">
        <v>199</v>
      </c>
      <c r="U146" s="3" t="s">
        <v>38</v>
      </c>
      <c r="V146" s="5">
        <v>3189.31</v>
      </c>
      <c r="W146" s="5">
        <v>1355.46</v>
      </c>
      <c r="X146" s="5">
        <v>1283.7</v>
      </c>
      <c r="Y146" s="3">
        <v>550.15</v>
      </c>
    </row>
    <row r="147" spans="1:25" ht="72.75" x14ac:dyDescent="0.25">
      <c r="A147" s="3" t="s">
        <v>26</v>
      </c>
      <c r="B147" s="3" t="s">
        <v>27</v>
      </c>
      <c r="C147" s="3" t="s">
        <v>28</v>
      </c>
      <c r="D147" s="3" t="s">
        <v>29</v>
      </c>
      <c r="E147" s="3" t="s">
        <v>44</v>
      </c>
      <c r="F147" s="3" t="s">
        <v>31</v>
      </c>
      <c r="G147" s="3" t="s">
        <v>44</v>
      </c>
      <c r="H147" s="3" t="s">
        <v>45</v>
      </c>
      <c r="I147" s="3">
        <v>2024</v>
      </c>
      <c r="J147" s="3" t="str">
        <f>CONCATENATE("44810607729")</f>
        <v>44810607729</v>
      </c>
      <c r="K147" s="3" t="s">
        <v>33</v>
      </c>
      <c r="L147" s="3"/>
      <c r="M147" s="3" t="s">
        <v>34</v>
      </c>
      <c r="N147" s="3" t="str">
        <f>CONCATENATE("CCHVCN60R28G516M")</f>
        <v>CCHVCN60R28G516M</v>
      </c>
      <c r="O147" s="3" t="s">
        <v>46</v>
      </c>
      <c r="P147" s="3" t="s">
        <v>197</v>
      </c>
      <c r="Q147" s="3" t="s">
        <v>227</v>
      </c>
      <c r="R147" s="4">
        <v>45966</v>
      </c>
      <c r="S147" s="3" t="s">
        <v>37</v>
      </c>
      <c r="T147" s="3" t="s">
        <v>199</v>
      </c>
      <c r="U147" s="3" t="s">
        <v>38</v>
      </c>
      <c r="V147" s="5">
        <v>9373.92</v>
      </c>
      <c r="W147" s="5">
        <v>3983.92</v>
      </c>
      <c r="X147" s="5">
        <v>3773</v>
      </c>
      <c r="Y147" s="5">
        <v>1617</v>
      </c>
    </row>
    <row r="148" spans="1:25" ht="60.75" x14ac:dyDescent="0.25">
      <c r="A148" s="3" t="s">
        <v>26</v>
      </c>
      <c r="B148" s="3" t="s">
        <v>27</v>
      </c>
      <c r="C148" s="3" t="s">
        <v>28</v>
      </c>
      <c r="D148" s="3" t="s">
        <v>29</v>
      </c>
      <c r="E148" s="3" t="s">
        <v>228</v>
      </c>
      <c r="F148" s="3" t="s">
        <v>31</v>
      </c>
      <c r="G148" s="3" t="s">
        <v>228</v>
      </c>
      <c r="H148" s="3" t="s">
        <v>45</v>
      </c>
      <c r="I148" s="3">
        <v>2024</v>
      </c>
      <c r="J148" s="3" t="str">
        <f>CONCATENATE("44811489739")</f>
        <v>44811489739</v>
      </c>
      <c r="K148" s="3" t="s">
        <v>33</v>
      </c>
      <c r="L148" s="3"/>
      <c r="M148" s="3" t="s">
        <v>34</v>
      </c>
      <c r="N148" s="3" t="str">
        <f>CONCATENATE("VLLVRN55M19G873I")</f>
        <v>VLLVRN55M19G873I</v>
      </c>
      <c r="O148" s="3" t="s">
        <v>229</v>
      </c>
      <c r="P148" s="3" t="s">
        <v>197</v>
      </c>
      <c r="Q148" s="3" t="s">
        <v>227</v>
      </c>
      <c r="R148" s="4">
        <v>45966</v>
      </c>
      <c r="S148" s="3" t="s">
        <v>37</v>
      </c>
      <c r="T148" s="3" t="s">
        <v>199</v>
      </c>
      <c r="U148" s="3" t="s">
        <v>38</v>
      </c>
      <c r="V148" s="5">
        <v>2036.59</v>
      </c>
      <c r="W148" s="3">
        <v>865.55</v>
      </c>
      <c r="X148" s="3">
        <v>819.73</v>
      </c>
      <c r="Y148" s="3">
        <v>351.31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57</v>
      </c>
      <c r="E149" s="3" t="s">
        <v>107</v>
      </c>
      <c r="F149" s="3" t="s">
        <v>59</v>
      </c>
      <c r="G149" s="3" t="s">
        <v>107</v>
      </c>
      <c r="H149" s="3" t="s">
        <v>42</v>
      </c>
      <c r="I149" s="3">
        <v>2024</v>
      </c>
      <c r="J149" s="3" t="str">
        <f>CONCATENATE("44810760817")</f>
        <v>44810760817</v>
      </c>
      <c r="K149" s="3" t="s">
        <v>33</v>
      </c>
      <c r="L149" s="3"/>
      <c r="M149" s="3" t="s">
        <v>195</v>
      </c>
      <c r="N149" s="3" t="str">
        <f>CONCATENATE("BLDLNE39M47F552G")</f>
        <v>BLDLNE39M47F552G</v>
      </c>
      <c r="O149" s="3" t="s">
        <v>230</v>
      </c>
      <c r="P149" s="3" t="s">
        <v>197</v>
      </c>
      <c r="Q149" s="3" t="s">
        <v>198</v>
      </c>
      <c r="R149" s="4">
        <v>45966</v>
      </c>
      <c r="S149" s="3" t="s">
        <v>37</v>
      </c>
      <c r="T149" s="3" t="s">
        <v>199</v>
      </c>
      <c r="U149" s="3" t="s">
        <v>38</v>
      </c>
      <c r="V149" s="3">
        <v>529.66999999999996</v>
      </c>
      <c r="W149" s="3">
        <v>225.11</v>
      </c>
      <c r="X149" s="3">
        <v>213.19</v>
      </c>
      <c r="Y149" s="3">
        <v>91.37</v>
      </c>
    </row>
    <row r="150" spans="1:25" ht="60.75" x14ac:dyDescent="0.25">
      <c r="A150" s="3" t="s">
        <v>26</v>
      </c>
      <c r="B150" s="3" t="s">
        <v>27</v>
      </c>
      <c r="C150" s="3" t="s">
        <v>28</v>
      </c>
      <c r="D150" s="3" t="s">
        <v>57</v>
      </c>
      <c r="E150" s="3" t="s">
        <v>109</v>
      </c>
      <c r="F150" s="3" t="s">
        <v>59</v>
      </c>
      <c r="G150" s="3" t="s">
        <v>109</v>
      </c>
      <c r="H150" s="3" t="s">
        <v>42</v>
      </c>
      <c r="I150" s="3">
        <v>2024</v>
      </c>
      <c r="J150" s="3" t="str">
        <f>CONCATENATE("44810795029")</f>
        <v>44810795029</v>
      </c>
      <c r="K150" s="3" t="s">
        <v>33</v>
      </c>
      <c r="L150" s="3"/>
      <c r="M150" s="3" t="s">
        <v>195</v>
      </c>
      <c r="N150" s="3" t="str">
        <f>CONCATENATE("GLLNDR84M05E783B")</f>
        <v>GLLNDR84M05E783B</v>
      </c>
      <c r="O150" s="3" t="s">
        <v>231</v>
      </c>
      <c r="P150" s="3" t="s">
        <v>197</v>
      </c>
      <c r="Q150" s="3" t="s">
        <v>198</v>
      </c>
      <c r="R150" s="4">
        <v>45966</v>
      </c>
      <c r="S150" s="3" t="s">
        <v>37</v>
      </c>
      <c r="T150" s="3" t="s">
        <v>199</v>
      </c>
      <c r="U150" s="3" t="s">
        <v>38</v>
      </c>
      <c r="V150" s="3">
        <v>599.79999999999995</v>
      </c>
      <c r="W150" s="3">
        <v>254.92</v>
      </c>
      <c r="X150" s="3">
        <v>241.42</v>
      </c>
      <c r="Y150" s="3">
        <v>103.46</v>
      </c>
    </row>
    <row r="151" spans="1:25" ht="60.75" x14ac:dyDescent="0.25">
      <c r="A151" s="3" t="s">
        <v>26</v>
      </c>
      <c r="B151" s="3" t="s">
        <v>27</v>
      </c>
      <c r="C151" s="3" t="s">
        <v>28</v>
      </c>
      <c r="D151" s="3" t="s">
        <v>29</v>
      </c>
      <c r="E151" s="3" t="s">
        <v>123</v>
      </c>
      <c r="F151" s="3" t="s">
        <v>31</v>
      </c>
      <c r="G151" s="3" t="s">
        <v>123</v>
      </c>
      <c r="H151" s="3" t="s">
        <v>42</v>
      </c>
      <c r="I151" s="3">
        <v>2024</v>
      </c>
      <c r="J151" s="3" t="str">
        <f>CONCATENATE("44810577831")</f>
        <v>44810577831</v>
      </c>
      <c r="K151" s="3" t="s">
        <v>33</v>
      </c>
      <c r="L151" s="3"/>
      <c r="M151" s="3" t="s">
        <v>195</v>
      </c>
      <c r="N151" s="3" t="str">
        <f>CONCATENATE("LCCLCU66B19Z133V")</f>
        <v>LCCLCU66B19Z133V</v>
      </c>
      <c r="O151" s="3" t="s">
        <v>232</v>
      </c>
      <c r="P151" s="3" t="s">
        <v>197</v>
      </c>
      <c r="Q151" s="3" t="s">
        <v>198</v>
      </c>
      <c r="R151" s="4">
        <v>45966</v>
      </c>
      <c r="S151" s="3" t="s">
        <v>37</v>
      </c>
      <c r="T151" s="3" t="s">
        <v>199</v>
      </c>
      <c r="U151" s="3" t="s">
        <v>38</v>
      </c>
      <c r="V151" s="3">
        <v>948.41</v>
      </c>
      <c r="W151" s="3">
        <v>403.07</v>
      </c>
      <c r="X151" s="3">
        <v>381.74</v>
      </c>
      <c r="Y151" s="3">
        <v>163.6</v>
      </c>
    </row>
    <row r="152" spans="1:25" ht="36.75" x14ac:dyDescent="0.25">
      <c r="A152" s="3" t="s">
        <v>26</v>
      </c>
      <c r="B152" s="3" t="s">
        <v>27</v>
      </c>
      <c r="C152" s="3" t="s">
        <v>28</v>
      </c>
      <c r="D152" s="3" t="s">
        <v>57</v>
      </c>
      <c r="E152" s="3" t="s">
        <v>107</v>
      </c>
      <c r="F152" s="3" t="s">
        <v>59</v>
      </c>
      <c r="G152" s="3" t="s">
        <v>107</v>
      </c>
      <c r="H152" s="3" t="s">
        <v>42</v>
      </c>
      <c r="I152" s="3">
        <v>2024</v>
      </c>
      <c r="J152" s="3" t="str">
        <f>CONCATENATE("44810342012")</f>
        <v>44810342012</v>
      </c>
      <c r="K152" s="3" t="s">
        <v>33</v>
      </c>
      <c r="L152" s="3"/>
      <c r="M152" s="3" t="s">
        <v>195</v>
      </c>
      <c r="N152" s="3" t="str">
        <f>CONCATENATE("02064950435")</f>
        <v>02064950435</v>
      </c>
      <c r="O152" s="3" t="s">
        <v>233</v>
      </c>
      <c r="P152" s="3" t="s">
        <v>197</v>
      </c>
      <c r="Q152" s="3" t="s">
        <v>198</v>
      </c>
      <c r="R152" s="4">
        <v>45966</v>
      </c>
      <c r="S152" s="3" t="s">
        <v>37</v>
      </c>
      <c r="T152" s="3" t="s">
        <v>199</v>
      </c>
      <c r="U152" s="3" t="s">
        <v>38</v>
      </c>
      <c r="V152" s="5">
        <v>1464.3</v>
      </c>
      <c r="W152" s="3">
        <v>622.33000000000004</v>
      </c>
      <c r="X152" s="3">
        <v>589.38</v>
      </c>
      <c r="Y152" s="3">
        <v>252.59</v>
      </c>
    </row>
    <row r="153" spans="1:25" ht="60.75" x14ac:dyDescent="0.25">
      <c r="A153" s="3" t="s">
        <v>26</v>
      </c>
      <c r="B153" s="3" t="s">
        <v>27</v>
      </c>
      <c r="C153" s="3" t="s">
        <v>28</v>
      </c>
      <c r="D153" s="3" t="s">
        <v>57</v>
      </c>
      <c r="E153" s="3" t="s">
        <v>61</v>
      </c>
      <c r="F153" s="3" t="s">
        <v>59</v>
      </c>
      <c r="G153" s="3" t="s">
        <v>61</v>
      </c>
      <c r="H153" s="3" t="s">
        <v>42</v>
      </c>
      <c r="I153" s="3">
        <v>2025</v>
      </c>
      <c r="J153" s="3" t="str">
        <f>CONCATENATE("54810049301")</f>
        <v>54810049301</v>
      </c>
      <c r="K153" s="3" t="s">
        <v>33</v>
      </c>
      <c r="L153" s="3"/>
      <c r="M153" s="3" t="s">
        <v>34</v>
      </c>
      <c r="N153" s="3" t="str">
        <f>CONCATENATE("STCSLV44S13H211V")</f>
        <v>STCSLV44S13H211V</v>
      </c>
      <c r="O153" s="3" t="s">
        <v>234</v>
      </c>
      <c r="P153" s="3" t="s">
        <v>36</v>
      </c>
      <c r="Q153" s="3"/>
      <c r="R153" s="4">
        <v>45965</v>
      </c>
      <c r="S153" s="3" t="s">
        <v>37</v>
      </c>
      <c r="T153" s="3" t="s">
        <v>36</v>
      </c>
      <c r="U153" s="3" t="s">
        <v>38</v>
      </c>
      <c r="V153" s="5">
        <v>4790.78</v>
      </c>
      <c r="W153" s="5">
        <v>2036.08</v>
      </c>
      <c r="X153" s="5">
        <v>1928.29</v>
      </c>
      <c r="Y153" s="3">
        <v>826.41</v>
      </c>
    </row>
    <row r="154" spans="1:25" ht="60.75" x14ac:dyDescent="0.25">
      <c r="A154" s="3" t="s">
        <v>26</v>
      </c>
      <c r="B154" s="3" t="s">
        <v>27</v>
      </c>
      <c r="C154" s="3" t="s">
        <v>28</v>
      </c>
      <c r="D154" s="3" t="s">
        <v>47</v>
      </c>
      <c r="E154" s="3" t="s">
        <v>48</v>
      </c>
      <c r="F154" s="3" t="s">
        <v>49</v>
      </c>
      <c r="G154" s="3" t="s">
        <v>48</v>
      </c>
      <c r="H154" s="3" t="s">
        <v>45</v>
      </c>
      <c r="I154" s="3">
        <v>2025</v>
      </c>
      <c r="J154" s="3" t="str">
        <f>CONCATENATE("54810089273")</f>
        <v>54810089273</v>
      </c>
      <c r="K154" s="3" t="s">
        <v>33</v>
      </c>
      <c r="L154" s="3"/>
      <c r="M154" s="3" t="s">
        <v>34</v>
      </c>
      <c r="N154" s="3" t="str">
        <f>CONCATENATE("CRBMTT83S22G920I")</f>
        <v>CRBMTT83S22G920I</v>
      </c>
      <c r="O154" s="3" t="s">
        <v>235</v>
      </c>
      <c r="P154" s="3" t="s">
        <v>36</v>
      </c>
      <c r="Q154" s="3"/>
      <c r="R154" s="4">
        <v>45965</v>
      </c>
      <c r="S154" s="3" t="s">
        <v>37</v>
      </c>
      <c r="T154" s="3" t="s">
        <v>36</v>
      </c>
      <c r="U154" s="3" t="s">
        <v>38</v>
      </c>
      <c r="V154" s="5">
        <v>2689.61</v>
      </c>
      <c r="W154" s="5">
        <v>1143.08</v>
      </c>
      <c r="X154" s="5">
        <v>1082.57</v>
      </c>
      <c r="Y154" s="3">
        <v>463.96</v>
      </c>
    </row>
    <row r="155" spans="1:25" ht="72.75" x14ac:dyDescent="0.25">
      <c r="A155" s="3" t="s">
        <v>26</v>
      </c>
      <c r="B155" s="3" t="s">
        <v>27</v>
      </c>
      <c r="C155" s="3" t="s">
        <v>28</v>
      </c>
      <c r="D155" s="3" t="s">
        <v>29</v>
      </c>
      <c r="E155" s="3" t="s">
        <v>44</v>
      </c>
      <c r="F155" s="3" t="s">
        <v>31</v>
      </c>
      <c r="G155" s="3" t="s">
        <v>44</v>
      </c>
      <c r="H155" s="3" t="s">
        <v>45</v>
      </c>
      <c r="I155" s="3">
        <v>2025</v>
      </c>
      <c r="J155" s="3" t="str">
        <f>CONCATENATE("54810591187")</f>
        <v>54810591187</v>
      </c>
      <c r="K155" s="3" t="s">
        <v>33</v>
      </c>
      <c r="L155" s="3"/>
      <c r="M155" s="3" t="s">
        <v>34</v>
      </c>
      <c r="N155" s="3" t="str">
        <f>CONCATENATE("MCCRRT80B22D542Q")</f>
        <v>MCCRRT80B22D542Q</v>
      </c>
      <c r="O155" s="3" t="s">
        <v>236</v>
      </c>
      <c r="P155" s="3" t="s">
        <v>36</v>
      </c>
      <c r="Q155" s="3"/>
      <c r="R155" s="4">
        <v>45965</v>
      </c>
      <c r="S155" s="3" t="s">
        <v>37</v>
      </c>
      <c r="T155" s="3" t="s">
        <v>36</v>
      </c>
      <c r="U155" s="3" t="s">
        <v>38</v>
      </c>
      <c r="V155" s="5">
        <v>1186.07</v>
      </c>
      <c r="W155" s="3">
        <v>504.08</v>
      </c>
      <c r="X155" s="3">
        <v>477.39</v>
      </c>
      <c r="Y155" s="3">
        <v>204.6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47</v>
      </c>
      <c r="E156" s="3" t="s">
        <v>48</v>
      </c>
      <c r="F156" s="3" t="s">
        <v>49</v>
      </c>
      <c r="G156" s="3" t="s">
        <v>48</v>
      </c>
      <c r="H156" s="3" t="s">
        <v>45</v>
      </c>
      <c r="I156" s="3">
        <v>2025</v>
      </c>
      <c r="J156" s="3" t="str">
        <f>CONCATENATE("54810135324")</f>
        <v>54810135324</v>
      </c>
      <c r="K156" s="3" t="s">
        <v>33</v>
      </c>
      <c r="L156" s="3"/>
      <c r="M156" s="3" t="s">
        <v>34</v>
      </c>
      <c r="N156" s="3" t="str">
        <f>CONCATENATE("DLGVTR53T63G137Y")</f>
        <v>DLGVTR53T63G137Y</v>
      </c>
      <c r="O156" s="3" t="s">
        <v>237</v>
      </c>
      <c r="P156" s="3" t="s">
        <v>36</v>
      </c>
      <c r="Q156" s="3"/>
      <c r="R156" s="4">
        <v>45965</v>
      </c>
      <c r="S156" s="3" t="s">
        <v>37</v>
      </c>
      <c r="T156" s="3" t="s">
        <v>36</v>
      </c>
      <c r="U156" s="3" t="s">
        <v>38</v>
      </c>
      <c r="V156" s="5">
        <v>3783.55</v>
      </c>
      <c r="W156" s="5">
        <v>1608.01</v>
      </c>
      <c r="X156" s="5">
        <v>1522.88</v>
      </c>
      <c r="Y156" s="3">
        <v>652.66</v>
      </c>
    </row>
    <row r="157" spans="1:25" ht="72.75" x14ac:dyDescent="0.25">
      <c r="A157" s="3" t="s">
        <v>26</v>
      </c>
      <c r="B157" s="3" t="s">
        <v>27</v>
      </c>
      <c r="C157" s="3" t="s">
        <v>28</v>
      </c>
      <c r="D157" s="3" t="s">
        <v>47</v>
      </c>
      <c r="E157" s="3" t="s">
        <v>48</v>
      </c>
      <c r="F157" s="3" t="s">
        <v>49</v>
      </c>
      <c r="G157" s="3" t="s">
        <v>48</v>
      </c>
      <c r="H157" s="3" t="s">
        <v>45</v>
      </c>
      <c r="I157" s="3">
        <v>2025</v>
      </c>
      <c r="J157" s="3" t="str">
        <f>CONCATENATE("54810206596")</f>
        <v>54810206596</v>
      </c>
      <c r="K157" s="3" t="s">
        <v>33</v>
      </c>
      <c r="L157" s="3"/>
      <c r="M157" s="3" t="s">
        <v>34</v>
      </c>
      <c r="N157" s="3" t="str">
        <f>CONCATENATE("LPUSMN79A47D542B")</f>
        <v>LPUSMN79A47D542B</v>
      </c>
      <c r="O157" s="3" t="s">
        <v>238</v>
      </c>
      <c r="P157" s="3" t="s">
        <v>36</v>
      </c>
      <c r="Q157" s="3"/>
      <c r="R157" s="4">
        <v>45965</v>
      </c>
      <c r="S157" s="3" t="s">
        <v>37</v>
      </c>
      <c r="T157" s="3" t="s">
        <v>36</v>
      </c>
      <c r="U157" s="3" t="s">
        <v>38</v>
      </c>
      <c r="V157" s="3">
        <v>846.23</v>
      </c>
      <c r="W157" s="3">
        <v>359.65</v>
      </c>
      <c r="X157" s="3">
        <v>340.61</v>
      </c>
      <c r="Y157" s="3">
        <v>145.97</v>
      </c>
    </row>
    <row r="158" spans="1:25" ht="60.75" x14ac:dyDescent="0.25">
      <c r="A158" s="3" t="s">
        <v>26</v>
      </c>
      <c r="B158" s="3" t="s">
        <v>27</v>
      </c>
      <c r="C158" s="3" t="s">
        <v>28</v>
      </c>
      <c r="D158" s="3" t="s">
        <v>29</v>
      </c>
      <c r="E158" s="3" t="s">
        <v>44</v>
      </c>
      <c r="F158" s="3" t="s">
        <v>31</v>
      </c>
      <c r="G158" s="3" t="s">
        <v>44</v>
      </c>
      <c r="H158" s="3" t="s">
        <v>45</v>
      </c>
      <c r="I158" s="3">
        <v>2025</v>
      </c>
      <c r="J158" s="3" t="str">
        <f>CONCATENATE("54810148566")</f>
        <v>54810148566</v>
      </c>
      <c r="K158" s="3" t="s">
        <v>33</v>
      </c>
      <c r="L158" s="3"/>
      <c r="M158" s="3" t="s">
        <v>34</v>
      </c>
      <c r="N158" s="3" t="str">
        <f>CONCATENATE("CRLDNL62T09F415K")</f>
        <v>CRLDNL62T09F415K</v>
      </c>
      <c r="O158" s="3" t="s">
        <v>239</v>
      </c>
      <c r="P158" s="3" t="s">
        <v>36</v>
      </c>
      <c r="Q158" s="3"/>
      <c r="R158" s="4">
        <v>45965</v>
      </c>
      <c r="S158" s="3" t="s">
        <v>37</v>
      </c>
      <c r="T158" s="3" t="s">
        <v>36</v>
      </c>
      <c r="U158" s="3" t="s">
        <v>38</v>
      </c>
      <c r="V158" s="5">
        <v>2803.65</v>
      </c>
      <c r="W158" s="5">
        <v>1191.55</v>
      </c>
      <c r="X158" s="5">
        <v>1128.47</v>
      </c>
      <c r="Y158" s="3">
        <v>483.63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29</v>
      </c>
      <c r="E159" s="3" t="s">
        <v>44</v>
      </c>
      <c r="F159" s="3" t="s">
        <v>31</v>
      </c>
      <c r="G159" s="3" t="s">
        <v>44</v>
      </c>
      <c r="H159" s="3" t="s">
        <v>45</v>
      </c>
      <c r="I159" s="3">
        <v>2025</v>
      </c>
      <c r="J159" s="3" t="str">
        <f>CONCATENATE("54810506540")</f>
        <v>54810506540</v>
      </c>
      <c r="K159" s="3" t="s">
        <v>33</v>
      </c>
      <c r="L159" s="3"/>
      <c r="M159" s="3" t="s">
        <v>34</v>
      </c>
      <c r="N159" s="3" t="str">
        <f>CONCATENATE("FDRLRA70L45H390B")</f>
        <v>FDRLRA70L45H390B</v>
      </c>
      <c r="O159" s="3" t="s">
        <v>240</v>
      </c>
      <c r="P159" s="3" t="s">
        <v>36</v>
      </c>
      <c r="Q159" s="3"/>
      <c r="R159" s="4">
        <v>45965</v>
      </c>
      <c r="S159" s="3" t="s">
        <v>37</v>
      </c>
      <c r="T159" s="3" t="s">
        <v>36</v>
      </c>
      <c r="U159" s="3" t="s">
        <v>38</v>
      </c>
      <c r="V159" s="5">
        <v>1207.56</v>
      </c>
      <c r="W159" s="3">
        <v>513.21</v>
      </c>
      <c r="X159" s="3">
        <v>486.04</v>
      </c>
      <c r="Y159" s="3">
        <v>208.31</v>
      </c>
    </row>
    <row r="160" spans="1:25" ht="60.75" x14ac:dyDescent="0.25">
      <c r="A160" s="3" t="s">
        <v>26</v>
      </c>
      <c r="B160" s="3" t="s">
        <v>27</v>
      </c>
      <c r="C160" s="3" t="s">
        <v>28</v>
      </c>
      <c r="D160" s="3" t="s">
        <v>29</v>
      </c>
      <c r="E160" s="3" t="s">
        <v>44</v>
      </c>
      <c r="F160" s="3" t="s">
        <v>31</v>
      </c>
      <c r="G160" s="3" t="s">
        <v>44</v>
      </c>
      <c r="H160" s="3" t="s">
        <v>45</v>
      </c>
      <c r="I160" s="3">
        <v>2025</v>
      </c>
      <c r="J160" s="3" t="str">
        <f>CONCATENATE("54810146370")</f>
        <v>54810146370</v>
      </c>
      <c r="K160" s="3" t="s">
        <v>33</v>
      </c>
      <c r="L160" s="3"/>
      <c r="M160" s="3" t="s">
        <v>34</v>
      </c>
      <c r="N160" s="3" t="str">
        <f>CONCATENATE("RCCDVD98R14I324A")</f>
        <v>RCCDVD98R14I324A</v>
      </c>
      <c r="O160" s="3" t="s">
        <v>241</v>
      </c>
      <c r="P160" s="3" t="s">
        <v>36</v>
      </c>
      <c r="Q160" s="3"/>
      <c r="R160" s="4">
        <v>45965</v>
      </c>
      <c r="S160" s="3" t="s">
        <v>37</v>
      </c>
      <c r="T160" s="3" t="s">
        <v>36</v>
      </c>
      <c r="U160" s="3" t="s">
        <v>38</v>
      </c>
      <c r="V160" s="5">
        <v>1403.22</v>
      </c>
      <c r="W160" s="3">
        <v>596.37</v>
      </c>
      <c r="X160" s="3">
        <v>564.79999999999995</v>
      </c>
      <c r="Y160" s="3">
        <v>242.05</v>
      </c>
    </row>
    <row r="161" spans="1:25" ht="60.75" x14ac:dyDescent="0.25">
      <c r="A161" s="3" t="s">
        <v>26</v>
      </c>
      <c r="B161" s="3" t="s">
        <v>27</v>
      </c>
      <c r="C161" s="3" t="s">
        <v>28</v>
      </c>
      <c r="D161" s="3" t="s">
        <v>47</v>
      </c>
      <c r="E161" s="3" t="s">
        <v>48</v>
      </c>
      <c r="F161" s="3" t="s">
        <v>49</v>
      </c>
      <c r="G161" s="3" t="s">
        <v>48</v>
      </c>
      <c r="H161" s="3" t="s">
        <v>45</v>
      </c>
      <c r="I161" s="3">
        <v>2025</v>
      </c>
      <c r="J161" s="3" t="str">
        <f>CONCATENATE("54810150687")</f>
        <v>54810150687</v>
      </c>
      <c r="K161" s="3" t="s">
        <v>33</v>
      </c>
      <c r="L161" s="3"/>
      <c r="M161" s="3" t="s">
        <v>34</v>
      </c>
      <c r="N161" s="3" t="str">
        <f>CONCATENATE("FRSLDA53H12F722Y")</f>
        <v>FRSLDA53H12F722Y</v>
      </c>
      <c r="O161" s="3" t="s">
        <v>242</v>
      </c>
      <c r="P161" s="3" t="s">
        <v>36</v>
      </c>
      <c r="Q161" s="3"/>
      <c r="R161" s="4">
        <v>45965</v>
      </c>
      <c r="S161" s="3" t="s">
        <v>37</v>
      </c>
      <c r="T161" s="3" t="s">
        <v>36</v>
      </c>
      <c r="U161" s="3" t="s">
        <v>38</v>
      </c>
      <c r="V161" s="5">
        <v>1233.93</v>
      </c>
      <c r="W161" s="3">
        <v>524.41999999999996</v>
      </c>
      <c r="X161" s="3">
        <v>496.66</v>
      </c>
      <c r="Y161" s="3">
        <v>212.85</v>
      </c>
    </row>
    <row r="162" spans="1:25" ht="72.75" x14ac:dyDescent="0.25">
      <c r="A162" s="3" t="s">
        <v>26</v>
      </c>
      <c r="B162" s="3" t="s">
        <v>27</v>
      </c>
      <c r="C162" s="3" t="s">
        <v>28</v>
      </c>
      <c r="D162" s="3" t="s">
        <v>115</v>
      </c>
      <c r="E162" s="3" t="s">
        <v>129</v>
      </c>
      <c r="F162" s="3" t="s">
        <v>115</v>
      </c>
      <c r="G162" s="3" t="s">
        <v>129</v>
      </c>
      <c r="H162" s="3" t="s">
        <v>45</v>
      </c>
      <c r="I162" s="3">
        <v>2025</v>
      </c>
      <c r="J162" s="3" t="str">
        <f>CONCATENATE("54810256880")</f>
        <v>54810256880</v>
      </c>
      <c r="K162" s="3" t="s">
        <v>33</v>
      </c>
      <c r="L162" s="3"/>
      <c r="M162" s="3" t="s">
        <v>34</v>
      </c>
      <c r="N162" s="3" t="str">
        <f>CONCATENATE("VGNMSM68E27G516C")</f>
        <v>VGNMSM68E27G516C</v>
      </c>
      <c r="O162" s="3" t="s">
        <v>243</v>
      </c>
      <c r="P162" s="3" t="s">
        <v>36</v>
      </c>
      <c r="Q162" s="3"/>
      <c r="R162" s="4">
        <v>45965</v>
      </c>
      <c r="S162" s="3" t="s">
        <v>37</v>
      </c>
      <c r="T162" s="3" t="s">
        <v>36</v>
      </c>
      <c r="U162" s="3" t="s">
        <v>38</v>
      </c>
      <c r="V162" s="5">
        <v>1671.5</v>
      </c>
      <c r="W162" s="3">
        <v>710.39</v>
      </c>
      <c r="X162" s="3">
        <v>672.78</v>
      </c>
      <c r="Y162" s="3">
        <v>288.33</v>
      </c>
    </row>
    <row r="163" spans="1:25" ht="60.75" x14ac:dyDescent="0.25">
      <c r="A163" s="3" t="s">
        <v>26</v>
      </c>
      <c r="B163" s="3" t="s">
        <v>27</v>
      </c>
      <c r="C163" s="3" t="s">
        <v>28</v>
      </c>
      <c r="D163" s="3" t="s">
        <v>115</v>
      </c>
      <c r="E163" s="3" t="s">
        <v>129</v>
      </c>
      <c r="F163" s="3" t="s">
        <v>115</v>
      </c>
      <c r="G163" s="3" t="s">
        <v>129</v>
      </c>
      <c r="H163" s="3" t="s">
        <v>45</v>
      </c>
      <c r="I163" s="3">
        <v>2025</v>
      </c>
      <c r="J163" s="3" t="str">
        <f>CONCATENATE("54810269321")</f>
        <v>54810269321</v>
      </c>
      <c r="K163" s="3" t="s">
        <v>33</v>
      </c>
      <c r="L163" s="3"/>
      <c r="M163" s="3" t="s">
        <v>34</v>
      </c>
      <c r="N163" s="3" t="str">
        <f>CONCATENATE("VGNTMS73E25G516O")</f>
        <v>VGNTMS73E25G516O</v>
      </c>
      <c r="O163" s="3" t="s">
        <v>244</v>
      </c>
      <c r="P163" s="3" t="s">
        <v>36</v>
      </c>
      <c r="Q163" s="3"/>
      <c r="R163" s="4">
        <v>45965</v>
      </c>
      <c r="S163" s="3" t="s">
        <v>37</v>
      </c>
      <c r="T163" s="3" t="s">
        <v>36</v>
      </c>
      <c r="U163" s="3" t="s">
        <v>38</v>
      </c>
      <c r="V163" s="5">
        <v>2890</v>
      </c>
      <c r="W163" s="5">
        <v>1228.25</v>
      </c>
      <c r="X163" s="5">
        <v>1163.23</v>
      </c>
      <c r="Y163" s="3">
        <v>498.52</v>
      </c>
    </row>
    <row r="164" spans="1:25" ht="60.75" x14ac:dyDescent="0.25">
      <c r="A164" s="3" t="s">
        <v>26</v>
      </c>
      <c r="B164" s="3" t="s">
        <v>27</v>
      </c>
      <c r="C164" s="3" t="s">
        <v>28</v>
      </c>
      <c r="D164" s="3" t="s">
        <v>29</v>
      </c>
      <c r="E164" s="3" t="s">
        <v>44</v>
      </c>
      <c r="F164" s="3" t="s">
        <v>31</v>
      </c>
      <c r="G164" s="3" t="s">
        <v>44</v>
      </c>
      <c r="H164" s="3" t="s">
        <v>45</v>
      </c>
      <c r="I164" s="3">
        <v>2025</v>
      </c>
      <c r="J164" s="3" t="str">
        <f>CONCATENATE("54810152741")</f>
        <v>54810152741</v>
      </c>
      <c r="K164" s="3" t="s">
        <v>33</v>
      </c>
      <c r="L164" s="3"/>
      <c r="M164" s="3" t="s">
        <v>34</v>
      </c>
      <c r="N164" s="3" t="str">
        <f>CONCATENATE("GMNPRI61L28F415R")</f>
        <v>GMNPRI61L28F415R</v>
      </c>
      <c r="O164" s="3" t="s">
        <v>245</v>
      </c>
      <c r="P164" s="3" t="s">
        <v>36</v>
      </c>
      <c r="Q164" s="3"/>
      <c r="R164" s="4">
        <v>45965</v>
      </c>
      <c r="S164" s="3" t="s">
        <v>37</v>
      </c>
      <c r="T164" s="3" t="s">
        <v>36</v>
      </c>
      <c r="U164" s="3" t="s">
        <v>38</v>
      </c>
      <c r="V164" s="5">
        <v>2736.72</v>
      </c>
      <c r="W164" s="5">
        <v>1163.1099999999999</v>
      </c>
      <c r="X164" s="5">
        <v>1101.53</v>
      </c>
      <c r="Y164" s="3">
        <v>472.08</v>
      </c>
    </row>
    <row r="165" spans="1:25" ht="60.75" x14ac:dyDescent="0.25">
      <c r="A165" s="3" t="s">
        <v>26</v>
      </c>
      <c r="B165" s="3" t="s">
        <v>27</v>
      </c>
      <c r="C165" s="3" t="s">
        <v>28</v>
      </c>
      <c r="D165" s="3" t="s">
        <v>29</v>
      </c>
      <c r="E165" s="3" t="s">
        <v>44</v>
      </c>
      <c r="F165" s="3" t="s">
        <v>31</v>
      </c>
      <c r="G165" s="3" t="s">
        <v>44</v>
      </c>
      <c r="H165" s="3" t="s">
        <v>45</v>
      </c>
      <c r="I165" s="3">
        <v>2025</v>
      </c>
      <c r="J165" s="3" t="str">
        <f>CONCATENATE("54810339660")</f>
        <v>54810339660</v>
      </c>
      <c r="K165" s="3" t="s">
        <v>33</v>
      </c>
      <c r="L165" s="3"/>
      <c r="M165" s="3" t="s">
        <v>34</v>
      </c>
      <c r="N165" s="3" t="str">
        <f>CONCATENATE("TRNGZL54T48H588K")</f>
        <v>TRNGZL54T48H588K</v>
      </c>
      <c r="O165" s="3" t="s">
        <v>246</v>
      </c>
      <c r="P165" s="3" t="s">
        <v>36</v>
      </c>
      <c r="Q165" s="3"/>
      <c r="R165" s="4">
        <v>45965</v>
      </c>
      <c r="S165" s="3" t="s">
        <v>37</v>
      </c>
      <c r="T165" s="3" t="s">
        <v>36</v>
      </c>
      <c r="U165" s="3" t="s">
        <v>38</v>
      </c>
      <c r="V165" s="5">
        <v>2707</v>
      </c>
      <c r="W165" s="5">
        <v>1150.48</v>
      </c>
      <c r="X165" s="5">
        <v>1089.57</v>
      </c>
      <c r="Y165" s="3">
        <v>466.95</v>
      </c>
    </row>
    <row r="166" spans="1:25" ht="60.75" x14ac:dyDescent="0.25">
      <c r="A166" s="3" t="s">
        <v>26</v>
      </c>
      <c r="B166" s="3" t="s">
        <v>27</v>
      </c>
      <c r="C166" s="3" t="s">
        <v>28</v>
      </c>
      <c r="D166" s="3" t="s">
        <v>115</v>
      </c>
      <c r="E166" s="3" t="s">
        <v>129</v>
      </c>
      <c r="F166" s="3" t="s">
        <v>115</v>
      </c>
      <c r="G166" s="3" t="s">
        <v>129</v>
      </c>
      <c r="H166" s="3" t="s">
        <v>45</v>
      </c>
      <c r="I166" s="3">
        <v>2025</v>
      </c>
      <c r="J166" s="3" t="str">
        <f>CONCATENATE("54810155884")</f>
        <v>54810155884</v>
      </c>
      <c r="K166" s="3" t="s">
        <v>33</v>
      </c>
      <c r="L166" s="3"/>
      <c r="M166" s="3" t="s">
        <v>34</v>
      </c>
      <c r="N166" s="3" t="str">
        <f>CONCATENATE("PRGGNN71C13G516K")</f>
        <v>PRGGNN71C13G516K</v>
      </c>
      <c r="O166" s="3" t="s">
        <v>247</v>
      </c>
      <c r="P166" s="3" t="s">
        <v>36</v>
      </c>
      <c r="Q166" s="3"/>
      <c r="R166" s="4">
        <v>45965</v>
      </c>
      <c r="S166" s="3" t="s">
        <v>37</v>
      </c>
      <c r="T166" s="3" t="s">
        <v>36</v>
      </c>
      <c r="U166" s="3" t="s">
        <v>38</v>
      </c>
      <c r="V166" s="5">
        <v>2897.42</v>
      </c>
      <c r="W166" s="5">
        <v>1231.4000000000001</v>
      </c>
      <c r="X166" s="5">
        <v>1166.21</v>
      </c>
      <c r="Y166" s="3">
        <v>499.81</v>
      </c>
    </row>
    <row r="167" spans="1:25" ht="36.75" x14ac:dyDescent="0.25">
      <c r="A167" s="3" t="s">
        <v>26</v>
      </c>
      <c r="B167" s="3" t="s">
        <v>27</v>
      </c>
      <c r="C167" s="3" t="s">
        <v>28</v>
      </c>
      <c r="D167" s="3" t="s">
        <v>47</v>
      </c>
      <c r="E167" s="3" t="s">
        <v>132</v>
      </c>
      <c r="F167" s="3" t="s">
        <v>49</v>
      </c>
      <c r="G167" s="3" t="s">
        <v>132</v>
      </c>
      <c r="H167" s="3" t="s">
        <v>45</v>
      </c>
      <c r="I167" s="3">
        <v>2025</v>
      </c>
      <c r="J167" s="3" t="str">
        <f>CONCATENATE("54810167020")</f>
        <v>54810167020</v>
      </c>
      <c r="K167" s="3" t="s">
        <v>33</v>
      </c>
      <c r="L167" s="3"/>
      <c r="M167" s="3" t="s">
        <v>34</v>
      </c>
      <c r="N167" s="3" t="str">
        <f>CONCATENATE("00737700443")</f>
        <v>00737700443</v>
      </c>
      <c r="O167" s="3" t="s">
        <v>248</v>
      </c>
      <c r="P167" s="3" t="s">
        <v>36</v>
      </c>
      <c r="Q167" s="3"/>
      <c r="R167" s="4">
        <v>45965</v>
      </c>
      <c r="S167" s="3" t="s">
        <v>37</v>
      </c>
      <c r="T167" s="3" t="s">
        <v>36</v>
      </c>
      <c r="U167" s="3" t="s">
        <v>38</v>
      </c>
      <c r="V167" s="5">
        <v>8881.25</v>
      </c>
      <c r="W167" s="5">
        <v>3774.53</v>
      </c>
      <c r="X167" s="5">
        <v>3574.7</v>
      </c>
      <c r="Y167" s="5">
        <v>1532.02</v>
      </c>
    </row>
    <row r="168" spans="1:25" ht="60.75" x14ac:dyDescent="0.25">
      <c r="A168" s="3" t="s">
        <v>26</v>
      </c>
      <c r="B168" s="3" t="s">
        <v>27</v>
      </c>
      <c r="C168" s="3" t="s">
        <v>28</v>
      </c>
      <c r="D168" s="3" t="s">
        <v>29</v>
      </c>
      <c r="E168" s="3" t="s">
        <v>44</v>
      </c>
      <c r="F168" s="3" t="s">
        <v>31</v>
      </c>
      <c r="G168" s="3" t="s">
        <v>44</v>
      </c>
      <c r="H168" s="3" t="s">
        <v>45</v>
      </c>
      <c r="I168" s="3">
        <v>2025</v>
      </c>
      <c r="J168" s="3" t="str">
        <f>CONCATENATE("54810181765")</f>
        <v>54810181765</v>
      </c>
      <c r="K168" s="3" t="s">
        <v>33</v>
      </c>
      <c r="L168" s="3"/>
      <c r="M168" s="3" t="s">
        <v>34</v>
      </c>
      <c r="N168" s="3" t="str">
        <f>CONCATENATE("SBERRT65P26F415E")</f>
        <v>SBERRT65P26F415E</v>
      </c>
      <c r="O168" s="3" t="s">
        <v>249</v>
      </c>
      <c r="P168" s="3" t="s">
        <v>36</v>
      </c>
      <c r="Q168" s="3"/>
      <c r="R168" s="4">
        <v>45965</v>
      </c>
      <c r="S168" s="3" t="s">
        <v>37</v>
      </c>
      <c r="T168" s="3" t="s">
        <v>36</v>
      </c>
      <c r="U168" s="3" t="s">
        <v>38</v>
      </c>
      <c r="V168" s="5">
        <v>6716.34</v>
      </c>
      <c r="W168" s="5">
        <v>2854.44</v>
      </c>
      <c r="X168" s="5">
        <v>2703.33</v>
      </c>
      <c r="Y168" s="5">
        <v>1158.57</v>
      </c>
    </row>
    <row r="169" spans="1:25" ht="72.75" x14ac:dyDescent="0.25">
      <c r="A169" s="3" t="s">
        <v>26</v>
      </c>
      <c r="B169" s="3" t="s">
        <v>27</v>
      </c>
      <c r="C169" s="3" t="s">
        <v>28</v>
      </c>
      <c r="D169" s="3" t="s">
        <v>115</v>
      </c>
      <c r="E169" s="3" t="s">
        <v>129</v>
      </c>
      <c r="F169" s="3" t="s">
        <v>115</v>
      </c>
      <c r="G169" s="3" t="s">
        <v>129</v>
      </c>
      <c r="H169" s="3" t="s">
        <v>45</v>
      </c>
      <c r="I169" s="3">
        <v>2025</v>
      </c>
      <c r="J169" s="3" t="str">
        <f>CONCATENATE("54810223435")</f>
        <v>54810223435</v>
      </c>
      <c r="K169" s="3" t="s">
        <v>33</v>
      </c>
      <c r="L169" s="3"/>
      <c r="M169" s="3" t="s">
        <v>34</v>
      </c>
      <c r="N169" s="3" t="str">
        <f>CONCATENATE("PSQRTD63B01H769A")</f>
        <v>PSQRTD63B01H769A</v>
      </c>
      <c r="O169" s="3" t="s">
        <v>250</v>
      </c>
      <c r="P169" s="3" t="s">
        <v>36</v>
      </c>
      <c r="Q169" s="3"/>
      <c r="R169" s="4">
        <v>45965</v>
      </c>
      <c r="S169" s="3" t="s">
        <v>37</v>
      </c>
      <c r="T169" s="3" t="s">
        <v>36</v>
      </c>
      <c r="U169" s="3" t="s">
        <v>38</v>
      </c>
      <c r="V169" s="5">
        <v>3895.07</v>
      </c>
      <c r="W169" s="5">
        <v>1655.4</v>
      </c>
      <c r="X169" s="5">
        <v>1567.77</v>
      </c>
      <c r="Y169" s="3">
        <v>671.9</v>
      </c>
    </row>
    <row r="170" spans="1:25" ht="36.75" x14ac:dyDescent="0.25">
      <c r="A170" s="3" t="s">
        <v>26</v>
      </c>
      <c r="B170" s="3" t="s">
        <v>27</v>
      </c>
      <c r="C170" s="3" t="s">
        <v>28</v>
      </c>
      <c r="D170" s="3" t="s">
        <v>29</v>
      </c>
      <c r="E170" s="3" t="s">
        <v>44</v>
      </c>
      <c r="F170" s="3" t="s">
        <v>31</v>
      </c>
      <c r="G170" s="3" t="s">
        <v>44</v>
      </c>
      <c r="H170" s="3" t="s">
        <v>45</v>
      </c>
      <c r="I170" s="3">
        <v>2025</v>
      </c>
      <c r="J170" s="3" t="str">
        <f>CONCATENATE("54810345097")</f>
        <v>54810345097</v>
      </c>
      <c r="K170" s="3" t="s">
        <v>33</v>
      </c>
      <c r="L170" s="3"/>
      <c r="M170" s="3" t="s">
        <v>34</v>
      </c>
      <c r="N170" s="3" t="str">
        <f>CONCATENATE("02273320446")</f>
        <v>02273320446</v>
      </c>
      <c r="O170" s="3" t="s">
        <v>251</v>
      </c>
      <c r="P170" s="3" t="s">
        <v>36</v>
      </c>
      <c r="Q170" s="3"/>
      <c r="R170" s="4">
        <v>45965</v>
      </c>
      <c r="S170" s="3" t="s">
        <v>37</v>
      </c>
      <c r="T170" s="3" t="s">
        <v>36</v>
      </c>
      <c r="U170" s="3" t="s">
        <v>38</v>
      </c>
      <c r="V170" s="5">
        <v>4053</v>
      </c>
      <c r="W170" s="5">
        <v>1722.53</v>
      </c>
      <c r="X170" s="5">
        <v>1631.33</v>
      </c>
      <c r="Y170" s="3">
        <v>699.14</v>
      </c>
    </row>
    <row r="171" spans="1:25" ht="60.75" x14ac:dyDescent="0.25">
      <c r="A171" s="3" t="s">
        <v>26</v>
      </c>
      <c r="B171" s="3" t="s">
        <v>27</v>
      </c>
      <c r="C171" s="3" t="s">
        <v>28</v>
      </c>
      <c r="D171" s="3" t="s">
        <v>47</v>
      </c>
      <c r="E171" s="3" t="s">
        <v>127</v>
      </c>
      <c r="F171" s="3" t="s">
        <v>49</v>
      </c>
      <c r="G171" s="3" t="s">
        <v>127</v>
      </c>
      <c r="H171" s="3" t="s">
        <v>45</v>
      </c>
      <c r="I171" s="3">
        <v>2025</v>
      </c>
      <c r="J171" s="3" t="str">
        <f>CONCATENATE("54810231487")</f>
        <v>54810231487</v>
      </c>
      <c r="K171" s="3" t="s">
        <v>33</v>
      </c>
      <c r="L171" s="3"/>
      <c r="M171" s="3" t="s">
        <v>34</v>
      </c>
      <c r="N171" s="3" t="str">
        <f>CONCATENATE("NTGMNN64P47F599I")</f>
        <v>NTGMNN64P47F599I</v>
      </c>
      <c r="O171" s="3" t="s">
        <v>252</v>
      </c>
      <c r="P171" s="3" t="s">
        <v>36</v>
      </c>
      <c r="Q171" s="3"/>
      <c r="R171" s="4">
        <v>45965</v>
      </c>
      <c r="S171" s="3" t="s">
        <v>37</v>
      </c>
      <c r="T171" s="3" t="s">
        <v>36</v>
      </c>
      <c r="U171" s="3" t="s">
        <v>38</v>
      </c>
      <c r="V171" s="5">
        <v>1491.64</v>
      </c>
      <c r="W171" s="3">
        <v>633.95000000000005</v>
      </c>
      <c r="X171" s="3">
        <v>600.39</v>
      </c>
      <c r="Y171" s="3">
        <v>257.3</v>
      </c>
    </row>
    <row r="172" spans="1:25" ht="60.75" x14ac:dyDescent="0.25">
      <c r="A172" s="3" t="s">
        <v>26</v>
      </c>
      <c r="B172" s="3" t="s">
        <v>27</v>
      </c>
      <c r="C172" s="3" t="s">
        <v>28</v>
      </c>
      <c r="D172" s="3" t="s">
        <v>47</v>
      </c>
      <c r="E172" s="3" t="s">
        <v>127</v>
      </c>
      <c r="F172" s="3" t="s">
        <v>49</v>
      </c>
      <c r="G172" s="3" t="s">
        <v>127</v>
      </c>
      <c r="H172" s="3" t="s">
        <v>45</v>
      </c>
      <c r="I172" s="3">
        <v>2025</v>
      </c>
      <c r="J172" s="3" t="str">
        <f>CONCATENATE("54810309481")</f>
        <v>54810309481</v>
      </c>
      <c r="K172" s="3" t="s">
        <v>33</v>
      </c>
      <c r="L172" s="3"/>
      <c r="M172" s="3" t="s">
        <v>34</v>
      </c>
      <c r="N172" s="3" t="str">
        <f>CONCATENATE("LPUMTT86E10D542L")</f>
        <v>LPUMTT86E10D542L</v>
      </c>
      <c r="O172" s="3" t="s">
        <v>253</v>
      </c>
      <c r="P172" s="3" t="s">
        <v>36</v>
      </c>
      <c r="Q172" s="3"/>
      <c r="R172" s="4">
        <v>45965</v>
      </c>
      <c r="S172" s="3" t="s">
        <v>37</v>
      </c>
      <c r="T172" s="3" t="s">
        <v>36</v>
      </c>
      <c r="U172" s="3" t="s">
        <v>38</v>
      </c>
      <c r="V172" s="5">
        <v>1436.34</v>
      </c>
      <c r="W172" s="3">
        <v>610.44000000000005</v>
      </c>
      <c r="X172" s="3">
        <v>578.13</v>
      </c>
      <c r="Y172" s="3">
        <v>247.77</v>
      </c>
    </row>
    <row r="173" spans="1:25" ht="72.75" x14ac:dyDescent="0.25">
      <c r="A173" s="3" t="s">
        <v>26</v>
      </c>
      <c r="B173" s="3" t="s">
        <v>27</v>
      </c>
      <c r="C173" s="3" t="s">
        <v>28</v>
      </c>
      <c r="D173" s="3" t="s">
        <v>29</v>
      </c>
      <c r="E173" s="3" t="s">
        <v>64</v>
      </c>
      <c r="F173" s="3" t="s">
        <v>31</v>
      </c>
      <c r="G173" s="3" t="s">
        <v>64</v>
      </c>
      <c r="H173" s="3" t="s">
        <v>42</v>
      </c>
      <c r="I173" s="3">
        <v>2025</v>
      </c>
      <c r="J173" s="3" t="str">
        <f>CONCATENATE("54810387776")</f>
        <v>54810387776</v>
      </c>
      <c r="K173" s="3" t="s">
        <v>33</v>
      </c>
      <c r="L173" s="3"/>
      <c r="M173" s="3" t="s">
        <v>34</v>
      </c>
      <c r="N173" s="3" t="str">
        <f>CONCATENATE("PCNMNL99D23A271W")</f>
        <v>PCNMNL99D23A271W</v>
      </c>
      <c r="O173" s="3" t="s">
        <v>254</v>
      </c>
      <c r="P173" s="3" t="s">
        <v>36</v>
      </c>
      <c r="Q173" s="3"/>
      <c r="R173" s="4">
        <v>45965</v>
      </c>
      <c r="S173" s="3" t="s">
        <v>37</v>
      </c>
      <c r="T173" s="3" t="s">
        <v>36</v>
      </c>
      <c r="U173" s="3" t="s">
        <v>38</v>
      </c>
      <c r="V173" s="3">
        <v>994.68</v>
      </c>
      <c r="W173" s="3">
        <v>422.74</v>
      </c>
      <c r="X173" s="3">
        <v>400.36</v>
      </c>
      <c r="Y173" s="3">
        <v>171.58</v>
      </c>
    </row>
    <row r="174" spans="1:25" ht="60.75" x14ac:dyDescent="0.25">
      <c r="A174" s="3" t="s">
        <v>26</v>
      </c>
      <c r="B174" s="3" t="s">
        <v>27</v>
      </c>
      <c r="C174" s="3" t="s">
        <v>28</v>
      </c>
      <c r="D174" s="3" t="s">
        <v>57</v>
      </c>
      <c r="E174" s="3" t="s">
        <v>61</v>
      </c>
      <c r="F174" s="3" t="s">
        <v>59</v>
      </c>
      <c r="G174" s="3" t="s">
        <v>61</v>
      </c>
      <c r="H174" s="3" t="s">
        <v>42</v>
      </c>
      <c r="I174" s="3">
        <v>2025</v>
      </c>
      <c r="J174" s="3" t="str">
        <f>CONCATENATE("54810077583")</f>
        <v>54810077583</v>
      </c>
      <c r="K174" s="3" t="s">
        <v>33</v>
      </c>
      <c r="L174" s="3"/>
      <c r="M174" s="3" t="s">
        <v>34</v>
      </c>
      <c r="N174" s="3" t="str">
        <f>CONCATENATE("CPPTZN72T50E783X")</f>
        <v>CPPTZN72T50E783X</v>
      </c>
      <c r="O174" s="3" t="s">
        <v>255</v>
      </c>
      <c r="P174" s="3" t="s">
        <v>36</v>
      </c>
      <c r="Q174" s="3"/>
      <c r="R174" s="4">
        <v>45965</v>
      </c>
      <c r="S174" s="3" t="s">
        <v>37</v>
      </c>
      <c r="T174" s="3" t="s">
        <v>36</v>
      </c>
      <c r="U174" s="3" t="s">
        <v>38</v>
      </c>
      <c r="V174" s="5">
        <v>3647.97</v>
      </c>
      <c r="W174" s="5">
        <v>1550.39</v>
      </c>
      <c r="X174" s="5">
        <v>1468.31</v>
      </c>
      <c r="Y174" s="3">
        <v>629.27</v>
      </c>
    </row>
    <row r="175" spans="1:25" ht="60.75" x14ac:dyDescent="0.25">
      <c r="A175" s="3" t="s">
        <v>26</v>
      </c>
      <c r="B175" s="3" t="s">
        <v>27</v>
      </c>
      <c r="C175" s="3" t="s">
        <v>28</v>
      </c>
      <c r="D175" s="3" t="s">
        <v>57</v>
      </c>
      <c r="E175" s="3" t="s">
        <v>61</v>
      </c>
      <c r="F175" s="3" t="s">
        <v>59</v>
      </c>
      <c r="G175" s="3" t="s">
        <v>61</v>
      </c>
      <c r="H175" s="3" t="s">
        <v>42</v>
      </c>
      <c r="I175" s="3">
        <v>2025</v>
      </c>
      <c r="J175" s="3" t="str">
        <f>CONCATENATE("54810089091")</f>
        <v>54810089091</v>
      </c>
      <c r="K175" s="3" t="s">
        <v>33</v>
      </c>
      <c r="L175" s="3"/>
      <c r="M175" s="3" t="s">
        <v>34</v>
      </c>
      <c r="N175" s="3" t="str">
        <f>CONCATENATE("PRMRRT83M25I156J")</f>
        <v>PRMRRT83M25I156J</v>
      </c>
      <c r="O175" s="3" t="s">
        <v>256</v>
      </c>
      <c r="P175" s="3" t="s">
        <v>36</v>
      </c>
      <c r="Q175" s="3"/>
      <c r="R175" s="4">
        <v>45965</v>
      </c>
      <c r="S175" s="3" t="s">
        <v>37</v>
      </c>
      <c r="T175" s="3" t="s">
        <v>36</v>
      </c>
      <c r="U175" s="3" t="s">
        <v>38</v>
      </c>
      <c r="V175" s="5">
        <v>3656.47</v>
      </c>
      <c r="W175" s="5">
        <v>1554</v>
      </c>
      <c r="X175" s="5">
        <v>1471.73</v>
      </c>
      <c r="Y175" s="3">
        <v>630.74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57</v>
      </c>
      <c r="E176" s="3" t="s">
        <v>61</v>
      </c>
      <c r="F176" s="3" t="s">
        <v>59</v>
      </c>
      <c r="G176" s="3" t="s">
        <v>61</v>
      </c>
      <c r="H176" s="3" t="s">
        <v>42</v>
      </c>
      <c r="I176" s="3">
        <v>2025</v>
      </c>
      <c r="J176" s="3" t="str">
        <f>CONCATENATE("54810090057")</f>
        <v>54810090057</v>
      </c>
      <c r="K176" s="3" t="s">
        <v>33</v>
      </c>
      <c r="L176" s="3"/>
      <c r="M176" s="3" t="s">
        <v>34</v>
      </c>
      <c r="N176" s="3" t="str">
        <f>CONCATENATE("RNZGNN51T22D042B")</f>
        <v>RNZGNN51T22D042B</v>
      </c>
      <c r="O176" s="3" t="s">
        <v>257</v>
      </c>
      <c r="P176" s="3" t="s">
        <v>36</v>
      </c>
      <c r="Q176" s="3"/>
      <c r="R176" s="4">
        <v>45965</v>
      </c>
      <c r="S176" s="3" t="s">
        <v>37</v>
      </c>
      <c r="T176" s="3" t="s">
        <v>36</v>
      </c>
      <c r="U176" s="3" t="s">
        <v>38</v>
      </c>
      <c r="V176" s="5">
        <v>5689.93</v>
      </c>
      <c r="W176" s="5">
        <v>2418.2199999999998</v>
      </c>
      <c r="X176" s="5">
        <v>2290.1999999999998</v>
      </c>
      <c r="Y176" s="3">
        <v>981.51</v>
      </c>
    </row>
    <row r="177" spans="1:25" ht="60.75" x14ac:dyDescent="0.25">
      <c r="A177" s="3" t="s">
        <v>26</v>
      </c>
      <c r="B177" s="3" t="s">
        <v>27</v>
      </c>
      <c r="C177" s="3" t="s">
        <v>28</v>
      </c>
      <c r="D177" s="3" t="s">
        <v>29</v>
      </c>
      <c r="E177" s="3" t="s">
        <v>44</v>
      </c>
      <c r="F177" s="3" t="s">
        <v>31</v>
      </c>
      <c r="G177" s="3" t="s">
        <v>44</v>
      </c>
      <c r="H177" s="3" t="s">
        <v>45</v>
      </c>
      <c r="I177" s="3">
        <v>2025</v>
      </c>
      <c r="J177" s="3" t="str">
        <f>CONCATENATE("54810147337")</f>
        <v>54810147337</v>
      </c>
      <c r="K177" s="3" t="s">
        <v>33</v>
      </c>
      <c r="L177" s="3"/>
      <c r="M177" s="3" t="s">
        <v>34</v>
      </c>
      <c r="N177" s="3" t="str">
        <f>CONCATENATE("CRUMRZ74E14G516C")</f>
        <v>CRUMRZ74E14G516C</v>
      </c>
      <c r="O177" s="3" t="s">
        <v>258</v>
      </c>
      <c r="P177" s="3" t="s">
        <v>36</v>
      </c>
      <c r="Q177" s="3"/>
      <c r="R177" s="4">
        <v>45965</v>
      </c>
      <c r="S177" s="3" t="s">
        <v>37</v>
      </c>
      <c r="T177" s="3" t="s">
        <v>36</v>
      </c>
      <c r="U177" s="3" t="s">
        <v>38</v>
      </c>
      <c r="V177" s="5">
        <v>1991.3</v>
      </c>
      <c r="W177" s="3">
        <v>846.3</v>
      </c>
      <c r="X177" s="3">
        <v>801.5</v>
      </c>
      <c r="Y177" s="3">
        <v>343.5</v>
      </c>
    </row>
    <row r="178" spans="1:25" ht="36.75" x14ac:dyDescent="0.25">
      <c r="A178" s="3" t="s">
        <v>26</v>
      </c>
      <c r="B178" s="3" t="s">
        <v>27</v>
      </c>
      <c r="C178" s="3" t="s">
        <v>28</v>
      </c>
      <c r="D178" s="3" t="s">
        <v>29</v>
      </c>
      <c r="E178" s="3" t="s">
        <v>64</v>
      </c>
      <c r="F178" s="3" t="s">
        <v>31</v>
      </c>
      <c r="G178" s="3" t="s">
        <v>64</v>
      </c>
      <c r="H178" s="3" t="s">
        <v>42</v>
      </c>
      <c r="I178" s="3">
        <v>2025</v>
      </c>
      <c r="J178" s="3" t="str">
        <f>CONCATENATE("54810228905")</f>
        <v>54810228905</v>
      </c>
      <c r="K178" s="3" t="s">
        <v>33</v>
      </c>
      <c r="L178" s="3"/>
      <c r="M178" s="3" t="s">
        <v>34</v>
      </c>
      <c r="N178" s="3" t="str">
        <f>CONCATENATE("02121500439")</f>
        <v>02121500439</v>
      </c>
      <c r="O178" s="3" t="s">
        <v>259</v>
      </c>
      <c r="P178" s="3" t="s">
        <v>36</v>
      </c>
      <c r="Q178" s="3"/>
      <c r="R178" s="4">
        <v>45965</v>
      </c>
      <c r="S178" s="3" t="s">
        <v>37</v>
      </c>
      <c r="T178" s="3" t="s">
        <v>36</v>
      </c>
      <c r="U178" s="3" t="s">
        <v>38</v>
      </c>
      <c r="V178" s="5">
        <v>1724.24</v>
      </c>
      <c r="W178" s="3">
        <v>732.8</v>
      </c>
      <c r="X178" s="3">
        <v>694.01</v>
      </c>
      <c r="Y178" s="3">
        <v>297.43</v>
      </c>
    </row>
    <row r="179" spans="1:25" ht="60.75" x14ac:dyDescent="0.25">
      <c r="A179" s="3" t="s">
        <v>26</v>
      </c>
      <c r="B179" s="3" t="s">
        <v>27</v>
      </c>
      <c r="C179" s="3" t="s">
        <v>28</v>
      </c>
      <c r="D179" s="3" t="s">
        <v>29</v>
      </c>
      <c r="E179" s="3" t="s">
        <v>51</v>
      </c>
      <c r="F179" s="3" t="s">
        <v>31</v>
      </c>
      <c r="G179" s="3" t="s">
        <v>51</v>
      </c>
      <c r="H179" s="3" t="s">
        <v>42</v>
      </c>
      <c r="I179" s="3">
        <v>2025</v>
      </c>
      <c r="J179" s="3" t="str">
        <f>CONCATENATE("54810239753")</f>
        <v>54810239753</v>
      </c>
      <c r="K179" s="3" t="s">
        <v>33</v>
      </c>
      <c r="L179" s="3"/>
      <c r="M179" s="3" t="s">
        <v>34</v>
      </c>
      <c r="N179" s="3" t="str">
        <f>CONCATENATE("CLCGNN71H28C704O")</f>
        <v>CLCGNN71H28C704O</v>
      </c>
      <c r="O179" s="3" t="s">
        <v>260</v>
      </c>
      <c r="P179" s="3" t="s">
        <v>36</v>
      </c>
      <c r="Q179" s="3"/>
      <c r="R179" s="4">
        <v>45965</v>
      </c>
      <c r="S179" s="3" t="s">
        <v>37</v>
      </c>
      <c r="T179" s="3" t="s">
        <v>36</v>
      </c>
      <c r="U179" s="3" t="s">
        <v>38</v>
      </c>
      <c r="V179" s="5">
        <v>10871.1</v>
      </c>
      <c r="W179" s="5">
        <v>4620.22</v>
      </c>
      <c r="X179" s="5">
        <v>4375.62</v>
      </c>
      <c r="Y179" s="5">
        <v>1875.26</v>
      </c>
    </row>
    <row r="180" spans="1:25" ht="72.75" x14ac:dyDescent="0.25">
      <c r="A180" s="3" t="s">
        <v>26</v>
      </c>
      <c r="B180" s="3" t="s">
        <v>27</v>
      </c>
      <c r="C180" s="3" t="s">
        <v>28</v>
      </c>
      <c r="D180" s="3" t="s">
        <v>29</v>
      </c>
      <c r="E180" s="3" t="s">
        <v>64</v>
      </c>
      <c r="F180" s="3" t="s">
        <v>31</v>
      </c>
      <c r="G180" s="3" t="s">
        <v>64</v>
      </c>
      <c r="H180" s="3" t="s">
        <v>42</v>
      </c>
      <c r="I180" s="3">
        <v>2025</v>
      </c>
      <c r="J180" s="3" t="str">
        <f>CONCATENATE("54810271483")</f>
        <v>54810271483</v>
      </c>
      <c r="K180" s="3" t="s">
        <v>33</v>
      </c>
      <c r="L180" s="3"/>
      <c r="M180" s="3" t="s">
        <v>34</v>
      </c>
      <c r="N180" s="3" t="str">
        <f>CONCATENATE("PLTMTT02B19H211H")</f>
        <v>PLTMTT02B19H211H</v>
      </c>
      <c r="O180" s="3" t="s">
        <v>261</v>
      </c>
      <c r="P180" s="3" t="s">
        <v>36</v>
      </c>
      <c r="Q180" s="3"/>
      <c r="R180" s="4">
        <v>45965</v>
      </c>
      <c r="S180" s="3" t="s">
        <v>37</v>
      </c>
      <c r="T180" s="3" t="s">
        <v>36</v>
      </c>
      <c r="U180" s="3" t="s">
        <v>38</v>
      </c>
      <c r="V180" s="5">
        <v>1675.97</v>
      </c>
      <c r="W180" s="3">
        <v>712.29</v>
      </c>
      <c r="X180" s="3">
        <v>674.58</v>
      </c>
      <c r="Y180" s="3">
        <v>289.10000000000002</v>
      </c>
    </row>
    <row r="181" spans="1:25" ht="60.75" x14ac:dyDescent="0.25">
      <c r="A181" s="3" t="s">
        <v>26</v>
      </c>
      <c r="B181" s="3" t="s">
        <v>27</v>
      </c>
      <c r="C181" s="3" t="s">
        <v>28</v>
      </c>
      <c r="D181" s="3" t="s">
        <v>29</v>
      </c>
      <c r="E181" s="3" t="s">
        <v>51</v>
      </c>
      <c r="F181" s="3" t="s">
        <v>31</v>
      </c>
      <c r="G181" s="3" t="s">
        <v>51</v>
      </c>
      <c r="H181" s="3" t="s">
        <v>42</v>
      </c>
      <c r="I181" s="3">
        <v>2025</v>
      </c>
      <c r="J181" s="3" t="str">
        <f>CONCATENATE("54810740511")</f>
        <v>54810740511</v>
      </c>
      <c r="K181" s="3" t="s">
        <v>33</v>
      </c>
      <c r="L181" s="3"/>
      <c r="M181" s="3" t="s">
        <v>34</v>
      </c>
      <c r="N181" s="3" t="str">
        <f>CONCATENATE("RTNSFN64P29F454I")</f>
        <v>RTNSFN64P29F454I</v>
      </c>
      <c r="O181" s="3" t="s">
        <v>262</v>
      </c>
      <c r="P181" s="3" t="s">
        <v>36</v>
      </c>
      <c r="Q181" s="3"/>
      <c r="R181" s="4">
        <v>45965</v>
      </c>
      <c r="S181" s="3" t="s">
        <v>37</v>
      </c>
      <c r="T181" s="3" t="s">
        <v>36</v>
      </c>
      <c r="U181" s="3" t="s">
        <v>38</v>
      </c>
      <c r="V181" s="5">
        <v>2323.4899999999998</v>
      </c>
      <c r="W181" s="3">
        <v>987.48</v>
      </c>
      <c r="X181" s="3">
        <v>935.2</v>
      </c>
      <c r="Y181" s="3">
        <v>400.81</v>
      </c>
    </row>
    <row r="182" spans="1:25" ht="36.75" x14ac:dyDescent="0.25">
      <c r="A182" s="3" t="s">
        <v>26</v>
      </c>
      <c r="B182" s="3" t="s">
        <v>27</v>
      </c>
      <c r="C182" s="3" t="s">
        <v>28</v>
      </c>
      <c r="D182" s="3" t="s">
        <v>29</v>
      </c>
      <c r="E182" s="3" t="s">
        <v>53</v>
      </c>
      <c r="F182" s="3" t="s">
        <v>31</v>
      </c>
      <c r="G182" s="3" t="s">
        <v>53</v>
      </c>
      <c r="H182" s="3" t="s">
        <v>42</v>
      </c>
      <c r="I182" s="3">
        <v>2025</v>
      </c>
      <c r="J182" s="3" t="str">
        <f>CONCATENATE("54810653987")</f>
        <v>54810653987</v>
      </c>
      <c r="K182" s="3" t="s">
        <v>33</v>
      </c>
      <c r="L182" s="3"/>
      <c r="M182" s="3" t="s">
        <v>34</v>
      </c>
      <c r="N182" s="3" t="str">
        <f>CONCATENATE("01657850432")</f>
        <v>01657850432</v>
      </c>
      <c r="O182" s="3" t="s">
        <v>263</v>
      </c>
      <c r="P182" s="3" t="s">
        <v>36</v>
      </c>
      <c r="Q182" s="3"/>
      <c r="R182" s="4">
        <v>45965</v>
      </c>
      <c r="S182" s="3" t="s">
        <v>37</v>
      </c>
      <c r="T182" s="3" t="s">
        <v>36</v>
      </c>
      <c r="U182" s="3" t="s">
        <v>38</v>
      </c>
      <c r="V182" s="5">
        <v>4355.34</v>
      </c>
      <c r="W182" s="5">
        <v>1851.02</v>
      </c>
      <c r="X182" s="5">
        <v>1753.02</v>
      </c>
      <c r="Y182" s="3">
        <v>751.3</v>
      </c>
    </row>
    <row r="183" spans="1:25" ht="60.75" x14ac:dyDescent="0.25">
      <c r="A183" s="3" t="s">
        <v>26</v>
      </c>
      <c r="B183" s="3" t="s">
        <v>27</v>
      </c>
      <c r="C183" s="3" t="s">
        <v>28</v>
      </c>
      <c r="D183" s="3" t="s">
        <v>89</v>
      </c>
      <c r="E183" s="3" t="s">
        <v>90</v>
      </c>
      <c r="F183" s="3" t="s">
        <v>91</v>
      </c>
      <c r="G183" s="3" t="s">
        <v>90</v>
      </c>
      <c r="H183" s="3" t="s">
        <v>45</v>
      </c>
      <c r="I183" s="3">
        <v>2024</v>
      </c>
      <c r="J183" s="3" t="str">
        <f>CONCATENATE("44810892917")</f>
        <v>44810892917</v>
      </c>
      <c r="K183" s="3" t="s">
        <v>33</v>
      </c>
      <c r="L183" s="3"/>
      <c r="M183" s="3" t="s">
        <v>195</v>
      </c>
      <c r="N183" s="3" t="str">
        <f>CONCATENATE("GBRMFR62C60A335O")</f>
        <v>GBRMFR62C60A335O</v>
      </c>
      <c r="O183" s="3" t="s">
        <v>264</v>
      </c>
      <c r="P183" s="3" t="s">
        <v>197</v>
      </c>
      <c r="Q183" s="3" t="s">
        <v>265</v>
      </c>
      <c r="R183" s="4">
        <v>45966</v>
      </c>
      <c r="S183" s="3" t="s">
        <v>37</v>
      </c>
      <c r="T183" s="3" t="s">
        <v>199</v>
      </c>
      <c r="U183" s="3" t="s">
        <v>38</v>
      </c>
      <c r="V183" s="3">
        <v>938.57</v>
      </c>
      <c r="W183" s="3">
        <v>398.89</v>
      </c>
      <c r="X183" s="3">
        <v>377.77</v>
      </c>
      <c r="Y183" s="3">
        <v>161.91</v>
      </c>
    </row>
    <row r="184" spans="1:25" ht="36.75" x14ac:dyDescent="0.25">
      <c r="A184" s="3" t="s">
        <v>26</v>
      </c>
      <c r="B184" s="3" t="s">
        <v>27</v>
      </c>
      <c r="C184" s="3" t="s">
        <v>28</v>
      </c>
      <c r="D184" s="3" t="s">
        <v>47</v>
      </c>
      <c r="E184" s="3" t="s">
        <v>266</v>
      </c>
      <c r="F184" s="3" t="s">
        <v>49</v>
      </c>
      <c r="G184" s="3" t="s">
        <v>266</v>
      </c>
      <c r="H184" s="3" t="s">
        <v>45</v>
      </c>
      <c r="I184" s="3">
        <v>2024</v>
      </c>
      <c r="J184" s="3" t="str">
        <f>CONCATENATE("44811240850")</f>
        <v>44811240850</v>
      </c>
      <c r="K184" s="3" t="s">
        <v>33</v>
      </c>
      <c r="L184" s="3"/>
      <c r="M184" s="3" t="s">
        <v>195</v>
      </c>
      <c r="N184" s="3" t="str">
        <f>CONCATENATE("02164470441")</f>
        <v>02164470441</v>
      </c>
      <c r="O184" s="3" t="s">
        <v>267</v>
      </c>
      <c r="P184" s="3" t="s">
        <v>197</v>
      </c>
      <c r="Q184" s="3" t="s">
        <v>265</v>
      </c>
      <c r="R184" s="4">
        <v>45966</v>
      </c>
      <c r="S184" s="3" t="s">
        <v>37</v>
      </c>
      <c r="T184" s="3" t="s">
        <v>199</v>
      </c>
      <c r="U184" s="3" t="s">
        <v>38</v>
      </c>
      <c r="V184" s="5">
        <v>2540.48</v>
      </c>
      <c r="W184" s="5">
        <v>1079.7</v>
      </c>
      <c r="X184" s="5">
        <v>1022.54</v>
      </c>
      <c r="Y184" s="3">
        <v>438.24</v>
      </c>
    </row>
    <row r="185" spans="1:25" ht="60.75" x14ac:dyDescent="0.25">
      <c r="A185" s="3" t="s">
        <v>26</v>
      </c>
      <c r="B185" s="3" t="s">
        <v>27</v>
      </c>
      <c r="C185" s="3" t="s">
        <v>28</v>
      </c>
      <c r="D185" s="3" t="s">
        <v>47</v>
      </c>
      <c r="E185" s="3" t="s">
        <v>268</v>
      </c>
      <c r="F185" s="3" t="s">
        <v>49</v>
      </c>
      <c r="G185" s="3" t="s">
        <v>268</v>
      </c>
      <c r="H185" s="3" t="s">
        <v>45</v>
      </c>
      <c r="I185" s="3">
        <v>2024</v>
      </c>
      <c r="J185" s="3" t="str">
        <f>CONCATENATE("44811264967")</f>
        <v>44811264967</v>
      </c>
      <c r="K185" s="3" t="s">
        <v>33</v>
      </c>
      <c r="L185" s="3"/>
      <c r="M185" s="3" t="s">
        <v>195</v>
      </c>
      <c r="N185" s="3" t="str">
        <f>CONCATENATE("MRLRRE77C12G516I")</f>
        <v>MRLRRE77C12G516I</v>
      </c>
      <c r="O185" s="3" t="s">
        <v>269</v>
      </c>
      <c r="P185" s="3" t="s">
        <v>197</v>
      </c>
      <c r="Q185" s="3" t="s">
        <v>265</v>
      </c>
      <c r="R185" s="4">
        <v>45966</v>
      </c>
      <c r="S185" s="3" t="s">
        <v>37</v>
      </c>
      <c r="T185" s="3" t="s">
        <v>199</v>
      </c>
      <c r="U185" s="3" t="s">
        <v>38</v>
      </c>
      <c r="V185" s="3">
        <v>391.57</v>
      </c>
      <c r="W185" s="3">
        <v>166.42</v>
      </c>
      <c r="X185" s="3">
        <v>157.61000000000001</v>
      </c>
      <c r="Y185" s="3">
        <v>67.540000000000006</v>
      </c>
    </row>
    <row r="186" spans="1:25" ht="36.75" x14ac:dyDescent="0.25">
      <c r="A186" s="3" t="s">
        <v>26</v>
      </c>
      <c r="B186" s="3" t="s">
        <v>27</v>
      </c>
      <c r="C186" s="3" t="s">
        <v>28</v>
      </c>
      <c r="D186" s="3" t="s">
        <v>270</v>
      </c>
      <c r="E186" s="3" t="s">
        <v>271</v>
      </c>
      <c r="F186" s="3" t="s">
        <v>272</v>
      </c>
      <c r="G186" s="3" t="s">
        <v>271</v>
      </c>
      <c r="H186" s="3" t="s">
        <v>45</v>
      </c>
      <c r="I186" s="3">
        <v>2024</v>
      </c>
      <c r="J186" s="3" t="str">
        <f>CONCATENATE("44810832053")</f>
        <v>44810832053</v>
      </c>
      <c r="K186" s="3" t="s">
        <v>33</v>
      </c>
      <c r="L186" s="3"/>
      <c r="M186" s="3" t="s">
        <v>195</v>
      </c>
      <c r="N186" s="3" t="str">
        <f>CONCATENATE("02240270443")</f>
        <v>02240270443</v>
      </c>
      <c r="O186" s="3" t="s">
        <v>273</v>
      </c>
      <c r="P186" s="3" t="s">
        <v>197</v>
      </c>
      <c r="Q186" s="3" t="s">
        <v>265</v>
      </c>
      <c r="R186" s="4">
        <v>45966</v>
      </c>
      <c r="S186" s="3" t="s">
        <v>37</v>
      </c>
      <c r="T186" s="3" t="s">
        <v>199</v>
      </c>
      <c r="U186" s="3" t="s">
        <v>38</v>
      </c>
      <c r="V186" s="3">
        <v>460.06</v>
      </c>
      <c r="W186" s="3">
        <v>195.53</v>
      </c>
      <c r="X186" s="3">
        <v>185.17</v>
      </c>
      <c r="Y186" s="3">
        <v>79.36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89</v>
      </c>
      <c r="E187" s="3" t="s">
        <v>90</v>
      </c>
      <c r="F187" s="3" t="s">
        <v>91</v>
      </c>
      <c r="G187" s="3" t="s">
        <v>90</v>
      </c>
      <c r="H187" s="3" t="s">
        <v>45</v>
      </c>
      <c r="I187" s="3">
        <v>2024</v>
      </c>
      <c r="J187" s="3" t="str">
        <f>CONCATENATE("44810891893")</f>
        <v>44810891893</v>
      </c>
      <c r="K187" s="3" t="s">
        <v>33</v>
      </c>
      <c r="L187" s="3"/>
      <c r="M187" s="3" t="s">
        <v>195</v>
      </c>
      <c r="N187" s="3" t="str">
        <f>CONCATENATE("RBZPLA78A17L736L")</f>
        <v>RBZPLA78A17L736L</v>
      </c>
      <c r="O187" s="3" t="s">
        <v>274</v>
      </c>
      <c r="P187" s="3" t="s">
        <v>197</v>
      </c>
      <c r="Q187" s="3" t="s">
        <v>265</v>
      </c>
      <c r="R187" s="4">
        <v>45966</v>
      </c>
      <c r="S187" s="3" t="s">
        <v>37</v>
      </c>
      <c r="T187" s="3" t="s">
        <v>199</v>
      </c>
      <c r="U187" s="3" t="s">
        <v>38</v>
      </c>
      <c r="V187" s="3">
        <v>617.52</v>
      </c>
      <c r="W187" s="3">
        <v>262.45</v>
      </c>
      <c r="X187" s="3">
        <v>248.55</v>
      </c>
      <c r="Y187" s="3">
        <v>106.52</v>
      </c>
    </row>
    <row r="188" spans="1:25" ht="36.75" x14ac:dyDescent="0.25">
      <c r="A188" s="3" t="s">
        <v>26</v>
      </c>
      <c r="B188" s="3" t="s">
        <v>27</v>
      </c>
      <c r="C188" s="3" t="s">
        <v>28</v>
      </c>
      <c r="D188" s="3" t="s">
        <v>57</v>
      </c>
      <c r="E188" s="3" t="s">
        <v>58</v>
      </c>
      <c r="F188" s="3" t="s">
        <v>59</v>
      </c>
      <c r="G188" s="3" t="s">
        <v>58</v>
      </c>
      <c r="H188" s="3" t="s">
        <v>45</v>
      </c>
      <c r="I188" s="3">
        <v>2024</v>
      </c>
      <c r="J188" s="3" t="str">
        <f>CONCATENATE("44810560670")</f>
        <v>44810560670</v>
      </c>
      <c r="K188" s="3" t="s">
        <v>33</v>
      </c>
      <c r="L188" s="3"/>
      <c r="M188" s="3" t="s">
        <v>195</v>
      </c>
      <c r="N188" s="3" t="str">
        <f>CONCATENATE("02481430441")</f>
        <v>02481430441</v>
      </c>
      <c r="O188" s="3" t="s">
        <v>275</v>
      </c>
      <c r="P188" s="3" t="s">
        <v>197</v>
      </c>
      <c r="Q188" s="3" t="s">
        <v>265</v>
      </c>
      <c r="R188" s="4">
        <v>45966</v>
      </c>
      <c r="S188" s="3" t="s">
        <v>37</v>
      </c>
      <c r="T188" s="3" t="s">
        <v>199</v>
      </c>
      <c r="U188" s="3" t="s">
        <v>38</v>
      </c>
      <c r="V188" s="3">
        <v>312.19</v>
      </c>
      <c r="W188" s="3">
        <v>132.68</v>
      </c>
      <c r="X188" s="3">
        <v>125.66</v>
      </c>
      <c r="Y188" s="3">
        <v>53.85</v>
      </c>
    </row>
    <row r="189" spans="1:25" ht="60.75" x14ac:dyDescent="0.25">
      <c r="A189" s="3" t="s">
        <v>26</v>
      </c>
      <c r="B189" s="3" t="s">
        <v>27</v>
      </c>
      <c r="C189" s="3" t="s">
        <v>28</v>
      </c>
      <c r="D189" s="3" t="s">
        <v>89</v>
      </c>
      <c r="E189" s="3" t="s">
        <v>90</v>
      </c>
      <c r="F189" s="3" t="s">
        <v>91</v>
      </c>
      <c r="G189" s="3" t="s">
        <v>90</v>
      </c>
      <c r="H189" s="3" t="s">
        <v>45</v>
      </c>
      <c r="I189" s="3">
        <v>2024</v>
      </c>
      <c r="J189" s="3" t="str">
        <f>CONCATENATE("44810892347")</f>
        <v>44810892347</v>
      </c>
      <c r="K189" s="3" t="s">
        <v>33</v>
      </c>
      <c r="L189" s="3"/>
      <c r="M189" s="3" t="s">
        <v>195</v>
      </c>
      <c r="N189" s="3" t="str">
        <f>CONCATENATE("MRCNDR69B13D542E")</f>
        <v>MRCNDR69B13D542E</v>
      </c>
      <c r="O189" s="3" t="s">
        <v>276</v>
      </c>
      <c r="P189" s="3" t="s">
        <v>197</v>
      </c>
      <c r="Q189" s="3" t="s">
        <v>265</v>
      </c>
      <c r="R189" s="4">
        <v>45966</v>
      </c>
      <c r="S189" s="3" t="s">
        <v>37</v>
      </c>
      <c r="T189" s="3" t="s">
        <v>199</v>
      </c>
      <c r="U189" s="3" t="s">
        <v>38</v>
      </c>
      <c r="V189" s="3">
        <v>554.78</v>
      </c>
      <c r="W189" s="3">
        <v>235.78</v>
      </c>
      <c r="X189" s="3">
        <v>223.3</v>
      </c>
      <c r="Y189" s="3">
        <v>95.7</v>
      </c>
    </row>
    <row r="190" spans="1:25" ht="36.75" x14ac:dyDescent="0.25">
      <c r="A190" s="3" t="s">
        <v>26</v>
      </c>
      <c r="B190" s="3" t="s">
        <v>27</v>
      </c>
      <c r="C190" s="3" t="s">
        <v>28</v>
      </c>
      <c r="D190" s="3" t="s">
        <v>89</v>
      </c>
      <c r="E190" s="3" t="s">
        <v>204</v>
      </c>
      <c r="F190" s="3" t="s">
        <v>91</v>
      </c>
      <c r="G190" s="3" t="s">
        <v>204</v>
      </c>
      <c r="H190" s="3" t="s">
        <v>32</v>
      </c>
      <c r="I190" s="3">
        <v>2025</v>
      </c>
      <c r="J190" s="3" t="str">
        <f>CONCATENATE("54810399029")</f>
        <v>54810399029</v>
      </c>
      <c r="K190" s="3" t="s">
        <v>33</v>
      </c>
      <c r="L190" s="3"/>
      <c r="M190" s="3" t="s">
        <v>34</v>
      </c>
      <c r="N190" s="3" t="str">
        <f>CONCATENATE("02783040427")</f>
        <v>02783040427</v>
      </c>
      <c r="O190" s="3" t="s">
        <v>277</v>
      </c>
      <c r="P190" s="3" t="s">
        <v>36</v>
      </c>
      <c r="Q190" s="3"/>
      <c r="R190" s="4">
        <v>45975</v>
      </c>
      <c r="S190" s="3" t="s">
        <v>37</v>
      </c>
      <c r="T190" s="3" t="s">
        <v>36</v>
      </c>
      <c r="U190" s="3" t="s">
        <v>38</v>
      </c>
      <c r="V190" s="5">
        <v>17427.75</v>
      </c>
      <c r="W190" s="5">
        <v>7406.79</v>
      </c>
      <c r="X190" s="5">
        <v>7014.67</v>
      </c>
      <c r="Y190" s="5">
        <v>3006.29</v>
      </c>
    </row>
    <row r="191" spans="1:25" ht="36.75" x14ac:dyDescent="0.25">
      <c r="A191" s="3" t="s">
        <v>26</v>
      </c>
      <c r="B191" s="3" t="s">
        <v>27</v>
      </c>
      <c r="C191" s="3" t="s">
        <v>28</v>
      </c>
      <c r="D191" s="3" t="s">
        <v>29</v>
      </c>
      <c r="E191" s="3" t="s">
        <v>278</v>
      </c>
      <c r="F191" s="3" t="s">
        <v>31</v>
      </c>
      <c r="G191" s="3" t="s">
        <v>278</v>
      </c>
      <c r="H191" s="3" t="s">
        <v>42</v>
      </c>
      <c r="I191" s="3">
        <v>2025</v>
      </c>
      <c r="J191" s="3" t="str">
        <f>CONCATENATE("54811149837")</f>
        <v>54811149837</v>
      </c>
      <c r="K191" s="3" t="s">
        <v>33</v>
      </c>
      <c r="L191" s="3"/>
      <c r="M191" s="3" t="s">
        <v>212</v>
      </c>
      <c r="N191" s="3" t="str">
        <f>CONCATENATE("02054690439")</f>
        <v>02054690439</v>
      </c>
      <c r="O191" s="3" t="s">
        <v>279</v>
      </c>
      <c r="P191" s="3" t="s">
        <v>36</v>
      </c>
      <c r="Q191" s="3"/>
      <c r="R191" s="4">
        <v>45975</v>
      </c>
      <c r="S191" s="3" t="s">
        <v>37</v>
      </c>
      <c r="T191" s="3" t="s">
        <v>36</v>
      </c>
      <c r="U191" s="3" t="s">
        <v>38</v>
      </c>
      <c r="V191" s="5">
        <v>12920</v>
      </c>
      <c r="W191" s="5">
        <v>5491</v>
      </c>
      <c r="X191" s="5">
        <v>5200.3</v>
      </c>
      <c r="Y191" s="5">
        <v>2228.6999999999998</v>
      </c>
    </row>
    <row r="192" spans="1:25" ht="60.75" x14ac:dyDescent="0.25">
      <c r="A192" s="3" t="s">
        <v>26</v>
      </c>
      <c r="B192" s="3" t="s">
        <v>27</v>
      </c>
      <c r="C192" s="3" t="s">
        <v>28</v>
      </c>
      <c r="D192" s="3" t="s">
        <v>29</v>
      </c>
      <c r="E192" s="3" t="s">
        <v>280</v>
      </c>
      <c r="F192" s="3" t="s">
        <v>31</v>
      </c>
      <c r="G192" s="3" t="s">
        <v>280</v>
      </c>
      <c r="H192" s="3" t="s">
        <v>68</v>
      </c>
      <c r="I192" s="3">
        <v>2025</v>
      </c>
      <c r="J192" s="3" t="str">
        <f>CONCATENATE("54811162475")</f>
        <v>54811162475</v>
      </c>
      <c r="K192" s="3" t="s">
        <v>33</v>
      </c>
      <c r="L192" s="3"/>
      <c r="M192" s="3" t="s">
        <v>212</v>
      </c>
      <c r="N192" s="3" t="str">
        <f>CONCATENATE("TRVRRT68E23B636E")</f>
        <v>TRVRRT68E23B636E</v>
      </c>
      <c r="O192" s="3" t="s">
        <v>281</v>
      </c>
      <c r="P192" s="3" t="s">
        <v>36</v>
      </c>
      <c r="Q192" s="3"/>
      <c r="R192" s="4">
        <v>45975</v>
      </c>
      <c r="S192" s="3" t="s">
        <v>37</v>
      </c>
      <c r="T192" s="3" t="s">
        <v>36</v>
      </c>
      <c r="U192" s="3" t="s">
        <v>38</v>
      </c>
      <c r="V192" s="5">
        <v>2040</v>
      </c>
      <c r="W192" s="3">
        <v>867</v>
      </c>
      <c r="X192" s="3">
        <v>821.1</v>
      </c>
      <c r="Y192" s="3">
        <v>351.9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29</v>
      </c>
      <c r="E193" s="3" t="s">
        <v>123</v>
      </c>
      <c r="F193" s="3" t="s">
        <v>31</v>
      </c>
      <c r="G193" s="3" t="s">
        <v>123</v>
      </c>
      <c r="H193" s="3" t="s">
        <v>42</v>
      </c>
      <c r="I193" s="3">
        <v>2025</v>
      </c>
      <c r="J193" s="3" t="str">
        <f>CONCATENATE("54811184503")</f>
        <v>54811184503</v>
      </c>
      <c r="K193" s="3" t="s">
        <v>33</v>
      </c>
      <c r="L193" s="3"/>
      <c r="M193" s="3" t="s">
        <v>212</v>
      </c>
      <c r="N193" s="3" t="str">
        <f>CONCATENATE("LRNLDA58R01F051V")</f>
        <v>LRNLDA58R01F051V</v>
      </c>
      <c r="O193" s="3" t="s">
        <v>282</v>
      </c>
      <c r="P193" s="3" t="s">
        <v>36</v>
      </c>
      <c r="Q193" s="3"/>
      <c r="R193" s="4">
        <v>45975</v>
      </c>
      <c r="S193" s="3" t="s">
        <v>37</v>
      </c>
      <c r="T193" s="3" t="s">
        <v>36</v>
      </c>
      <c r="U193" s="3" t="s">
        <v>38</v>
      </c>
      <c r="V193" s="5">
        <v>1190</v>
      </c>
      <c r="W193" s="3">
        <v>505.75</v>
      </c>
      <c r="X193" s="3">
        <v>478.98</v>
      </c>
      <c r="Y193" s="3">
        <v>205.27</v>
      </c>
    </row>
    <row r="194" spans="1:25" ht="36.75" x14ac:dyDescent="0.25">
      <c r="A194" s="3" t="s">
        <v>26</v>
      </c>
      <c r="B194" s="3" t="s">
        <v>27</v>
      </c>
      <c r="C194" s="3" t="s">
        <v>28</v>
      </c>
      <c r="D194" s="3" t="s">
        <v>29</v>
      </c>
      <c r="E194" s="3" t="s">
        <v>123</v>
      </c>
      <c r="F194" s="3" t="s">
        <v>31</v>
      </c>
      <c r="G194" s="3" t="s">
        <v>123</v>
      </c>
      <c r="H194" s="3" t="s">
        <v>42</v>
      </c>
      <c r="I194" s="3">
        <v>2025</v>
      </c>
      <c r="J194" s="3" t="str">
        <f>CONCATENATE("54811185310")</f>
        <v>54811185310</v>
      </c>
      <c r="K194" s="3" t="s">
        <v>33</v>
      </c>
      <c r="L194" s="3"/>
      <c r="M194" s="3" t="s">
        <v>212</v>
      </c>
      <c r="N194" s="3" t="str">
        <f>CONCATENATE("01917330431")</f>
        <v>01917330431</v>
      </c>
      <c r="O194" s="3" t="s">
        <v>283</v>
      </c>
      <c r="P194" s="3" t="s">
        <v>36</v>
      </c>
      <c r="Q194" s="3"/>
      <c r="R194" s="4">
        <v>45975</v>
      </c>
      <c r="S194" s="3" t="s">
        <v>37</v>
      </c>
      <c r="T194" s="3" t="s">
        <v>36</v>
      </c>
      <c r="U194" s="3" t="s">
        <v>38</v>
      </c>
      <c r="V194" s="5">
        <v>1020</v>
      </c>
      <c r="W194" s="3">
        <v>433.5</v>
      </c>
      <c r="X194" s="3">
        <v>410.55</v>
      </c>
      <c r="Y194" s="3">
        <v>175.95</v>
      </c>
    </row>
    <row r="195" spans="1:25" ht="60.75" x14ac:dyDescent="0.25">
      <c r="A195" s="3" t="s">
        <v>26</v>
      </c>
      <c r="B195" s="3" t="s">
        <v>27</v>
      </c>
      <c r="C195" s="3" t="s">
        <v>28</v>
      </c>
      <c r="D195" s="3" t="s">
        <v>29</v>
      </c>
      <c r="E195" s="3" t="s">
        <v>278</v>
      </c>
      <c r="F195" s="3" t="s">
        <v>31</v>
      </c>
      <c r="G195" s="3" t="s">
        <v>278</v>
      </c>
      <c r="H195" s="3" t="s">
        <v>42</v>
      </c>
      <c r="I195" s="3">
        <v>2025</v>
      </c>
      <c r="J195" s="3" t="str">
        <f>CONCATENATE("54811443636")</f>
        <v>54811443636</v>
      </c>
      <c r="K195" s="3" t="s">
        <v>33</v>
      </c>
      <c r="L195" s="3"/>
      <c r="M195" s="3" t="s">
        <v>212</v>
      </c>
      <c r="N195" s="3" t="str">
        <f>CONCATENATE("SCLRND93L22D024E")</f>
        <v>SCLRND93L22D024E</v>
      </c>
      <c r="O195" s="3" t="s">
        <v>284</v>
      </c>
      <c r="P195" s="3" t="s">
        <v>36</v>
      </c>
      <c r="Q195" s="3"/>
      <c r="R195" s="4">
        <v>45975</v>
      </c>
      <c r="S195" s="3" t="s">
        <v>37</v>
      </c>
      <c r="T195" s="3" t="s">
        <v>36</v>
      </c>
      <c r="U195" s="3" t="s">
        <v>38</v>
      </c>
      <c r="V195" s="5">
        <v>4420</v>
      </c>
      <c r="W195" s="5">
        <v>1878.5</v>
      </c>
      <c r="X195" s="5">
        <v>1779.05</v>
      </c>
      <c r="Y195" s="3">
        <v>762.45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47</v>
      </c>
      <c r="E196" s="3" t="s">
        <v>211</v>
      </c>
      <c r="F196" s="3" t="s">
        <v>49</v>
      </c>
      <c r="G196" s="3" t="s">
        <v>211</v>
      </c>
      <c r="H196" s="3" t="s">
        <v>68</v>
      </c>
      <c r="I196" s="3">
        <v>2025</v>
      </c>
      <c r="J196" s="3" t="str">
        <f>CONCATENATE("54811029708")</f>
        <v>54811029708</v>
      </c>
      <c r="K196" s="3" t="s">
        <v>33</v>
      </c>
      <c r="L196" s="3"/>
      <c r="M196" s="3" t="s">
        <v>212</v>
      </c>
      <c r="N196" s="3" t="str">
        <f>CONCATENATE("CMBMRT77M60B352T")</f>
        <v>CMBMRT77M60B352T</v>
      </c>
      <c r="O196" s="3" t="s">
        <v>285</v>
      </c>
      <c r="P196" s="3" t="s">
        <v>36</v>
      </c>
      <c r="Q196" s="3"/>
      <c r="R196" s="4">
        <v>45975</v>
      </c>
      <c r="S196" s="3" t="s">
        <v>37</v>
      </c>
      <c r="T196" s="3" t="s">
        <v>36</v>
      </c>
      <c r="U196" s="3" t="s">
        <v>38</v>
      </c>
      <c r="V196" s="5">
        <v>7480</v>
      </c>
      <c r="W196" s="5">
        <v>3179</v>
      </c>
      <c r="X196" s="5">
        <v>3010.7</v>
      </c>
      <c r="Y196" s="5">
        <v>1290.3</v>
      </c>
    </row>
    <row r="197" spans="1:25" ht="72.75" x14ac:dyDescent="0.25">
      <c r="A197" s="3" t="s">
        <v>26</v>
      </c>
      <c r="B197" s="3" t="s">
        <v>27</v>
      </c>
      <c r="C197" s="3" t="s">
        <v>28</v>
      </c>
      <c r="D197" s="3" t="s">
        <v>29</v>
      </c>
      <c r="E197" s="3" t="s">
        <v>280</v>
      </c>
      <c r="F197" s="3" t="s">
        <v>31</v>
      </c>
      <c r="G197" s="3" t="s">
        <v>280</v>
      </c>
      <c r="H197" s="3" t="s">
        <v>68</v>
      </c>
      <c r="I197" s="3">
        <v>2025</v>
      </c>
      <c r="J197" s="3" t="str">
        <f>CONCATENATE("54811078853")</f>
        <v>54811078853</v>
      </c>
      <c r="K197" s="3" t="s">
        <v>33</v>
      </c>
      <c r="L197" s="3"/>
      <c r="M197" s="3" t="s">
        <v>212</v>
      </c>
      <c r="N197" s="3" t="str">
        <f>CONCATENATE("SBSMSM74B16E256X")</f>
        <v>SBSMSM74B16E256X</v>
      </c>
      <c r="O197" s="3" t="s">
        <v>286</v>
      </c>
      <c r="P197" s="3" t="s">
        <v>36</v>
      </c>
      <c r="Q197" s="3"/>
      <c r="R197" s="4">
        <v>45975</v>
      </c>
      <c r="S197" s="3" t="s">
        <v>37</v>
      </c>
      <c r="T197" s="3" t="s">
        <v>36</v>
      </c>
      <c r="U197" s="3" t="s">
        <v>38</v>
      </c>
      <c r="V197" s="5">
        <v>2720</v>
      </c>
      <c r="W197" s="5">
        <v>1156</v>
      </c>
      <c r="X197" s="5">
        <v>1094.8</v>
      </c>
      <c r="Y197" s="3">
        <v>469.2</v>
      </c>
    </row>
    <row r="198" spans="1:25" ht="36.75" x14ac:dyDescent="0.25">
      <c r="A198" s="3" t="s">
        <v>26</v>
      </c>
      <c r="B198" s="3" t="s">
        <v>27</v>
      </c>
      <c r="C198" s="3" t="s">
        <v>28</v>
      </c>
      <c r="D198" s="3" t="s">
        <v>29</v>
      </c>
      <c r="E198" s="3" t="s">
        <v>280</v>
      </c>
      <c r="F198" s="3" t="s">
        <v>31</v>
      </c>
      <c r="G198" s="3" t="s">
        <v>280</v>
      </c>
      <c r="H198" s="3" t="s">
        <v>68</v>
      </c>
      <c r="I198" s="3">
        <v>2025</v>
      </c>
      <c r="J198" s="3" t="str">
        <f>CONCATENATE("54811083150")</f>
        <v>54811083150</v>
      </c>
      <c r="K198" s="3" t="s">
        <v>33</v>
      </c>
      <c r="L198" s="3"/>
      <c r="M198" s="3" t="s">
        <v>212</v>
      </c>
      <c r="N198" s="3" t="str">
        <f>CONCATENATE("02634470419")</f>
        <v>02634470419</v>
      </c>
      <c r="O198" s="3" t="s">
        <v>287</v>
      </c>
      <c r="P198" s="3" t="s">
        <v>36</v>
      </c>
      <c r="Q198" s="3"/>
      <c r="R198" s="4">
        <v>45975</v>
      </c>
      <c r="S198" s="3" t="s">
        <v>37</v>
      </c>
      <c r="T198" s="3" t="s">
        <v>36</v>
      </c>
      <c r="U198" s="3" t="s">
        <v>38</v>
      </c>
      <c r="V198" s="5">
        <v>7140</v>
      </c>
      <c r="W198" s="5">
        <v>3034.5</v>
      </c>
      <c r="X198" s="5">
        <v>2873.85</v>
      </c>
      <c r="Y198" s="5">
        <v>1231.6500000000001</v>
      </c>
    </row>
    <row r="199" spans="1:25" ht="72.75" x14ac:dyDescent="0.25">
      <c r="A199" s="3" t="s">
        <v>26</v>
      </c>
      <c r="B199" s="3" t="s">
        <v>27</v>
      </c>
      <c r="C199" s="3" t="s">
        <v>28</v>
      </c>
      <c r="D199" s="3" t="s">
        <v>29</v>
      </c>
      <c r="E199" s="3" t="s">
        <v>123</v>
      </c>
      <c r="F199" s="3" t="s">
        <v>31</v>
      </c>
      <c r="G199" s="3" t="s">
        <v>123</v>
      </c>
      <c r="H199" s="3" t="s">
        <v>42</v>
      </c>
      <c r="I199" s="3">
        <v>2025</v>
      </c>
      <c r="J199" s="3" t="str">
        <f>CONCATENATE("54811285870")</f>
        <v>54811285870</v>
      </c>
      <c r="K199" s="3" t="s">
        <v>33</v>
      </c>
      <c r="L199" s="3"/>
      <c r="M199" s="3" t="s">
        <v>212</v>
      </c>
      <c r="N199" s="3" t="str">
        <f>CONCATENATE("PLMTNN63D27G637N")</f>
        <v>PLMTNN63D27G637N</v>
      </c>
      <c r="O199" s="3" t="s">
        <v>288</v>
      </c>
      <c r="P199" s="3" t="s">
        <v>36</v>
      </c>
      <c r="Q199" s="3"/>
      <c r="R199" s="4">
        <v>45975</v>
      </c>
      <c r="S199" s="3" t="s">
        <v>37</v>
      </c>
      <c r="T199" s="3" t="s">
        <v>36</v>
      </c>
      <c r="U199" s="3" t="s">
        <v>38</v>
      </c>
      <c r="V199" s="3">
        <v>680</v>
      </c>
      <c r="W199" s="3">
        <v>289</v>
      </c>
      <c r="X199" s="3">
        <v>273.7</v>
      </c>
      <c r="Y199" s="3">
        <v>117.3</v>
      </c>
    </row>
    <row r="200" spans="1:25" ht="60.75" x14ac:dyDescent="0.25">
      <c r="A200" s="3" t="s">
        <v>26</v>
      </c>
      <c r="B200" s="3" t="s">
        <v>27</v>
      </c>
      <c r="C200" s="3" t="s">
        <v>28</v>
      </c>
      <c r="D200" s="3" t="s">
        <v>29</v>
      </c>
      <c r="E200" s="3" t="s">
        <v>123</v>
      </c>
      <c r="F200" s="3" t="s">
        <v>31</v>
      </c>
      <c r="G200" s="3" t="s">
        <v>123</v>
      </c>
      <c r="H200" s="3" t="s">
        <v>42</v>
      </c>
      <c r="I200" s="3">
        <v>2025</v>
      </c>
      <c r="J200" s="3" t="str">
        <f>CONCATENATE("54811058699")</f>
        <v>54811058699</v>
      </c>
      <c r="K200" s="3" t="s">
        <v>33</v>
      </c>
      <c r="L200" s="3"/>
      <c r="M200" s="3" t="s">
        <v>212</v>
      </c>
      <c r="N200" s="3" t="str">
        <f>CONCATENATE("SLVLCU88H23B474S")</f>
        <v>SLVLCU88H23B474S</v>
      </c>
      <c r="O200" s="3" t="s">
        <v>289</v>
      </c>
      <c r="P200" s="3" t="s">
        <v>36</v>
      </c>
      <c r="Q200" s="3"/>
      <c r="R200" s="4">
        <v>45975</v>
      </c>
      <c r="S200" s="3" t="s">
        <v>37</v>
      </c>
      <c r="T200" s="3" t="s">
        <v>36</v>
      </c>
      <c r="U200" s="3" t="s">
        <v>38</v>
      </c>
      <c r="V200" s="5">
        <v>10786.5</v>
      </c>
      <c r="W200" s="5">
        <v>4584.26</v>
      </c>
      <c r="X200" s="5">
        <v>4341.57</v>
      </c>
      <c r="Y200" s="5">
        <v>1860.67</v>
      </c>
    </row>
    <row r="201" spans="1:25" ht="60.75" x14ac:dyDescent="0.25">
      <c r="A201" s="3" t="s">
        <v>26</v>
      </c>
      <c r="B201" s="3" t="s">
        <v>27</v>
      </c>
      <c r="C201" s="3" t="s">
        <v>28</v>
      </c>
      <c r="D201" s="3" t="s">
        <v>29</v>
      </c>
      <c r="E201" s="3" t="s">
        <v>280</v>
      </c>
      <c r="F201" s="3" t="s">
        <v>31</v>
      </c>
      <c r="G201" s="3" t="s">
        <v>280</v>
      </c>
      <c r="H201" s="3" t="s">
        <v>68</v>
      </c>
      <c r="I201" s="3">
        <v>2025</v>
      </c>
      <c r="J201" s="3" t="str">
        <f>CONCATENATE("54810870649")</f>
        <v>54810870649</v>
      </c>
      <c r="K201" s="3" t="s">
        <v>33</v>
      </c>
      <c r="L201" s="3"/>
      <c r="M201" s="3" t="s">
        <v>212</v>
      </c>
      <c r="N201" s="3" t="str">
        <f>CONCATENATE("RMTFST55R10G478J")</f>
        <v>RMTFST55R10G478J</v>
      </c>
      <c r="O201" s="3" t="s">
        <v>290</v>
      </c>
      <c r="P201" s="3" t="s">
        <v>36</v>
      </c>
      <c r="Q201" s="3"/>
      <c r="R201" s="4">
        <v>45975</v>
      </c>
      <c r="S201" s="3" t="s">
        <v>37</v>
      </c>
      <c r="T201" s="3" t="s">
        <v>36</v>
      </c>
      <c r="U201" s="3" t="s">
        <v>38</v>
      </c>
      <c r="V201" s="5">
        <v>30600</v>
      </c>
      <c r="W201" s="5">
        <v>13005</v>
      </c>
      <c r="X201" s="5">
        <v>12316.5</v>
      </c>
      <c r="Y201" s="5">
        <v>5278.5</v>
      </c>
    </row>
    <row r="202" spans="1:25" ht="60.75" x14ac:dyDescent="0.25">
      <c r="A202" s="3" t="s">
        <v>26</v>
      </c>
      <c r="B202" s="3" t="s">
        <v>27</v>
      </c>
      <c r="C202" s="3" t="s">
        <v>28</v>
      </c>
      <c r="D202" s="3" t="s">
        <v>29</v>
      </c>
      <c r="E202" s="3" t="s">
        <v>123</v>
      </c>
      <c r="F202" s="3" t="s">
        <v>31</v>
      </c>
      <c r="G202" s="3" t="s">
        <v>123</v>
      </c>
      <c r="H202" s="3" t="s">
        <v>42</v>
      </c>
      <c r="I202" s="3">
        <v>2025</v>
      </c>
      <c r="J202" s="3" t="str">
        <f>CONCATENATE("54810840923")</f>
        <v>54810840923</v>
      </c>
      <c r="K202" s="3" t="s">
        <v>33</v>
      </c>
      <c r="L202" s="3"/>
      <c r="M202" s="3" t="s">
        <v>212</v>
      </c>
      <c r="N202" s="3" t="str">
        <f>CONCATENATE("SBBLCU94S41B474M")</f>
        <v>SBBLCU94S41B474M</v>
      </c>
      <c r="O202" s="3" t="s">
        <v>291</v>
      </c>
      <c r="P202" s="3" t="s">
        <v>36</v>
      </c>
      <c r="Q202" s="3"/>
      <c r="R202" s="4">
        <v>45975</v>
      </c>
      <c r="S202" s="3" t="s">
        <v>37</v>
      </c>
      <c r="T202" s="3" t="s">
        <v>36</v>
      </c>
      <c r="U202" s="3" t="s">
        <v>38</v>
      </c>
      <c r="V202" s="5">
        <v>5610</v>
      </c>
      <c r="W202" s="5">
        <v>2384.25</v>
      </c>
      <c r="X202" s="5">
        <v>2258.0300000000002</v>
      </c>
      <c r="Y202" s="3">
        <v>967.72</v>
      </c>
    </row>
    <row r="203" spans="1:25" ht="60.75" x14ac:dyDescent="0.25">
      <c r="A203" s="3" t="s">
        <v>26</v>
      </c>
      <c r="B203" s="3" t="s">
        <v>27</v>
      </c>
      <c r="C203" s="3" t="s">
        <v>28</v>
      </c>
      <c r="D203" s="3" t="s">
        <v>29</v>
      </c>
      <c r="E203" s="3" t="s">
        <v>280</v>
      </c>
      <c r="F203" s="3" t="s">
        <v>31</v>
      </c>
      <c r="G203" s="3" t="s">
        <v>280</v>
      </c>
      <c r="H203" s="3" t="s">
        <v>68</v>
      </c>
      <c r="I203" s="3">
        <v>2025</v>
      </c>
      <c r="J203" s="3" t="str">
        <f>CONCATENATE("54810761160")</f>
        <v>54810761160</v>
      </c>
      <c r="K203" s="3" t="s">
        <v>33</v>
      </c>
      <c r="L203" s="3"/>
      <c r="M203" s="3" t="s">
        <v>212</v>
      </c>
      <c r="N203" s="3" t="str">
        <f>CONCATENATE("CLNLRA76P47L500X")</f>
        <v>CLNLRA76P47L500X</v>
      </c>
      <c r="O203" s="3" t="s">
        <v>292</v>
      </c>
      <c r="P203" s="3" t="s">
        <v>36</v>
      </c>
      <c r="Q203" s="3"/>
      <c r="R203" s="4">
        <v>45975</v>
      </c>
      <c r="S203" s="3" t="s">
        <v>37</v>
      </c>
      <c r="T203" s="3" t="s">
        <v>36</v>
      </c>
      <c r="U203" s="3" t="s">
        <v>38</v>
      </c>
      <c r="V203" s="5">
        <v>2720</v>
      </c>
      <c r="W203" s="5">
        <v>1156</v>
      </c>
      <c r="X203" s="5">
        <v>1094.8</v>
      </c>
      <c r="Y203" s="3">
        <v>469.2</v>
      </c>
    </row>
    <row r="204" spans="1:25" ht="36.75" x14ac:dyDescent="0.25">
      <c r="A204" s="3" t="s">
        <v>26</v>
      </c>
      <c r="B204" s="3" t="s">
        <v>27</v>
      </c>
      <c r="C204" s="3" t="s">
        <v>28</v>
      </c>
      <c r="D204" s="3" t="s">
        <v>29</v>
      </c>
      <c r="E204" s="3" t="s">
        <v>280</v>
      </c>
      <c r="F204" s="3" t="s">
        <v>31</v>
      </c>
      <c r="G204" s="3" t="s">
        <v>280</v>
      </c>
      <c r="H204" s="3" t="s">
        <v>68</v>
      </c>
      <c r="I204" s="3">
        <v>2025</v>
      </c>
      <c r="J204" s="3" t="str">
        <f>CONCATENATE("54810929718")</f>
        <v>54810929718</v>
      </c>
      <c r="K204" s="3" t="s">
        <v>33</v>
      </c>
      <c r="L204" s="3"/>
      <c r="M204" s="3" t="s">
        <v>212</v>
      </c>
      <c r="N204" s="3" t="str">
        <f>CONCATENATE("02212780411")</f>
        <v>02212780411</v>
      </c>
      <c r="O204" s="3" t="s">
        <v>293</v>
      </c>
      <c r="P204" s="3" t="s">
        <v>36</v>
      </c>
      <c r="Q204" s="3"/>
      <c r="R204" s="4">
        <v>45975</v>
      </c>
      <c r="S204" s="3" t="s">
        <v>37</v>
      </c>
      <c r="T204" s="3" t="s">
        <v>36</v>
      </c>
      <c r="U204" s="3" t="s">
        <v>38</v>
      </c>
      <c r="V204" s="5">
        <v>13600</v>
      </c>
      <c r="W204" s="5">
        <v>5780</v>
      </c>
      <c r="X204" s="5">
        <v>5474</v>
      </c>
      <c r="Y204" s="5">
        <v>2346</v>
      </c>
    </row>
    <row r="205" spans="1:25" ht="60.75" x14ac:dyDescent="0.25">
      <c r="A205" s="3" t="s">
        <v>26</v>
      </c>
      <c r="B205" s="3" t="s">
        <v>27</v>
      </c>
      <c r="C205" s="3" t="s">
        <v>28</v>
      </c>
      <c r="D205" s="3" t="s">
        <v>29</v>
      </c>
      <c r="E205" s="3" t="s">
        <v>41</v>
      </c>
      <c r="F205" s="3" t="s">
        <v>31</v>
      </c>
      <c r="G205" s="3" t="s">
        <v>41</v>
      </c>
      <c r="H205" s="3" t="s">
        <v>42</v>
      </c>
      <c r="I205" s="3">
        <v>2025</v>
      </c>
      <c r="J205" s="3" t="str">
        <f>CONCATENATE("54810870508")</f>
        <v>54810870508</v>
      </c>
      <c r="K205" s="3" t="s">
        <v>33</v>
      </c>
      <c r="L205" s="3"/>
      <c r="M205" s="3" t="s">
        <v>212</v>
      </c>
      <c r="N205" s="3" t="str">
        <f>CONCATENATE("CNCLRT54D19B474D")</f>
        <v>CNCLRT54D19B474D</v>
      </c>
      <c r="O205" s="3" t="s">
        <v>294</v>
      </c>
      <c r="P205" s="3" t="s">
        <v>36</v>
      </c>
      <c r="Q205" s="3"/>
      <c r="R205" s="4">
        <v>45975</v>
      </c>
      <c r="S205" s="3" t="s">
        <v>37</v>
      </c>
      <c r="T205" s="3" t="s">
        <v>36</v>
      </c>
      <c r="U205" s="3" t="s">
        <v>38</v>
      </c>
      <c r="V205" s="5">
        <v>2720</v>
      </c>
      <c r="W205" s="5">
        <v>1156</v>
      </c>
      <c r="X205" s="5">
        <v>1094.8</v>
      </c>
      <c r="Y205" s="3">
        <v>469.2</v>
      </c>
    </row>
    <row r="206" spans="1:25" ht="60.75" x14ac:dyDescent="0.25">
      <c r="A206" s="3" t="s">
        <v>26</v>
      </c>
      <c r="B206" s="3" t="s">
        <v>27</v>
      </c>
      <c r="C206" s="3" t="s">
        <v>28</v>
      </c>
      <c r="D206" s="3" t="s">
        <v>29</v>
      </c>
      <c r="E206" s="3" t="s">
        <v>280</v>
      </c>
      <c r="F206" s="3" t="s">
        <v>31</v>
      </c>
      <c r="G206" s="3" t="s">
        <v>280</v>
      </c>
      <c r="H206" s="3" t="s">
        <v>68</v>
      </c>
      <c r="I206" s="3">
        <v>2025</v>
      </c>
      <c r="J206" s="3" t="str">
        <f>CONCATENATE("54810918612")</f>
        <v>54810918612</v>
      </c>
      <c r="K206" s="3" t="s">
        <v>33</v>
      </c>
      <c r="L206" s="3"/>
      <c r="M206" s="3" t="s">
        <v>212</v>
      </c>
      <c r="N206" s="3" t="str">
        <f>CONCATENATE("DRUFNC63C69B636V")</f>
        <v>DRUFNC63C69B636V</v>
      </c>
      <c r="O206" s="3" t="s">
        <v>295</v>
      </c>
      <c r="P206" s="3" t="s">
        <v>36</v>
      </c>
      <c r="Q206" s="3"/>
      <c r="R206" s="4">
        <v>45975</v>
      </c>
      <c r="S206" s="3" t="s">
        <v>37</v>
      </c>
      <c r="T206" s="3" t="s">
        <v>36</v>
      </c>
      <c r="U206" s="3" t="s">
        <v>38</v>
      </c>
      <c r="V206" s="5">
        <v>10880</v>
      </c>
      <c r="W206" s="5">
        <v>4624</v>
      </c>
      <c r="X206" s="5">
        <v>4379.2</v>
      </c>
      <c r="Y206" s="5">
        <v>1876.8</v>
      </c>
    </row>
    <row r="207" spans="1:25" ht="36.75" x14ac:dyDescent="0.25">
      <c r="A207" s="3" t="s">
        <v>26</v>
      </c>
      <c r="B207" s="3" t="s">
        <v>27</v>
      </c>
      <c r="C207" s="3" t="s">
        <v>28</v>
      </c>
      <c r="D207" s="3" t="s">
        <v>29</v>
      </c>
      <c r="E207" s="3" t="s">
        <v>296</v>
      </c>
      <c r="F207" s="3" t="s">
        <v>31</v>
      </c>
      <c r="G207" s="3" t="s">
        <v>296</v>
      </c>
      <c r="H207" s="3" t="s">
        <v>68</v>
      </c>
      <c r="I207" s="3">
        <v>2025</v>
      </c>
      <c r="J207" s="3" t="str">
        <f>CONCATENATE("54810895075")</f>
        <v>54810895075</v>
      </c>
      <c r="K207" s="3" t="s">
        <v>33</v>
      </c>
      <c r="L207" s="3"/>
      <c r="M207" s="3" t="s">
        <v>212</v>
      </c>
      <c r="N207" s="3" t="str">
        <f>CONCATENATE("03783410545")</f>
        <v>03783410545</v>
      </c>
      <c r="O207" s="3" t="s">
        <v>297</v>
      </c>
      <c r="P207" s="3" t="s">
        <v>36</v>
      </c>
      <c r="Q207" s="3"/>
      <c r="R207" s="4">
        <v>45975</v>
      </c>
      <c r="S207" s="3" t="s">
        <v>37</v>
      </c>
      <c r="T207" s="3" t="s">
        <v>36</v>
      </c>
      <c r="U207" s="3" t="s">
        <v>38</v>
      </c>
      <c r="V207" s="5">
        <v>20400</v>
      </c>
      <c r="W207" s="5">
        <v>8670</v>
      </c>
      <c r="X207" s="5">
        <v>8211</v>
      </c>
      <c r="Y207" s="5">
        <v>3519</v>
      </c>
    </row>
    <row r="208" spans="1:25" ht="60.75" x14ac:dyDescent="0.25">
      <c r="A208" s="3" t="s">
        <v>26</v>
      </c>
      <c r="B208" s="3" t="s">
        <v>27</v>
      </c>
      <c r="C208" s="3" t="s">
        <v>28</v>
      </c>
      <c r="D208" s="3" t="s">
        <v>47</v>
      </c>
      <c r="E208" s="3" t="s">
        <v>211</v>
      </c>
      <c r="F208" s="3" t="s">
        <v>49</v>
      </c>
      <c r="G208" s="3" t="s">
        <v>211</v>
      </c>
      <c r="H208" s="3" t="s">
        <v>68</v>
      </c>
      <c r="I208" s="3">
        <v>2025</v>
      </c>
      <c r="J208" s="3" t="str">
        <f>CONCATENATE("54810906799")</f>
        <v>54810906799</v>
      </c>
      <c r="K208" s="3" t="s">
        <v>33</v>
      </c>
      <c r="L208" s="3"/>
      <c r="M208" s="3" t="s">
        <v>212</v>
      </c>
      <c r="N208" s="3" t="str">
        <f>CONCATENATE("LCRGCM79M16B352L")</f>
        <v>LCRGCM79M16B352L</v>
      </c>
      <c r="O208" s="3" t="s">
        <v>298</v>
      </c>
      <c r="P208" s="3" t="s">
        <v>36</v>
      </c>
      <c r="Q208" s="3"/>
      <c r="R208" s="4">
        <v>45975</v>
      </c>
      <c r="S208" s="3" t="s">
        <v>37</v>
      </c>
      <c r="T208" s="3" t="s">
        <v>36</v>
      </c>
      <c r="U208" s="3" t="s">
        <v>38</v>
      </c>
      <c r="V208" s="5">
        <v>2720</v>
      </c>
      <c r="W208" s="5">
        <v>1156</v>
      </c>
      <c r="X208" s="5">
        <v>1094.8</v>
      </c>
      <c r="Y208" s="3">
        <v>469.2</v>
      </c>
    </row>
    <row r="209" spans="1:25" ht="60.75" x14ac:dyDescent="0.25">
      <c r="A209" s="3" t="s">
        <v>26</v>
      </c>
      <c r="B209" s="3" t="s">
        <v>27</v>
      </c>
      <c r="C209" s="3" t="s">
        <v>28</v>
      </c>
      <c r="D209" s="3" t="s">
        <v>29</v>
      </c>
      <c r="E209" s="3" t="s">
        <v>280</v>
      </c>
      <c r="F209" s="3" t="s">
        <v>31</v>
      </c>
      <c r="G209" s="3" t="s">
        <v>280</v>
      </c>
      <c r="H209" s="3" t="s">
        <v>68</v>
      </c>
      <c r="I209" s="3">
        <v>2025</v>
      </c>
      <c r="J209" s="3" t="str">
        <f>CONCATENATE("54810924255")</f>
        <v>54810924255</v>
      </c>
      <c r="K209" s="3" t="s">
        <v>33</v>
      </c>
      <c r="L209" s="3"/>
      <c r="M209" s="3" t="s">
        <v>212</v>
      </c>
      <c r="N209" s="3" t="str">
        <f>CONCATENATE("RMTGCM91B05G535X")</f>
        <v>RMTGCM91B05G535X</v>
      </c>
      <c r="O209" s="3" t="s">
        <v>299</v>
      </c>
      <c r="P209" s="3" t="s">
        <v>36</v>
      </c>
      <c r="Q209" s="3"/>
      <c r="R209" s="4">
        <v>45975</v>
      </c>
      <c r="S209" s="3" t="s">
        <v>37</v>
      </c>
      <c r="T209" s="3" t="s">
        <v>36</v>
      </c>
      <c r="U209" s="3" t="s">
        <v>38</v>
      </c>
      <c r="V209" s="5">
        <v>64600</v>
      </c>
      <c r="W209" s="5">
        <v>27455</v>
      </c>
      <c r="X209" s="5">
        <v>26001.5</v>
      </c>
      <c r="Y209" s="5">
        <v>11143.5</v>
      </c>
    </row>
    <row r="210" spans="1:25" ht="60.75" x14ac:dyDescent="0.25">
      <c r="A210" s="3" t="s">
        <v>26</v>
      </c>
      <c r="B210" s="3" t="s">
        <v>27</v>
      </c>
      <c r="C210" s="3" t="s">
        <v>28</v>
      </c>
      <c r="D210" s="3" t="s">
        <v>47</v>
      </c>
      <c r="E210" s="3" t="s">
        <v>211</v>
      </c>
      <c r="F210" s="3" t="s">
        <v>49</v>
      </c>
      <c r="G210" s="3" t="s">
        <v>211</v>
      </c>
      <c r="H210" s="3" t="s">
        <v>68</v>
      </c>
      <c r="I210" s="3">
        <v>2025</v>
      </c>
      <c r="J210" s="3" t="str">
        <f>CONCATENATE("54810991841")</f>
        <v>54810991841</v>
      </c>
      <c r="K210" s="3" t="s">
        <v>33</v>
      </c>
      <c r="L210" s="3"/>
      <c r="M210" s="3" t="s">
        <v>212</v>
      </c>
      <c r="N210" s="3" t="str">
        <f>CONCATENATE("GNTGPP55P25B636G")</f>
        <v>GNTGPP55P25B636G</v>
      </c>
      <c r="O210" s="3" t="s">
        <v>300</v>
      </c>
      <c r="P210" s="3" t="s">
        <v>36</v>
      </c>
      <c r="Q210" s="3"/>
      <c r="R210" s="4">
        <v>45975</v>
      </c>
      <c r="S210" s="3" t="s">
        <v>37</v>
      </c>
      <c r="T210" s="3" t="s">
        <v>36</v>
      </c>
      <c r="U210" s="3" t="s">
        <v>38</v>
      </c>
      <c r="V210" s="5">
        <v>6800</v>
      </c>
      <c r="W210" s="5">
        <v>2890</v>
      </c>
      <c r="X210" s="5">
        <v>2737</v>
      </c>
      <c r="Y210" s="5">
        <v>1173</v>
      </c>
    </row>
    <row r="211" spans="1:25" ht="60.75" x14ac:dyDescent="0.25">
      <c r="A211" s="3" t="s">
        <v>26</v>
      </c>
      <c r="B211" s="3" t="s">
        <v>27</v>
      </c>
      <c r="C211" s="3" t="s">
        <v>28</v>
      </c>
      <c r="D211" s="3" t="s">
        <v>29</v>
      </c>
      <c r="E211" s="3" t="s">
        <v>280</v>
      </c>
      <c r="F211" s="3" t="s">
        <v>31</v>
      </c>
      <c r="G211" s="3" t="s">
        <v>280</v>
      </c>
      <c r="H211" s="3" t="s">
        <v>68</v>
      </c>
      <c r="I211" s="3">
        <v>2025</v>
      </c>
      <c r="J211" s="3" t="str">
        <f>CONCATENATE("54811083283")</f>
        <v>54811083283</v>
      </c>
      <c r="K211" s="3" t="s">
        <v>33</v>
      </c>
      <c r="L211" s="3"/>
      <c r="M211" s="3" t="s">
        <v>212</v>
      </c>
      <c r="N211" s="3" t="str">
        <f>CONCATENATE("CNCGST75M02B352T")</f>
        <v>CNCGST75M02B352T</v>
      </c>
      <c r="O211" s="3" t="s">
        <v>301</v>
      </c>
      <c r="P211" s="3" t="s">
        <v>36</v>
      </c>
      <c r="Q211" s="3"/>
      <c r="R211" s="4">
        <v>45975</v>
      </c>
      <c r="S211" s="3" t="s">
        <v>37</v>
      </c>
      <c r="T211" s="3" t="s">
        <v>36</v>
      </c>
      <c r="U211" s="3" t="s">
        <v>38</v>
      </c>
      <c r="V211" s="5">
        <v>2040</v>
      </c>
      <c r="W211" s="3">
        <v>867</v>
      </c>
      <c r="X211" s="3">
        <v>821.1</v>
      </c>
      <c r="Y211" s="3">
        <v>351.9</v>
      </c>
    </row>
    <row r="212" spans="1:25" ht="36.75" x14ac:dyDescent="0.25">
      <c r="A212" s="3" t="s">
        <v>26</v>
      </c>
      <c r="B212" s="3" t="s">
        <v>27</v>
      </c>
      <c r="C212" s="3" t="s">
        <v>28</v>
      </c>
      <c r="D212" s="3" t="s">
        <v>57</v>
      </c>
      <c r="E212" s="3" t="s">
        <v>302</v>
      </c>
      <c r="F212" s="3" t="s">
        <v>59</v>
      </c>
      <c r="G212" s="3" t="s">
        <v>302</v>
      </c>
      <c r="H212" s="3" t="s">
        <v>68</v>
      </c>
      <c r="I212" s="3">
        <v>2025</v>
      </c>
      <c r="J212" s="3" t="str">
        <f>CONCATENATE("54810220217")</f>
        <v>54810220217</v>
      </c>
      <c r="K212" s="3" t="s">
        <v>33</v>
      </c>
      <c r="L212" s="3"/>
      <c r="M212" s="3" t="s">
        <v>212</v>
      </c>
      <c r="N212" s="3" t="str">
        <f>CONCATENATE("02099510410")</f>
        <v>02099510410</v>
      </c>
      <c r="O212" s="3" t="s">
        <v>303</v>
      </c>
      <c r="P212" s="3" t="s">
        <v>36</v>
      </c>
      <c r="Q212" s="3"/>
      <c r="R212" s="4">
        <v>45975</v>
      </c>
      <c r="S212" s="3" t="s">
        <v>37</v>
      </c>
      <c r="T212" s="3" t="s">
        <v>36</v>
      </c>
      <c r="U212" s="3" t="s">
        <v>38</v>
      </c>
      <c r="V212" s="5">
        <v>4080</v>
      </c>
      <c r="W212" s="5">
        <v>1734</v>
      </c>
      <c r="X212" s="5">
        <v>1642.2</v>
      </c>
      <c r="Y212" s="3">
        <v>703.8</v>
      </c>
    </row>
    <row r="213" spans="1:25" ht="60.75" x14ac:dyDescent="0.25">
      <c r="A213" s="3" t="s">
        <v>26</v>
      </c>
      <c r="B213" s="3" t="s">
        <v>27</v>
      </c>
      <c r="C213" s="3" t="s">
        <v>28</v>
      </c>
      <c r="D213" s="3" t="s">
        <v>29</v>
      </c>
      <c r="E213" s="3" t="s">
        <v>123</v>
      </c>
      <c r="F213" s="3" t="s">
        <v>31</v>
      </c>
      <c r="G213" s="3" t="s">
        <v>123</v>
      </c>
      <c r="H213" s="3" t="s">
        <v>42</v>
      </c>
      <c r="I213" s="3">
        <v>2025</v>
      </c>
      <c r="J213" s="3" t="str">
        <f>CONCATENATE("54810855616")</f>
        <v>54810855616</v>
      </c>
      <c r="K213" s="3" t="s">
        <v>33</v>
      </c>
      <c r="L213" s="3"/>
      <c r="M213" s="3" t="s">
        <v>212</v>
      </c>
      <c r="N213" s="3" t="str">
        <f>CONCATENATE("RLAMCR50S10G637S")</f>
        <v>RLAMCR50S10G637S</v>
      </c>
      <c r="O213" s="3" t="s">
        <v>304</v>
      </c>
      <c r="P213" s="3" t="s">
        <v>36</v>
      </c>
      <c r="Q213" s="3"/>
      <c r="R213" s="4">
        <v>45975</v>
      </c>
      <c r="S213" s="3" t="s">
        <v>37</v>
      </c>
      <c r="T213" s="3" t="s">
        <v>36</v>
      </c>
      <c r="U213" s="3" t="s">
        <v>38</v>
      </c>
      <c r="V213" s="5">
        <v>6273</v>
      </c>
      <c r="W213" s="5">
        <v>2666.03</v>
      </c>
      <c r="X213" s="5">
        <v>2524.88</v>
      </c>
      <c r="Y213" s="5">
        <v>1082.0899999999999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57</v>
      </c>
      <c r="E214" s="3" t="s">
        <v>302</v>
      </c>
      <c r="F214" s="3" t="s">
        <v>59</v>
      </c>
      <c r="G214" s="3" t="s">
        <v>302</v>
      </c>
      <c r="H214" s="3" t="s">
        <v>68</v>
      </c>
      <c r="I214" s="3">
        <v>2025</v>
      </c>
      <c r="J214" s="3" t="str">
        <f>CONCATENATE("54810134020")</f>
        <v>54810134020</v>
      </c>
      <c r="K214" s="3" t="s">
        <v>33</v>
      </c>
      <c r="L214" s="3"/>
      <c r="M214" s="3" t="s">
        <v>212</v>
      </c>
      <c r="N214" s="3" t="str">
        <f>CONCATENATE("PSCLCU86D10D488F")</f>
        <v>PSCLCU86D10D488F</v>
      </c>
      <c r="O214" s="3" t="s">
        <v>305</v>
      </c>
      <c r="P214" s="3" t="s">
        <v>36</v>
      </c>
      <c r="Q214" s="3"/>
      <c r="R214" s="4">
        <v>45975</v>
      </c>
      <c r="S214" s="3" t="s">
        <v>37</v>
      </c>
      <c r="T214" s="3" t="s">
        <v>36</v>
      </c>
      <c r="U214" s="3" t="s">
        <v>38</v>
      </c>
      <c r="V214" s="5">
        <v>1700</v>
      </c>
      <c r="W214" s="3">
        <v>722.5</v>
      </c>
      <c r="X214" s="3">
        <v>684.25</v>
      </c>
      <c r="Y214" s="3">
        <v>293.25</v>
      </c>
    </row>
    <row r="215" spans="1:25" ht="72.75" x14ac:dyDescent="0.25">
      <c r="A215" s="3" t="s">
        <v>26</v>
      </c>
      <c r="B215" s="3" t="s">
        <v>27</v>
      </c>
      <c r="C215" s="3" t="s">
        <v>28</v>
      </c>
      <c r="D215" s="3" t="s">
        <v>47</v>
      </c>
      <c r="E215" s="3" t="s">
        <v>132</v>
      </c>
      <c r="F215" s="3" t="s">
        <v>49</v>
      </c>
      <c r="G215" s="3" t="s">
        <v>132</v>
      </c>
      <c r="H215" s="3" t="s">
        <v>45</v>
      </c>
      <c r="I215" s="3">
        <v>2025</v>
      </c>
      <c r="J215" s="3" t="str">
        <f>CONCATENATE("54810207792")</f>
        <v>54810207792</v>
      </c>
      <c r="K215" s="3" t="s">
        <v>33</v>
      </c>
      <c r="L215" s="3"/>
      <c r="M215" s="3" t="s">
        <v>212</v>
      </c>
      <c r="N215" s="3" t="str">
        <f>CONCATENATE("GDESRG75A23A462H")</f>
        <v>GDESRG75A23A462H</v>
      </c>
      <c r="O215" s="3" t="s">
        <v>306</v>
      </c>
      <c r="P215" s="3" t="s">
        <v>36</v>
      </c>
      <c r="Q215" s="3"/>
      <c r="R215" s="4">
        <v>45975</v>
      </c>
      <c r="S215" s="3" t="s">
        <v>37</v>
      </c>
      <c r="T215" s="3" t="s">
        <v>36</v>
      </c>
      <c r="U215" s="3" t="s">
        <v>38</v>
      </c>
      <c r="V215" s="5">
        <v>4972.5</v>
      </c>
      <c r="W215" s="5">
        <v>2113.31</v>
      </c>
      <c r="X215" s="5">
        <v>2001.43</v>
      </c>
      <c r="Y215" s="3">
        <v>857.76</v>
      </c>
    </row>
    <row r="216" spans="1:25" ht="60.75" x14ac:dyDescent="0.25">
      <c r="A216" s="3" t="s">
        <v>26</v>
      </c>
      <c r="B216" s="3" t="s">
        <v>27</v>
      </c>
      <c r="C216" s="3" t="s">
        <v>28</v>
      </c>
      <c r="D216" s="3" t="s">
        <v>57</v>
      </c>
      <c r="E216" s="3" t="s">
        <v>61</v>
      </c>
      <c r="F216" s="3" t="s">
        <v>59</v>
      </c>
      <c r="G216" s="3" t="s">
        <v>61</v>
      </c>
      <c r="H216" s="3" t="s">
        <v>42</v>
      </c>
      <c r="I216" s="3">
        <v>2025</v>
      </c>
      <c r="J216" s="3" t="str">
        <f>CONCATENATE("54810223732")</f>
        <v>54810223732</v>
      </c>
      <c r="K216" s="3" t="s">
        <v>33</v>
      </c>
      <c r="L216" s="3"/>
      <c r="M216" s="3" t="s">
        <v>212</v>
      </c>
      <c r="N216" s="3" t="str">
        <f>CONCATENATE("LTTGNB95T03B474H")</f>
        <v>LTTGNB95T03B474H</v>
      </c>
      <c r="O216" s="3" t="s">
        <v>307</v>
      </c>
      <c r="P216" s="3" t="s">
        <v>36</v>
      </c>
      <c r="Q216" s="3"/>
      <c r="R216" s="4">
        <v>45975</v>
      </c>
      <c r="S216" s="3" t="s">
        <v>37</v>
      </c>
      <c r="T216" s="3" t="s">
        <v>36</v>
      </c>
      <c r="U216" s="3" t="s">
        <v>38</v>
      </c>
      <c r="V216" s="5">
        <v>3740</v>
      </c>
      <c r="W216" s="5">
        <v>1589.5</v>
      </c>
      <c r="X216" s="5">
        <v>1505.35</v>
      </c>
      <c r="Y216" s="3">
        <v>645.15</v>
      </c>
    </row>
    <row r="217" spans="1:25" ht="60.75" x14ac:dyDescent="0.25">
      <c r="A217" s="3" t="s">
        <v>26</v>
      </c>
      <c r="B217" s="3" t="s">
        <v>27</v>
      </c>
      <c r="C217" s="3" t="s">
        <v>28</v>
      </c>
      <c r="D217" s="3" t="s">
        <v>57</v>
      </c>
      <c r="E217" s="3" t="s">
        <v>61</v>
      </c>
      <c r="F217" s="3" t="s">
        <v>59</v>
      </c>
      <c r="G217" s="3" t="s">
        <v>61</v>
      </c>
      <c r="H217" s="3" t="s">
        <v>42</v>
      </c>
      <c r="I217" s="3">
        <v>2025</v>
      </c>
      <c r="J217" s="3" t="str">
        <f>CONCATENATE("54810268331")</f>
        <v>54810268331</v>
      </c>
      <c r="K217" s="3" t="s">
        <v>33</v>
      </c>
      <c r="L217" s="3"/>
      <c r="M217" s="3" t="s">
        <v>212</v>
      </c>
      <c r="N217" s="3" t="str">
        <f>CONCATENATE("PRSMHL86S54I156V")</f>
        <v>PRSMHL86S54I156V</v>
      </c>
      <c r="O217" s="3" t="s">
        <v>308</v>
      </c>
      <c r="P217" s="3" t="s">
        <v>36</v>
      </c>
      <c r="Q217" s="3"/>
      <c r="R217" s="4">
        <v>45975</v>
      </c>
      <c r="S217" s="3" t="s">
        <v>37</v>
      </c>
      <c r="T217" s="3" t="s">
        <v>36</v>
      </c>
      <c r="U217" s="3" t="s">
        <v>38</v>
      </c>
      <c r="V217" s="5">
        <v>3060</v>
      </c>
      <c r="W217" s="5">
        <v>1300.5</v>
      </c>
      <c r="X217" s="5">
        <v>1231.6500000000001</v>
      </c>
      <c r="Y217" s="3">
        <v>527.85</v>
      </c>
    </row>
    <row r="218" spans="1:25" ht="36.75" x14ac:dyDescent="0.25">
      <c r="A218" s="3" t="s">
        <v>26</v>
      </c>
      <c r="B218" s="3" t="s">
        <v>27</v>
      </c>
      <c r="C218" s="3" t="s">
        <v>28</v>
      </c>
      <c r="D218" s="3" t="s">
        <v>57</v>
      </c>
      <c r="E218" s="3" t="s">
        <v>109</v>
      </c>
      <c r="F218" s="3" t="s">
        <v>59</v>
      </c>
      <c r="G218" s="3" t="s">
        <v>109</v>
      </c>
      <c r="H218" s="3" t="s">
        <v>68</v>
      </c>
      <c r="I218" s="3">
        <v>2025</v>
      </c>
      <c r="J218" s="3" t="str">
        <f>CONCATENATE("54810429107")</f>
        <v>54810429107</v>
      </c>
      <c r="K218" s="3" t="s">
        <v>33</v>
      </c>
      <c r="L218" s="3"/>
      <c r="M218" s="3" t="s">
        <v>212</v>
      </c>
      <c r="N218" s="3" t="str">
        <f>CONCATENATE("02629240413")</f>
        <v>02629240413</v>
      </c>
      <c r="O218" s="3" t="s">
        <v>309</v>
      </c>
      <c r="P218" s="3" t="s">
        <v>36</v>
      </c>
      <c r="Q218" s="3"/>
      <c r="R218" s="4">
        <v>45975</v>
      </c>
      <c r="S218" s="3" t="s">
        <v>37</v>
      </c>
      <c r="T218" s="3" t="s">
        <v>36</v>
      </c>
      <c r="U218" s="3" t="s">
        <v>38</v>
      </c>
      <c r="V218" s="5">
        <v>1020</v>
      </c>
      <c r="W218" s="3">
        <v>433.5</v>
      </c>
      <c r="X218" s="3">
        <v>410.55</v>
      </c>
      <c r="Y218" s="3">
        <v>175.95</v>
      </c>
    </row>
    <row r="219" spans="1:25" ht="36.75" x14ac:dyDescent="0.25">
      <c r="A219" s="3" t="s">
        <v>26</v>
      </c>
      <c r="B219" s="3" t="s">
        <v>27</v>
      </c>
      <c r="C219" s="3" t="s">
        <v>28</v>
      </c>
      <c r="D219" s="3" t="s">
        <v>47</v>
      </c>
      <c r="E219" s="3" t="s">
        <v>310</v>
      </c>
      <c r="F219" s="3" t="s">
        <v>49</v>
      </c>
      <c r="G219" s="3" t="s">
        <v>310</v>
      </c>
      <c r="H219" s="3" t="s">
        <v>68</v>
      </c>
      <c r="I219" s="3">
        <v>2025</v>
      </c>
      <c r="J219" s="3" t="str">
        <f>CONCATENATE("54810487709")</f>
        <v>54810487709</v>
      </c>
      <c r="K219" s="3" t="s">
        <v>33</v>
      </c>
      <c r="L219" s="3"/>
      <c r="M219" s="3" t="s">
        <v>212</v>
      </c>
      <c r="N219" s="3" t="str">
        <f>CONCATENATE("02620580411")</f>
        <v>02620580411</v>
      </c>
      <c r="O219" s="3" t="s">
        <v>311</v>
      </c>
      <c r="P219" s="3" t="s">
        <v>36</v>
      </c>
      <c r="Q219" s="3"/>
      <c r="R219" s="4">
        <v>45975</v>
      </c>
      <c r="S219" s="3" t="s">
        <v>37</v>
      </c>
      <c r="T219" s="3" t="s">
        <v>36</v>
      </c>
      <c r="U219" s="3" t="s">
        <v>38</v>
      </c>
      <c r="V219" s="5">
        <v>1700</v>
      </c>
      <c r="W219" s="3">
        <v>722.5</v>
      </c>
      <c r="X219" s="3">
        <v>684.25</v>
      </c>
      <c r="Y219" s="3">
        <v>293.25</v>
      </c>
    </row>
    <row r="220" spans="1:25" ht="60.75" x14ac:dyDescent="0.25">
      <c r="A220" s="3" t="s">
        <v>26</v>
      </c>
      <c r="B220" s="3" t="s">
        <v>27</v>
      </c>
      <c r="C220" s="3" t="s">
        <v>28</v>
      </c>
      <c r="D220" s="3" t="s">
        <v>47</v>
      </c>
      <c r="E220" s="3" t="s">
        <v>310</v>
      </c>
      <c r="F220" s="3" t="s">
        <v>49</v>
      </c>
      <c r="G220" s="3" t="s">
        <v>310</v>
      </c>
      <c r="H220" s="3" t="s">
        <v>68</v>
      </c>
      <c r="I220" s="3">
        <v>2025</v>
      </c>
      <c r="J220" s="3" t="str">
        <f>CONCATENATE("54810715380")</f>
        <v>54810715380</v>
      </c>
      <c r="K220" s="3" t="s">
        <v>33</v>
      </c>
      <c r="L220" s="3"/>
      <c r="M220" s="3" t="s">
        <v>212</v>
      </c>
      <c r="N220" s="3" t="str">
        <f>CONCATENATE("LPRMRA56T61F399Y")</f>
        <v>LPRMRA56T61F399Y</v>
      </c>
      <c r="O220" s="3" t="s">
        <v>312</v>
      </c>
      <c r="P220" s="3" t="s">
        <v>36</v>
      </c>
      <c r="Q220" s="3"/>
      <c r="R220" s="4">
        <v>45975</v>
      </c>
      <c r="S220" s="3" t="s">
        <v>37</v>
      </c>
      <c r="T220" s="3" t="s">
        <v>36</v>
      </c>
      <c r="U220" s="3" t="s">
        <v>38</v>
      </c>
      <c r="V220" s="3">
        <v>340</v>
      </c>
      <c r="W220" s="3">
        <v>144.5</v>
      </c>
      <c r="X220" s="3">
        <v>136.85</v>
      </c>
      <c r="Y220" s="3">
        <v>58.65</v>
      </c>
    </row>
    <row r="221" spans="1:25" ht="60.75" x14ac:dyDescent="0.25">
      <c r="A221" s="3" t="s">
        <v>26</v>
      </c>
      <c r="B221" s="3" t="s">
        <v>27</v>
      </c>
      <c r="C221" s="3" t="s">
        <v>28</v>
      </c>
      <c r="D221" s="3" t="s">
        <v>47</v>
      </c>
      <c r="E221" s="3" t="s">
        <v>313</v>
      </c>
      <c r="F221" s="3" t="s">
        <v>49</v>
      </c>
      <c r="G221" s="3" t="s">
        <v>313</v>
      </c>
      <c r="H221" s="3" t="s">
        <v>68</v>
      </c>
      <c r="I221" s="3">
        <v>2025</v>
      </c>
      <c r="J221" s="3" t="str">
        <f>CONCATENATE("54810861531")</f>
        <v>54810861531</v>
      </c>
      <c r="K221" s="3" t="s">
        <v>33</v>
      </c>
      <c r="L221" s="3"/>
      <c r="M221" s="3" t="s">
        <v>212</v>
      </c>
      <c r="N221" s="3" t="str">
        <f>CONCATENATE("XHRRDT89L03Z100S")</f>
        <v>XHRRDT89L03Z100S</v>
      </c>
      <c r="O221" s="3" t="s">
        <v>314</v>
      </c>
      <c r="P221" s="3" t="s">
        <v>36</v>
      </c>
      <c r="Q221" s="3"/>
      <c r="R221" s="4">
        <v>45975</v>
      </c>
      <c r="S221" s="3" t="s">
        <v>37</v>
      </c>
      <c r="T221" s="3" t="s">
        <v>36</v>
      </c>
      <c r="U221" s="3" t="s">
        <v>38</v>
      </c>
      <c r="V221" s="5">
        <v>1020</v>
      </c>
      <c r="W221" s="3">
        <v>433.5</v>
      </c>
      <c r="X221" s="3">
        <v>410.55</v>
      </c>
      <c r="Y221" s="3">
        <v>175.95</v>
      </c>
    </row>
    <row r="222" spans="1:25" ht="60.75" x14ac:dyDescent="0.25">
      <c r="A222" s="3" t="s">
        <v>26</v>
      </c>
      <c r="B222" s="3" t="s">
        <v>27</v>
      </c>
      <c r="C222" s="3" t="s">
        <v>28</v>
      </c>
      <c r="D222" s="3" t="s">
        <v>57</v>
      </c>
      <c r="E222" s="3" t="s">
        <v>61</v>
      </c>
      <c r="F222" s="3" t="s">
        <v>59</v>
      </c>
      <c r="G222" s="3" t="s">
        <v>61</v>
      </c>
      <c r="H222" s="3" t="s">
        <v>42</v>
      </c>
      <c r="I222" s="3">
        <v>2025</v>
      </c>
      <c r="J222" s="3" t="str">
        <f>CONCATENATE("54810916269")</f>
        <v>54810916269</v>
      </c>
      <c r="K222" s="3" t="s">
        <v>33</v>
      </c>
      <c r="L222" s="3"/>
      <c r="M222" s="3" t="s">
        <v>212</v>
      </c>
      <c r="N222" s="3" t="str">
        <f>CONCATENATE("BNDRCR90C02B474M")</f>
        <v>BNDRCR90C02B474M</v>
      </c>
      <c r="O222" s="3" t="s">
        <v>315</v>
      </c>
      <c r="P222" s="3" t="s">
        <v>36</v>
      </c>
      <c r="Q222" s="3"/>
      <c r="R222" s="4">
        <v>45975</v>
      </c>
      <c r="S222" s="3" t="s">
        <v>37</v>
      </c>
      <c r="T222" s="3" t="s">
        <v>36</v>
      </c>
      <c r="U222" s="3" t="s">
        <v>38</v>
      </c>
      <c r="V222" s="5">
        <v>2524.5</v>
      </c>
      <c r="W222" s="5">
        <v>1072.9100000000001</v>
      </c>
      <c r="X222" s="5">
        <v>1016.11</v>
      </c>
      <c r="Y222" s="3">
        <v>435.48</v>
      </c>
    </row>
    <row r="223" spans="1:25" ht="36.75" x14ac:dyDescent="0.25">
      <c r="A223" s="3" t="s">
        <v>26</v>
      </c>
      <c r="B223" s="3" t="s">
        <v>27</v>
      </c>
      <c r="C223" s="3" t="s">
        <v>28</v>
      </c>
      <c r="D223" s="3" t="s">
        <v>29</v>
      </c>
      <c r="E223" s="3" t="s">
        <v>70</v>
      </c>
      <c r="F223" s="3" t="s">
        <v>31</v>
      </c>
      <c r="G223" s="3" t="s">
        <v>70</v>
      </c>
      <c r="H223" s="3" t="s">
        <v>42</v>
      </c>
      <c r="I223" s="3">
        <v>2025</v>
      </c>
      <c r="J223" s="3" t="str">
        <f>CONCATENATE("54811090916")</f>
        <v>54811090916</v>
      </c>
      <c r="K223" s="3" t="s">
        <v>33</v>
      </c>
      <c r="L223" s="3"/>
      <c r="M223" s="3" t="s">
        <v>212</v>
      </c>
      <c r="N223" s="3" t="str">
        <f>CONCATENATE("01939990436")</f>
        <v>01939990436</v>
      </c>
      <c r="O223" s="3" t="s">
        <v>316</v>
      </c>
      <c r="P223" s="3" t="s">
        <v>36</v>
      </c>
      <c r="Q223" s="3"/>
      <c r="R223" s="4">
        <v>45975</v>
      </c>
      <c r="S223" s="3" t="s">
        <v>37</v>
      </c>
      <c r="T223" s="3" t="s">
        <v>36</v>
      </c>
      <c r="U223" s="3" t="s">
        <v>38</v>
      </c>
      <c r="V223" s="5">
        <v>6043.5</v>
      </c>
      <c r="W223" s="5">
        <v>2568.4899999999998</v>
      </c>
      <c r="X223" s="5">
        <v>2432.5100000000002</v>
      </c>
      <c r="Y223" s="5">
        <v>1042.5</v>
      </c>
    </row>
    <row r="224" spans="1:25" ht="36.75" x14ac:dyDescent="0.25">
      <c r="A224" s="3" t="s">
        <v>26</v>
      </c>
      <c r="B224" s="3" t="s">
        <v>27</v>
      </c>
      <c r="C224" s="3" t="s">
        <v>28</v>
      </c>
      <c r="D224" s="3" t="s">
        <v>29</v>
      </c>
      <c r="E224" s="3" t="s">
        <v>100</v>
      </c>
      <c r="F224" s="3" t="s">
        <v>31</v>
      </c>
      <c r="G224" s="3" t="s">
        <v>100</v>
      </c>
      <c r="H224" s="3" t="s">
        <v>45</v>
      </c>
      <c r="I224" s="3">
        <v>2025</v>
      </c>
      <c r="J224" s="3" t="str">
        <f>CONCATENATE("54811115697")</f>
        <v>54811115697</v>
      </c>
      <c r="K224" s="3" t="s">
        <v>33</v>
      </c>
      <c r="L224" s="3"/>
      <c r="M224" s="3" t="s">
        <v>212</v>
      </c>
      <c r="N224" s="3" t="str">
        <f>CONCATENATE("01987450440")</f>
        <v>01987450440</v>
      </c>
      <c r="O224" s="3" t="s">
        <v>317</v>
      </c>
      <c r="P224" s="3" t="s">
        <v>36</v>
      </c>
      <c r="Q224" s="3"/>
      <c r="R224" s="4">
        <v>45975</v>
      </c>
      <c r="S224" s="3" t="s">
        <v>37</v>
      </c>
      <c r="T224" s="3" t="s">
        <v>36</v>
      </c>
      <c r="U224" s="3" t="s">
        <v>38</v>
      </c>
      <c r="V224" s="3">
        <v>918</v>
      </c>
      <c r="W224" s="3">
        <v>390.15</v>
      </c>
      <c r="X224" s="3">
        <v>369.5</v>
      </c>
      <c r="Y224" s="3">
        <v>158.35</v>
      </c>
    </row>
    <row r="225" spans="1:25" ht="60.75" x14ac:dyDescent="0.25">
      <c r="A225" s="3" t="s">
        <v>26</v>
      </c>
      <c r="B225" s="3" t="s">
        <v>27</v>
      </c>
      <c r="C225" s="3" t="s">
        <v>28</v>
      </c>
      <c r="D225" s="3" t="s">
        <v>29</v>
      </c>
      <c r="E225" s="3" t="s">
        <v>318</v>
      </c>
      <c r="F225" s="3" t="s">
        <v>31</v>
      </c>
      <c r="G225" s="3" t="s">
        <v>318</v>
      </c>
      <c r="H225" s="3" t="s">
        <v>68</v>
      </c>
      <c r="I225" s="3">
        <v>2025</v>
      </c>
      <c r="J225" s="3" t="str">
        <f>CONCATENATE("54810136843")</f>
        <v>54810136843</v>
      </c>
      <c r="K225" s="3" t="s">
        <v>33</v>
      </c>
      <c r="L225" s="3"/>
      <c r="M225" s="3" t="s">
        <v>212</v>
      </c>
      <c r="N225" s="3" t="str">
        <f>CONCATENATE("RGGGPL67E04G551J")</f>
        <v>RGGGPL67E04G551J</v>
      </c>
      <c r="O225" s="3" t="s">
        <v>319</v>
      </c>
      <c r="P225" s="3" t="s">
        <v>36</v>
      </c>
      <c r="Q225" s="3"/>
      <c r="R225" s="4">
        <v>45975</v>
      </c>
      <c r="S225" s="3" t="s">
        <v>37</v>
      </c>
      <c r="T225" s="3" t="s">
        <v>36</v>
      </c>
      <c r="U225" s="3" t="s">
        <v>38</v>
      </c>
      <c r="V225" s="5">
        <v>4250</v>
      </c>
      <c r="W225" s="5">
        <v>1806.25</v>
      </c>
      <c r="X225" s="5">
        <v>1710.63</v>
      </c>
      <c r="Y225" s="3">
        <v>733.12</v>
      </c>
    </row>
    <row r="226" spans="1:25" ht="72.75" x14ac:dyDescent="0.25">
      <c r="A226" s="3" t="s">
        <v>26</v>
      </c>
      <c r="B226" s="3" t="s">
        <v>27</v>
      </c>
      <c r="C226" s="3" t="s">
        <v>28</v>
      </c>
      <c r="D226" s="3" t="s">
        <v>57</v>
      </c>
      <c r="E226" s="3" t="s">
        <v>61</v>
      </c>
      <c r="F226" s="3" t="s">
        <v>59</v>
      </c>
      <c r="G226" s="3" t="s">
        <v>61</v>
      </c>
      <c r="H226" s="3" t="s">
        <v>42</v>
      </c>
      <c r="I226" s="3">
        <v>2025</v>
      </c>
      <c r="J226" s="3" t="str">
        <f>CONCATENATE("54810265964")</f>
        <v>54810265964</v>
      </c>
      <c r="K226" s="3" t="s">
        <v>33</v>
      </c>
      <c r="L226" s="3"/>
      <c r="M226" s="3" t="s">
        <v>212</v>
      </c>
      <c r="N226" s="3" t="str">
        <f>CONCATENATE("BNMSLV85T49H501B")</f>
        <v>BNMSLV85T49H501B</v>
      </c>
      <c r="O226" s="3" t="s">
        <v>320</v>
      </c>
      <c r="P226" s="3" t="s">
        <v>36</v>
      </c>
      <c r="Q226" s="3"/>
      <c r="R226" s="4">
        <v>45975</v>
      </c>
      <c r="S226" s="3" t="s">
        <v>37</v>
      </c>
      <c r="T226" s="3" t="s">
        <v>36</v>
      </c>
      <c r="U226" s="3" t="s">
        <v>38</v>
      </c>
      <c r="V226" s="5">
        <v>2486.25</v>
      </c>
      <c r="W226" s="5">
        <v>1056.6600000000001</v>
      </c>
      <c r="X226" s="5">
        <v>1000.72</v>
      </c>
      <c r="Y226" s="3">
        <v>428.87</v>
      </c>
    </row>
    <row r="227" spans="1:25" ht="36.75" x14ac:dyDescent="0.25">
      <c r="A227" s="3" t="s">
        <v>26</v>
      </c>
      <c r="B227" s="3" t="s">
        <v>27</v>
      </c>
      <c r="C227" s="3" t="s">
        <v>28</v>
      </c>
      <c r="D227" s="3" t="s">
        <v>29</v>
      </c>
      <c r="E227" s="3" t="s">
        <v>321</v>
      </c>
      <c r="F227" s="3" t="s">
        <v>31</v>
      </c>
      <c r="G227" s="3" t="s">
        <v>321</v>
      </c>
      <c r="H227" s="3" t="s">
        <v>68</v>
      </c>
      <c r="I227" s="3">
        <v>2025</v>
      </c>
      <c r="J227" s="3" t="str">
        <f>CONCATENATE("54810589470")</f>
        <v>54810589470</v>
      </c>
      <c r="K227" s="3" t="s">
        <v>33</v>
      </c>
      <c r="L227" s="3"/>
      <c r="M227" s="3" t="s">
        <v>212</v>
      </c>
      <c r="N227" s="3" t="str">
        <f>CONCATENATE("02660670411")</f>
        <v>02660670411</v>
      </c>
      <c r="O227" s="3" t="s">
        <v>322</v>
      </c>
      <c r="P227" s="3" t="s">
        <v>36</v>
      </c>
      <c r="Q227" s="3"/>
      <c r="R227" s="4">
        <v>45975</v>
      </c>
      <c r="S227" s="3" t="s">
        <v>37</v>
      </c>
      <c r="T227" s="3" t="s">
        <v>36</v>
      </c>
      <c r="U227" s="3" t="s">
        <v>38</v>
      </c>
      <c r="V227" s="5">
        <v>6460</v>
      </c>
      <c r="W227" s="5">
        <v>2745.5</v>
      </c>
      <c r="X227" s="5">
        <v>2600.15</v>
      </c>
      <c r="Y227" s="5">
        <v>1114.3499999999999</v>
      </c>
    </row>
    <row r="228" spans="1:25" ht="60.75" x14ac:dyDescent="0.25">
      <c r="A228" s="3" t="s">
        <v>26</v>
      </c>
      <c r="B228" s="3" t="s">
        <v>27</v>
      </c>
      <c r="C228" s="3" t="s">
        <v>28</v>
      </c>
      <c r="D228" s="3" t="s">
        <v>29</v>
      </c>
      <c r="E228" s="3" t="s">
        <v>280</v>
      </c>
      <c r="F228" s="3" t="s">
        <v>31</v>
      </c>
      <c r="G228" s="3" t="s">
        <v>280</v>
      </c>
      <c r="H228" s="3" t="s">
        <v>68</v>
      </c>
      <c r="I228" s="3">
        <v>2025</v>
      </c>
      <c r="J228" s="3" t="str">
        <f>CONCATENATE("54810607181")</f>
        <v>54810607181</v>
      </c>
      <c r="K228" s="3" t="s">
        <v>33</v>
      </c>
      <c r="L228" s="3"/>
      <c r="M228" s="3" t="s">
        <v>212</v>
      </c>
      <c r="N228" s="3" t="str">
        <f>CONCATENATE("FCCLSS87R19E256Q")</f>
        <v>FCCLSS87R19E256Q</v>
      </c>
      <c r="O228" s="3" t="s">
        <v>323</v>
      </c>
      <c r="P228" s="3" t="s">
        <v>36</v>
      </c>
      <c r="Q228" s="3"/>
      <c r="R228" s="4">
        <v>45975</v>
      </c>
      <c r="S228" s="3" t="s">
        <v>37</v>
      </c>
      <c r="T228" s="3" t="s">
        <v>36</v>
      </c>
      <c r="U228" s="3" t="s">
        <v>38</v>
      </c>
      <c r="V228" s="5">
        <v>2720</v>
      </c>
      <c r="W228" s="5">
        <v>1156</v>
      </c>
      <c r="X228" s="5">
        <v>1094.8</v>
      </c>
      <c r="Y228" s="3">
        <v>469.2</v>
      </c>
    </row>
    <row r="229" spans="1:25" ht="60.75" x14ac:dyDescent="0.25">
      <c r="A229" s="3" t="s">
        <v>26</v>
      </c>
      <c r="B229" s="3" t="s">
        <v>27</v>
      </c>
      <c r="C229" s="3" t="s">
        <v>28</v>
      </c>
      <c r="D229" s="3" t="s">
        <v>29</v>
      </c>
      <c r="E229" s="3" t="s">
        <v>280</v>
      </c>
      <c r="F229" s="3" t="s">
        <v>31</v>
      </c>
      <c r="G229" s="3" t="s">
        <v>280</v>
      </c>
      <c r="H229" s="3" t="s">
        <v>68</v>
      </c>
      <c r="I229" s="3">
        <v>2025</v>
      </c>
      <c r="J229" s="3" t="str">
        <f>CONCATENATE("54810643426")</f>
        <v>54810643426</v>
      </c>
      <c r="K229" s="3" t="s">
        <v>33</v>
      </c>
      <c r="L229" s="3"/>
      <c r="M229" s="3" t="s">
        <v>212</v>
      </c>
      <c r="N229" s="3" t="str">
        <f>CONCATENATE("PZZRCR69C01Z120R")</f>
        <v>PZZRCR69C01Z120R</v>
      </c>
      <c r="O229" s="3" t="s">
        <v>324</v>
      </c>
      <c r="P229" s="3" t="s">
        <v>36</v>
      </c>
      <c r="Q229" s="3"/>
      <c r="R229" s="4">
        <v>45975</v>
      </c>
      <c r="S229" s="3" t="s">
        <v>37</v>
      </c>
      <c r="T229" s="3" t="s">
        <v>36</v>
      </c>
      <c r="U229" s="3" t="s">
        <v>38</v>
      </c>
      <c r="V229" s="5">
        <v>5440</v>
      </c>
      <c r="W229" s="5">
        <v>2312</v>
      </c>
      <c r="X229" s="5">
        <v>2189.6</v>
      </c>
      <c r="Y229" s="3">
        <v>938.4</v>
      </c>
    </row>
    <row r="230" spans="1:25" ht="36.75" x14ac:dyDescent="0.25">
      <c r="A230" s="3" t="s">
        <v>26</v>
      </c>
      <c r="B230" s="3" t="s">
        <v>27</v>
      </c>
      <c r="C230" s="3" t="s">
        <v>28</v>
      </c>
      <c r="D230" s="3" t="s">
        <v>29</v>
      </c>
      <c r="E230" s="3" t="s">
        <v>280</v>
      </c>
      <c r="F230" s="3" t="s">
        <v>31</v>
      </c>
      <c r="G230" s="3" t="s">
        <v>280</v>
      </c>
      <c r="H230" s="3" t="s">
        <v>68</v>
      </c>
      <c r="I230" s="3">
        <v>2025</v>
      </c>
      <c r="J230" s="3" t="str">
        <f>CONCATENATE("54810738820")</f>
        <v>54810738820</v>
      </c>
      <c r="K230" s="3" t="s">
        <v>33</v>
      </c>
      <c r="L230" s="3"/>
      <c r="M230" s="3" t="s">
        <v>212</v>
      </c>
      <c r="N230" s="3" t="str">
        <f>CONCATENATE("02030490417")</f>
        <v>02030490417</v>
      </c>
      <c r="O230" s="3" t="s">
        <v>325</v>
      </c>
      <c r="P230" s="3" t="s">
        <v>36</v>
      </c>
      <c r="Q230" s="3"/>
      <c r="R230" s="4">
        <v>45975</v>
      </c>
      <c r="S230" s="3" t="s">
        <v>37</v>
      </c>
      <c r="T230" s="3" t="s">
        <v>36</v>
      </c>
      <c r="U230" s="3" t="s">
        <v>38</v>
      </c>
      <c r="V230" s="3">
        <v>510</v>
      </c>
      <c r="W230" s="3">
        <v>216.75</v>
      </c>
      <c r="X230" s="3">
        <v>205.28</v>
      </c>
      <c r="Y230" s="3">
        <v>87.97</v>
      </c>
    </row>
    <row r="231" spans="1:25" ht="60.75" x14ac:dyDescent="0.25">
      <c r="A231" s="3" t="s">
        <v>26</v>
      </c>
      <c r="B231" s="3" t="s">
        <v>27</v>
      </c>
      <c r="C231" s="3" t="s">
        <v>28</v>
      </c>
      <c r="D231" s="3" t="s">
        <v>47</v>
      </c>
      <c r="E231" s="3" t="s">
        <v>211</v>
      </c>
      <c r="F231" s="3" t="s">
        <v>49</v>
      </c>
      <c r="G231" s="3" t="s">
        <v>211</v>
      </c>
      <c r="H231" s="3" t="s">
        <v>68</v>
      </c>
      <c r="I231" s="3">
        <v>2025</v>
      </c>
      <c r="J231" s="3" t="str">
        <f>CONCATENATE("54810576451")</f>
        <v>54810576451</v>
      </c>
      <c r="K231" s="3" t="s">
        <v>33</v>
      </c>
      <c r="L231" s="3"/>
      <c r="M231" s="3" t="s">
        <v>212</v>
      </c>
      <c r="N231" s="3" t="str">
        <f>CONCATENATE("RVLMRC75A17G453T")</f>
        <v>RVLMRC75A17G453T</v>
      </c>
      <c r="O231" s="3" t="s">
        <v>213</v>
      </c>
      <c r="P231" s="3" t="s">
        <v>36</v>
      </c>
      <c r="Q231" s="3"/>
      <c r="R231" s="4">
        <v>45975</v>
      </c>
      <c r="S231" s="3" t="s">
        <v>37</v>
      </c>
      <c r="T231" s="3" t="s">
        <v>36</v>
      </c>
      <c r="U231" s="3" t="s">
        <v>38</v>
      </c>
      <c r="V231" s="5">
        <v>2720</v>
      </c>
      <c r="W231" s="5">
        <v>1156</v>
      </c>
      <c r="X231" s="5">
        <v>1094.8</v>
      </c>
      <c r="Y231" s="3">
        <v>469.2</v>
      </c>
    </row>
    <row r="232" spans="1:25" ht="36.75" x14ac:dyDescent="0.25">
      <c r="A232" s="3" t="s">
        <v>26</v>
      </c>
      <c r="B232" s="3" t="s">
        <v>27</v>
      </c>
      <c r="C232" s="3" t="s">
        <v>28</v>
      </c>
      <c r="D232" s="3" t="s">
        <v>29</v>
      </c>
      <c r="E232" s="3" t="s">
        <v>321</v>
      </c>
      <c r="F232" s="3" t="s">
        <v>31</v>
      </c>
      <c r="G232" s="3" t="s">
        <v>321</v>
      </c>
      <c r="H232" s="3" t="s">
        <v>68</v>
      </c>
      <c r="I232" s="3">
        <v>2025</v>
      </c>
      <c r="J232" s="3" t="str">
        <f>CONCATENATE("54810658838")</f>
        <v>54810658838</v>
      </c>
      <c r="K232" s="3" t="s">
        <v>33</v>
      </c>
      <c r="L232" s="3"/>
      <c r="M232" s="3" t="s">
        <v>212</v>
      </c>
      <c r="N232" s="3" t="str">
        <f>CONCATENATE("02528080415")</f>
        <v>02528080415</v>
      </c>
      <c r="O232" s="3" t="s">
        <v>326</v>
      </c>
      <c r="P232" s="3" t="s">
        <v>36</v>
      </c>
      <c r="Q232" s="3"/>
      <c r="R232" s="4">
        <v>45975</v>
      </c>
      <c r="S232" s="3" t="s">
        <v>37</v>
      </c>
      <c r="T232" s="3" t="s">
        <v>36</v>
      </c>
      <c r="U232" s="3" t="s">
        <v>38</v>
      </c>
      <c r="V232" s="3">
        <v>680</v>
      </c>
      <c r="W232" s="3">
        <v>289</v>
      </c>
      <c r="X232" s="3">
        <v>273.7</v>
      </c>
      <c r="Y232" s="3">
        <v>117.3</v>
      </c>
    </row>
    <row r="233" spans="1:25" ht="60.75" x14ac:dyDescent="0.25">
      <c r="A233" s="3" t="s">
        <v>26</v>
      </c>
      <c r="B233" s="3" t="s">
        <v>27</v>
      </c>
      <c r="C233" s="3" t="s">
        <v>28</v>
      </c>
      <c r="D233" s="3" t="s">
        <v>29</v>
      </c>
      <c r="E233" s="3" t="s">
        <v>280</v>
      </c>
      <c r="F233" s="3" t="s">
        <v>31</v>
      </c>
      <c r="G233" s="3" t="s">
        <v>280</v>
      </c>
      <c r="H233" s="3" t="s">
        <v>68</v>
      </c>
      <c r="I233" s="3">
        <v>2025</v>
      </c>
      <c r="J233" s="3" t="str">
        <f>CONCATENATE("54810686201")</f>
        <v>54810686201</v>
      </c>
      <c r="K233" s="3" t="s">
        <v>33</v>
      </c>
      <c r="L233" s="3"/>
      <c r="M233" s="3" t="s">
        <v>212</v>
      </c>
      <c r="N233" s="3" t="str">
        <f>CONCATENATE("TRVGPP74L22E256W")</f>
        <v>TRVGPP74L22E256W</v>
      </c>
      <c r="O233" s="3" t="s">
        <v>327</v>
      </c>
      <c r="P233" s="3" t="s">
        <v>36</v>
      </c>
      <c r="Q233" s="3"/>
      <c r="R233" s="4">
        <v>45975</v>
      </c>
      <c r="S233" s="3" t="s">
        <v>37</v>
      </c>
      <c r="T233" s="3" t="s">
        <v>36</v>
      </c>
      <c r="U233" s="3" t="s">
        <v>38</v>
      </c>
      <c r="V233" s="5">
        <v>7480</v>
      </c>
      <c r="W233" s="5">
        <v>3179</v>
      </c>
      <c r="X233" s="5">
        <v>3010.7</v>
      </c>
      <c r="Y233" s="5">
        <v>1290.3</v>
      </c>
    </row>
    <row r="234" spans="1:25" ht="36.75" x14ac:dyDescent="0.25">
      <c r="A234" s="3" t="s">
        <v>26</v>
      </c>
      <c r="B234" s="3" t="s">
        <v>27</v>
      </c>
      <c r="C234" s="3" t="s">
        <v>28</v>
      </c>
      <c r="D234" s="3" t="s">
        <v>29</v>
      </c>
      <c r="E234" s="3" t="s">
        <v>280</v>
      </c>
      <c r="F234" s="3" t="s">
        <v>31</v>
      </c>
      <c r="G234" s="3" t="s">
        <v>280</v>
      </c>
      <c r="H234" s="3" t="s">
        <v>68</v>
      </c>
      <c r="I234" s="3">
        <v>2024</v>
      </c>
      <c r="J234" s="3" t="str">
        <f>CONCATENATE("44810330959")</f>
        <v>44810330959</v>
      </c>
      <c r="K234" s="3" t="s">
        <v>33</v>
      </c>
      <c r="L234" s="3"/>
      <c r="M234" s="3" t="s">
        <v>212</v>
      </c>
      <c r="N234" s="3" t="str">
        <f>CONCATENATE("02634470419")</f>
        <v>02634470419</v>
      </c>
      <c r="O234" s="3" t="s">
        <v>287</v>
      </c>
      <c r="P234" s="3" t="s">
        <v>197</v>
      </c>
      <c r="Q234" s="3" t="s">
        <v>214</v>
      </c>
      <c r="R234" s="4">
        <v>45966</v>
      </c>
      <c r="S234" s="3" t="s">
        <v>37</v>
      </c>
      <c r="T234" s="3" t="s">
        <v>199</v>
      </c>
      <c r="U234" s="3" t="s">
        <v>38</v>
      </c>
      <c r="V234" s="5">
        <v>3075</v>
      </c>
      <c r="W234" s="5">
        <v>1306.8800000000001</v>
      </c>
      <c r="X234" s="5">
        <v>1237.69</v>
      </c>
      <c r="Y234" s="3">
        <v>530.42999999999995</v>
      </c>
    </row>
    <row r="235" spans="1:25" ht="36.75" x14ac:dyDescent="0.25">
      <c r="A235" s="3" t="s">
        <v>26</v>
      </c>
      <c r="B235" s="3" t="s">
        <v>27</v>
      </c>
      <c r="C235" s="3" t="s">
        <v>28</v>
      </c>
      <c r="D235" s="3" t="s">
        <v>29</v>
      </c>
      <c r="E235" s="3" t="s">
        <v>70</v>
      </c>
      <c r="F235" s="3" t="s">
        <v>31</v>
      </c>
      <c r="G235" s="3" t="s">
        <v>70</v>
      </c>
      <c r="H235" s="3" t="s">
        <v>42</v>
      </c>
      <c r="I235" s="3">
        <v>2024</v>
      </c>
      <c r="J235" s="3" t="str">
        <f>CONCATENATE("44810577559")</f>
        <v>44810577559</v>
      </c>
      <c r="K235" s="3" t="s">
        <v>33</v>
      </c>
      <c r="L235" s="3"/>
      <c r="M235" s="3" t="s">
        <v>195</v>
      </c>
      <c r="N235" s="3" t="str">
        <f>CONCATENATE("01939990436")</f>
        <v>01939990436</v>
      </c>
      <c r="O235" s="3" t="s">
        <v>316</v>
      </c>
      <c r="P235" s="3" t="s">
        <v>197</v>
      </c>
      <c r="Q235" s="3" t="s">
        <v>198</v>
      </c>
      <c r="R235" s="4">
        <v>45966</v>
      </c>
      <c r="S235" s="3" t="s">
        <v>37</v>
      </c>
      <c r="T235" s="3" t="s">
        <v>199</v>
      </c>
      <c r="U235" s="3" t="s">
        <v>38</v>
      </c>
      <c r="V235" s="5">
        <v>1271.97</v>
      </c>
      <c r="W235" s="3">
        <v>540.59</v>
      </c>
      <c r="X235" s="3">
        <v>511.97</v>
      </c>
      <c r="Y235" s="3">
        <v>219.41</v>
      </c>
    </row>
    <row r="236" spans="1:25" ht="36.75" x14ac:dyDescent="0.25">
      <c r="A236" s="3" t="s">
        <v>26</v>
      </c>
      <c r="B236" s="3" t="s">
        <v>27</v>
      </c>
      <c r="C236" s="3" t="s">
        <v>28</v>
      </c>
      <c r="D236" s="3" t="s">
        <v>57</v>
      </c>
      <c r="E236" s="3" t="s">
        <v>58</v>
      </c>
      <c r="F236" s="3" t="s">
        <v>59</v>
      </c>
      <c r="G236" s="3" t="s">
        <v>58</v>
      </c>
      <c r="H236" s="3" t="s">
        <v>42</v>
      </c>
      <c r="I236" s="3">
        <v>2024</v>
      </c>
      <c r="J236" s="3" t="str">
        <f>CONCATENATE("44810985364")</f>
        <v>44810985364</v>
      </c>
      <c r="K236" s="3" t="s">
        <v>33</v>
      </c>
      <c r="L236" s="3"/>
      <c r="M236" s="3" t="s">
        <v>195</v>
      </c>
      <c r="N236" s="3" t="str">
        <f>CONCATENATE("01985330438")</f>
        <v>01985330438</v>
      </c>
      <c r="O236" s="3" t="s">
        <v>328</v>
      </c>
      <c r="P236" s="3" t="s">
        <v>197</v>
      </c>
      <c r="Q236" s="3" t="s">
        <v>198</v>
      </c>
      <c r="R236" s="4">
        <v>45966</v>
      </c>
      <c r="S236" s="3" t="s">
        <v>37</v>
      </c>
      <c r="T236" s="3" t="s">
        <v>199</v>
      </c>
      <c r="U236" s="3" t="s">
        <v>38</v>
      </c>
      <c r="V236" s="5">
        <v>1078.94</v>
      </c>
      <c r="W236" s="3">
        <v>458.55</v>
      </c>
      <c r="X236" s="3">
        <v>434.27</v>
      </c>
      <c r="Y236" s="3">
        <v>186.12</v>
      </c>
    </row>
    <row r="237" spans="1:25" ht="72.75" x14ac:dyDescent="0.25">
      <c r="A237" s="3" t="s">
        <v>26</v>
      </c>
      <c r="B237" s="3" t="s">
        <v>27</v>
      </c>
      <c r="C237" s="3" t="s">
        <v>28</v>
      </c>
      <c r="D237" s="3" t="s">
        <v>57</v>
      </c>
      <c r="E237" s="3" t="s">
        <v>58</v>
      </c>
      <c r="F237" s="3" t="s">
        <v>59</v>
      </c>
      <c r="G237" s="3" t="s">
        <v>58</v>
      </c>
      <c r="H237" s="3" t="s">
        <v>42</v>
      </c>
      <c r="I237" s="3">
        <v>2024</v>
      </c>
      <c r="J237" s="3" t="str">
        <f>CONCATENATE("44811287711")</f>
        <v>44811287711</v>
      </c>
      <c r="K237" s="3" t="s">
        <v>33</v>
      </c>
      <c r="L237" s="3"/>
      <c r="M237" s="3" t="s">
        <v>195</v>
      </c>
      <c r="N237" s="3" t="str">
        <f>CONCATENATE("STFMRC98A22H211M")</f>
        <v>STFMRC98A22H211M</v>
      </c>
      <c r="O237" s="3" t="s">
        <v>329</v>
      </c>
      <c r="P237" s="3" t="s">
        <v>197</v>
      </c>
      <c r="Q237" s="3" t="s">
        <v>198</v>
      </c>
      <c r="R237" s="4">
        <v>45966</v>
      </c>
      <c r="S237" s="3" t="s">
        <v>37</v>
      </c>
      <c r="T237" s="3" t="s">
        <v>199</v>
      </c>
      <c r="U237" s="3" t="s">
        <v>38</v>
      </c>
      <c r="V237" s="3">
        <v>825.72</v>
      </c>
      <c r="W237" s="3">
        <v>350.93</v>
      </c>
      <c r="X237" s="3">
        <v>332.35</v>
      </c>
      <c r="Y237" s="3">
        <v>142.44</v>
      </c>
    </row>
    <row r="238" spans="1:25" ht="72.75" x14ac:dyDescent="0.25">
      <c r="A238" s="3" t="s">
        <v>26</v>
      </c>
      <c r="B238" s="3" t="s">
        <v>27</v>
      </c>
      <c r="C238" s="3" t="s">
        <v>28</v>
      </c>
      <c r="D238" s="3" t="s">
        <v>29</v>
      </c>
      <c r="E238" s="3" t="s">
        <v>51</v>
      </c>
      <c r="F238" s="3" t="s">
        <v>31</v>
      </c>
      <c r="G238" s="3" t="s">
        <v>51</v>
      </c>
      <c r="H238" s="3" t="s">
        <v>42</v>
      </c>
      <c r="I238" s="3">
        <v>2024</v>
      </c>
      <c r="J238" s="3" t="str">
        <f>CONCATENATE("44810061281")</f>
        <v>44810061281</v>
      </c>
      <c r="K238" s="3" t="s">
        <v>33</v>
      </c>
      <c r="L238" s="3"/>
      <c r="M238" s="3" t="s">
        <v>195</v>
      </c>
      <c r="N238" s="3" t="str">
        <f>CONCATENATE("TRDMGR35P43E388Q")</f>
        <v>TRDMGR35P43E388Q</v>
      </c>
      <c r="O238" s="3" t="s">
        <v>330</v>
      </c>
      <c r="P238" s="3" t="s">
        <v>197</v>
      </c>
      <c r="Q238" s="3" t="s">
        <v>198</v>
      </c>
      <c r="R238" s="4">
        <v>45966</v>
      </c>
      <c r="S238" s="3" t="s">
        <v>37</v>
      </c>
      <c r="T238" s="3" t="s">
        <v>199</v>
      </c>
      <c r="U238" s="3" t="s">
        <v>38</v>
      </c>
      <c r="V238" s="3">
        <v>87.29</v>
      </c>
      <c r="W238" s="3">
        <v>37.1</v>
      </c>
      <c r="X238" s="3">
        <v>35.130000000000003</v>
      </c>
      <c r="Y238" s="3">
        <v>15.06</v>
      </c>
    </row>
    <row r="239" spans="1:25" ht="36.75" x14ac:dyDescent="0.25">
      <c r="A239" s="3" t="s">
        <v>26</v>
      </c>
      <c r="B239" s="3" t="s">
        <v>27</v>
      </c>
      <c r="C239" s="3" t="s">
        <v>28</v>
      </c>
      <c r="D239" s="3" t="s">
        <v>57</v>
      </c>
      <c r="E239" s="3" t="s">
        <v>58</v>
      </c>
      <c r="F239" s="3" t="s">
        <v>59</v>
      </c>
      <c r="G239" s="3" t="s">
        <v>58</v>
      </c>
      <c r="H239" s="3" t="s">
        <v>42</v>
      </c>
      <c r="I239" s="3">
        <v>2024</v>
      </c>
      <c r="J239" s="3" t="str">
        <f>CONCATENATE("44810590032")</f>
        <v>44810590032</v>
      </c>
      <c r="K239" s="3" t="s">
        <v>33</v>
      </c>
      <c r="L239" s="3"/>
      <c r="M239" s="3" t="s">
        <v>195</v>
      </c>
      <c r="N239" s="3" t="str">
        <f>CONCATENATE("01399100435")</f>
        <v>01399100435</v>
      </c>
      <c r="O239" s="3" t="s">
        <v>331</v>
      </c>
      <c r="P239" s="3" t="s">
        <v>197</v>
      </c>
      <c r="Q239" s="3" t="s">
        <v>198</v>
      </c>
      <c r="R239" s="4">
        <v>45966</v>
      </c>
      <c r="S239" s="3" t="s">
        <v>37</v>
      </c>
      <c r="T239" s="3" t="s">
        <v>199</v>
      </c>
      <c r="U239" s="3" t="s">
        <v>38</v>
      </c>
      <c r="V239" s="3">
        <v>251.89</v>
      </c>
      <c r="W239" s="3">
        <v>107.05</v>
      </c>
      <c r="X239" s="3">
        <v>101.39</v>
      </c>
      <c r="Y239" s="3">
        <v>43.45</v>
      </c>
    </row>
    <row r="240" spans="1:25" ht="72.75" x14ac:dyDescent="0.25">
      <c r="A240" s="3" t="s">
        <v>26</v>
      </c>
      <c r="B240" s="3" t="s">
        <v>27</v>
      </c>
      <c r="C240" s="3" t="s">
        <v>28</v>
      </c>
      <c r="D240" s="3" t="s">
        <v>102</v>
      </c>
      <c r="E240" s="3" t="s">
        <v>103</v>
      </c>
      <c r="F240" s="3" t="s">
        <v>104</v>
      </c>
      <c r="G240" s="3" t="s">
        <v>103</v>
      </c>
      <c r="H240" s="3" t="s">
        <v>42</v>
      </c>
      <c r="I240" s="3">
        <v>2024</v>
      </c>
      <c r="J240" s="3" t="str">
        <f>CONCATENATE("44810846491")</f>
        <v>44810846491</v>
      </c>
      <c r="K240" s="3" t="s">
        <v>33</v>
      </c>
      <c r="L240" s="3"/>
      <c r="M240" s="3" t="s">
        <v>195</v>
      </c>
      <c r="N240" s="3" t="str">
        <f>CONCATENATE("BSODTL69D56A271Q")</f>
        <v>BSODTL69D56A271Q</v>
      </c>
      <c r="O240" s="3" t="s">
        <v>332</v>
      </c>
      <c r="P240" s="3" t="s">
        <v>197</v>
      </c>
      <c r="Q240" s="3" t="s">
        <v>198</v>
      </c>
      <c r="R240" s="4">
        <v>45966</v>
      </c>
      <c r="S240" s="3" t="s">
        <v>37</v>
      </c>
      <c r="T240" s="3" t="s">
        <v>199</v>
      </c>
      <c r="U240" s="3" t="s">
        <v>38</v>
      </c>
      <c r="V240" s="3">
        <v>465.84</v>
      </c>
      <c r="W240" s="3">
        <v>197.98</v>
      </c>
      <c r="X240" s="3">
        <v>187.5</v>
      </c>
      <c r="Y240" s="3">
        <v>80.36</v>
      </c>
    </row>
    <row r="241" spans="1:25" ht="72.75" x14ac:dyDescent="0.25">
      <c r="A241" s="3" t="s">
        <v>26</v>
      </c>
      <c r="B241" s="3" t="s">
        <v>27</v>
      </c>
      <c r="C241" s="3" t="s">
        <v>28</v>
      </c>
      <c r="D241" s="3" t="s">
        <v>57</v>
      </c>
      <c r="E241" s="3" t="s">
        <v>109</v>
      </c>
      <c r="F241" s="3" t="s">
        <v>59</v>
      </c>
      <c r="G241" s="3" t="s">
        <v>109</v>
      </c>
      <c r="H241" s="3" t="s">
        <v>42</v>
      </c>
      <c r="I241" s="3">
        <v>2024</v>
      </c>
      <c r="J241" s="3" t="str">
        <f>CONCATENATE("44810124527")</f>
        <v>44810124527</v>
      </c>
      <c r="K241" s="3" t="s">
        <v>33</v>
      </c>
      <c r="L241" s="3"/>
      <c r="M241" s="3" t="s">
        <v>195</v>
      </c>
      <c r="N241" s="3" t="str">
        <f>CONCATENATE("CPPNNA66H65A329N")</f>
        <v>CPPNNA66H65A329N</v>
      </c>
      <c r="O241" s="3" t="s">
        <v>333</v>
      </c>
      <c r="P241" s="3" t="s">
        <v>197</v>
      </c>
      <c r="Q241" s="3" t="s">
        <v>198</v>
      </c>
      <c r="R241" s="4">
        <v>45966</v>
      </c>
      <c r="S241" s="3" t="s">
        <v>37</v>
      </c>
      <c r="T241" s="3" t="s">
        <v>199</v>
      </c>
      <c r="U241" s="3" t="s">
        <v>38</v>
      </c>
      <c r="V241" s="3">
        <v>389.04</v>
      </c>
      <c r="W241" s="3">
        <v>165.34</v>
      </c>
      <c r="X241" s="3">
        <v>156.59</v>
      </c>
      <c r="Y241" s="3">
        <v>67.11</v>
      </c>
    </row>
    <row r="242" spans="1:25" ht="60.75" x14ac:dyDescent="0.25">
      <c r="A242" s="3" t="s">
        <v>26</v>
      </c>
      <c r="B242" s="3" t="s">
        <v>27</v>
      </c>
      <c r="C242" s="3" t="s">
        <v>28</v>
      </c>
      <c r="D242" s="3" t="s">
        <v>29</v>
      </c>
      <c r="E242" s="3" t="s">
        <v>41</v>
      </c>
      <c r="F242" s="3" t="s">
        <v>31</v>
      </c>
      <c r="G242" s="3" t="s">
        <v>41</v>
      </c>
      <c r="H242" s="3" t="s">
        <v>42</v>
      </c>
      <c r="I242" s="3">
        <v>2024</v>
      </c>
      <c r="J242" s="3" t="str">
        <f>CONCATENATE("44810278604")</f>
        <v>44810278604</v>
      </c>
      <c r="K242" s="3" t="s">
        <v>33</v>
      </c>
      <c r="L242" s="3"/>
      <c r="M242" s="3" t="s">
        <v>195</v>
      </c>
      <c r="N242" s="3" t="str">
        <f>CONCATENATE("GRDGCR50M13I436L")</f>
        <v>GRDGCR50M13I436L</v>
      </c>
      <c r="O242" s="3" t="s">
        <v>334</v>
      </c>
      <c r="P242" s="3" t="s">
        <v>197</v>
      </c>
      <c r="Q242" s="3" t="s">
        <v>198</v>
      </c>
      <c r="R242" s="4">
        <v>45966</v>
      </c>
      <c r="S242" s="3" t="s">
        <v>37</v>
      </c>
      <c r="T242" s="3" t="s">
        <v>199</v>
      </c>
      <c r="U242" s="3" t="s">
        <v>38</v>
      </c>
      <c r="V242" s="3">
        <v>851.68</v>
      </c>
      <c r="W242" s="3">
        <v>361.96</v>
      </c>
      <c r="X242" s="3">
        <v>342.8</v>
      </c>
      <c r="Y242" s="3">
        <v>146.91999999999999</v>
      </c>
    </row>
    <row r="243" spans="1:25" ht="60.75" x14ac:dyDescent="0.25">
      <c r="A243" s="3" t="s">
        <v>26</v>
      </c>
      <c r="B243" s="3" t="s">
        <v>27</v>
      </c>
      <c r="C243" s="3" t="s">
        <v>28</v>
      </c>
      <c r="D243" s="3" t="s">
        <v>57</v>
      </c>
      <c r="E243" s="3" t="s">
        <v>58</v>
      </c>
      <c r="F243" s="3" t="s">
        <v>59</v>
      </c>
      <c r="G243" s="3" t="s">
        <v>58</v>
      </c>
      <c r="H243" s="3" t="s">
        <v>42</v>
      </c>
      <c r="I243" s="3">
        <v>2024</v>
      </c>
      <c r="J243" s="3" t="str">
        <f>CONCATENATE("44810213718")</f>
        <v>44810213718</v>
      </c>
      <c r="K243" s="3" t="s">
        <v>33</v>
      </c>
      <c r="L243" s="3"/>
      <c r="M243" s="3" t="s">
        <v>195</v>
      </c>
      <c r="N243" s="3" t="str">
        <f>CONCATENATE("CRDVNT76M18L191O")</f>
        <v>CRDVNT76M18L191O</v>
      </c>
      <c r="O243" s="3" t="s">
        <v>335</v>
      </c>
      <c r="P243" s="3" t="s">
        <v>197</v>
      </c>
      <c r="Q243" s="3" t="s">
        <v>198</v>
      </c>
      <c r="R243" s="4">
        <v>45966</v>
      </c>
      <c r="S243" s="3" t="s">
        <v>37</v>
      </c>
      <c r="T243" s="3" t="s">
        <v>199</v>
      </c>
      <c r="U243" s="3" t="s">
        <v>38</v>
      </c>
      <c r="V243" s="3">
        <v>160.88999999999999</v>
      </c>
      <c r="W243" s="3">
        <v>68.38</v>
      </c>
      <c r="X243" s="3">
        <v>64.760000000000005</v>
      </c>
      <c r="Y243" s="3">
        <v>27.75</v>
      </c>
    </row>
    <row r="244" spans="1:25" ht="60.75" x14ac:dyDescent="0.25">
      <c r="A244" s="3" t="s">
        <v>26</v>
      </c>
      <c r="B244" s="3" t="s">
        <v>27</v>
      </c>
      <c r="C244" s="3" t="s">
        <v>28</v>
      </c>
      <c r="D244" s="3" t="s">
        <v>89</v>
      </c>
      <c r="E244" s="3" t="s">
        <v>155</v>
      </c>
      <c r="F244" s="3" t="s">
        <v>91</v>
      </c>
      <c r="G244" s="3" t="s">
        <v>155</v>
      </c>
      <c r="H244" s="3" t="s">
        <v>42</v>
      </c>
      <c r="I244" s="3">
        <v>2024</v>
      </c>
      <c r="J244" s="3" t="str">
        <f>CONCATENATE("44810564870")</f>
        <v>44810564870</v>
      </c>
      <c r="K244" s="3" t="s">
        <v>33</v>
      </c>
      <c r="L244" s="3"/>
      <c r="M244" s="3" t="s">
        <v>195</v>
      </c>
      <c r="N244" s="3" t="str">
        <f>CONCATENATE("CCCFRZ48B07F051R")</f>
        <v>CCCFRZ48B07F051R</v>
      </c>
      <c r="O244" s="3" t="s">
        <v>336</v>
      </c>
      <c r="P244" s="3" t="s">
        <v>197</v>
      </c>
      <c r="Q244" s="3" t="s">
        <v>198</v>
      </c>
      <c r="R244" s="4">
        <v>45966</v>
      </c>
      <c r="S244" s="3" t="s">
        <v>37</v>
      </c>
      <c r="T244" s="3" t="s">
        <v>199</v>
      </c>
      <c r="U244" s="3" t="s">
        <v>38</v>
      </c>
      <c r="V244" s="5">
        <v>1208.3499999999999</v>
      </c>
      <c r="W244" s="3">
        <v>513.54999999999995</v>
      </c>
      <c r="X244" s="3">
        <v>486.36</v>
      </c>
      <c r="Y244" s="3">
        <v>208.44</v>
      </c>
    </row>
    <row r="245" spans="1:25" ht="60.75" x14ac:dyDescent="0.25">
      <c r="A245" s="3" t="s">
        <v>26</v>
      </c>
      <c r="B245" s="3" t="s">
        <v>27</v>
      </c>
      <c r="C245" s="3" t="s">
        <v>28</v>
      </c>
      <c r="D245" s="3" t="s">
        <v>57</v>
      </c>
      <c r="E245" s="3" t="s">
        <v>58</v>
      </c>
      <c r="F245" s="3" t="s">
        <v>59</v>
      </c>
      <c r="G245" s="3" t="s">
        <v>58</v>
      </c>
      <c r="H245" s="3" t="s">
        <v>42</v>
      </c>
      <c r="I245" s="3">
        <v>2024</v>
      </c>
      <c r="J245" s="3" t="str">
        <f>CONCATENATE("44811251527")</f>
        <v>44811251527</v>
      </c>
      <c r="K245" s="3" t="s">
        <v>33</v>
      </c>
      <c r="L245" s="3"/>
      <c r="M245" s="3" t="s">
        <v>195</v>
      </c>
      <c r="N245" s="3" t="str">
        <f>CONCATENATE("DLLRFL60B21E783M")</f>
        <v>DLLRFL60B21E783M</v>
      </c>
      <c r="O245" s="3" t="s">
        <v>337</v>
      </c>
      <c r="P245" s="3" t="s">
        <v>197</v>
      </c>
      <c r="Q245" s="3" t="s">
        <v>198</v>
      </c>
      <c r="R245" s="4">
        <v>45966</v>
      </c>
      <c r="S245" s="3" t="s">
        <v>37</v>
      </c>
      <c r="T245" s="3" t="s">
        <v>199</v>
      </c>
      <c r="U245" s="3" t="s">
        <v>38</v>
      </c>
      <c r="V245" s="5">
        <v>1160.44</v>
      </c>
      <c r="W245" s="3">
        <v>493.19</v>
      </c>
      <c r="X245" s="3">
        <v>467.08</v>
      </c>
      <c r="Y245" s="3">
        <v>200.17</v>
      </c>
    </row>
    <row r="246" spans="1:25" ht="60.75" x14ac:dyDescent="0.25">
      <c r="A246" s="3" t="s">
        <v>26</v>
      </c>
      <c r="B246" s="3" t="s">
        <v>27</v>
      </c>
      <c r="C246" s="3" t="s">
        <v>28</v>
      </c>
      <c r="D246" s="3" t="s">
        <v>29</v>
      </c>
      <c r="E246" s="3" t="s">
        <v>64</v>
      </c>
      <c r="F246" s="3" t="s">
        <v>31</v>
      </c>
      <c r="G246" s="3" t="s">
        <v>64</v>
      </c>
      <c r="H246" s="3" t="s">
        <v>42</v>
      </c>
      <c r="I246" s="3">
        <v>2024</v>
      </c>
      <c r="J246" s="3" t="str">
        <f>CONCATENATE("44810778108")</f>
        <v>44810778108</v>
      </c>
      <c r="K246" s="3" t="s">
        <v>33</v>
      </c>
      <c r="L246" s="3"/>
      <c r="M246" s="3" t="s">
        <v>195</v>
      </c>
      <c r="N246" s="3" t="str">
        <f>CONCATENATE("MNDGNZ54L31F552L")</f>
        <v>MNDGNZ54L31F552L</v>
      </c>
      <c r="O246" s="3" t="s">
        <v>338</v>
      </c>
      <c r="P246" s="3" t="s">
        <v>197</v>
      </c>
      <c r="Q246" s="3" t="s">
        <v>198</v>
      </c>
      <c r="R246" s="4">
        <v>45966</v>
      </c>
      <c r="S246" s="3" t="s">
        <v>37</v>
      </c>
      <c r="T246" s="3" t="s">
        <v>199</v>
      </c>
      <c r="U246" s="3" t="s">
        <v>38</v>
      </c>
      <c r="V246" s="3">
        <v>212.04</v>
      </c>
      <c r="W246" s="3">
        <v>90.12</v>
      </c>
      <c r="X246" s="3">
        <v>85.35</v>
      </c>
      <c r="Y246" s="3">
        <v>36.57</v>
      </c>
    </row>
  </sheetData>
  <autoFilter ref="A3:Y246"/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2025-12-29T08:50:16Z</dcterms:created>
  <dcterms:modified xsi:type="dcterms:W3CDTF">2025-12-29T08:59:27Z</dcterms:modified>
</cp:coreProperties>
</file>